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-AV\UTDT\MFIN\2020 MFIN\Curso FC\FC - TRADICIONAL\10-Dividends\Clase\"/>
    </mc:Choice>
  </mc:AlternateContent>
  <xr:revisionPtr revIDLastSave="0" documentId="13_ncr:1_{09416067-DBAF-442B-8A14-F8BFDE2A6583}" xr6:coauthVersionLast="45" xr6:coauthVersionMax="45" xr10:uidLastSave="{00000000-0000-0000-0000-000000000000}"/>
  <bookViews>
    <workbookView xWindow="-96" yWindow="-96" windowWidth="23232" windowHeight="12552" tabRatio="712" activeTab="6" xr2:uid="{00000000-000D-0000-FFFF-FFFF00000000}"/>
  </bookViews>
  <sheets>
    <sheet name="Bce Sheet" sheetId="1" r:id="rId1"/>
    <sheet name="P&amp;L" sheetId="2" r:id="rId2"/>
    <sheet name="Cash Flow" sheetId="3" r:id="rId3"/>
    <sheet name="Excess Cash" sheetId="13" r:id="rId4"/>
    <sheet name="Dividend Analysis" sheetId="18" r:id="rId5"/>
    <sheet name="Repurchase Analysis" sheetId="25" r:id="rId6"/>
    <sheet name="iPref Analysis" sheetId="24" r:id="rId7"/>
    <sheet name="Exhibit 11 (Model)" sheetId="21" r:id="rId8"/>
    <sheet name="Charts" sheetId="26" r:id="rId9"/>
    <sheet name="Performance Post" sheetId="27" r:id="rId10"/>
    <sheet name="Annual Summary" sheetId="7" r:id="rId11"/>
    <sheet name="Annual Ratios" sheetId="4" r:id="rId12"/>
    <sheet name="Quarterly Summary" sheetId="8" r:id="rId13"/>
    <sheet name="Quarterly Ratios" sheetId="9" r:id="rId14"/>
    <sheet name="DuPont" sheetId="5" r:id="rId15"/>
    <sheet name="CCC" sheetId="6" r:id="rId16"/>
    <sheet name="Blank Forecast from Case" sheetId="16" r:id="rId17"/>
    <sheet name="Forecast (Case)" sheetId="17" r:id="rId18"/>
    <sheet name="Forecast Calcs (Case)" sheetId="14" r:id="rId19"/>
    <sheet name="Perpetual Dividend Calcs (Case)" sheetId="15" r:id="rId20"/>
    <sheet name="Dividend Analysis (Case)" sheetId="22" r:id="rId21"/>
    <sheet name="Repurchase Analysis (Case)" sheetId="19" r:id="rId22"/>
    <sheet name="iPref Analysis (Case)" sheetId="20" r:id="rId23"/>
  </sheets>
  <externalReferences>
    <externalReference r:id="rId24"/>
  </externalReferences>
  <definedNames>
    <definedName name="_Fill" hidden="1">#REF!</definedName>
    <definedName name="Acquiror" localSheetId="8">#REF!</definedName>
    <definedName name="Acquiror" localSheetId="9">#REF!</definedName>
    <definedName name="Acquiror">#REF!</definedName>
    <definedName name="amzn">'[1]Comps (Ex12)'!#REF!</definedName>
    <definedName name="asset_write_up" localSheetId="8">#REF!</definedName>
    <definedName name="asset_write_up" localSheetId="9">#REF!</definedName>
    <definedName name="asset_write_up">#REF!</definedName>
    <definedName name="assets_acq" localSheetId="8">#REF!</definedName>
    <definedName name="assets_acq" localSheetId="9">#REF!</definedName>
    <definedName name="assets_acq">#REF!</definedName>
    <definedName name="assets_adj" localSheetId="8">#REF!</definedName>
    <definedName name="assets_adj" localSheetId="9">#REF!</definedName>
    <definedName name="assets_adj">#REF!</definedName>
    <definedName name="assets_targ">#REF!</definedName>
    <definedName name="assets_total">#REF!</definedName>
    <definedName name="baseyear">#REF!</definedName>
    <definedName name="book_acq">#REF!</definedName>
    <definedName name="book_new">#REF!</definedName>
    <definedName name="book_targ">#REF!</definedName>
    <definedName name="book_total">#REF!</definedName>
    <definedName name="cap_acq">#REF!</definedName>
    <definedName name="cash_acq">#REF!</definedName>
    <definedName name="cash_per">#REF!</definedName>
    <definedName name="cash_rate">#REF!</definedName>
    <definedName name="cash_targ">#REF!</definedName>
    <definedName name="cash_total">#REF!</definedName>
    <definedName name="CIQWBGuid" hidden="1">"afe9a56e-3065-4ad9-a438-fc9f48600bfd"</definedName>
    <definedName name="date" localSheetId="8">#REF!</definedName>
    <definedName name="date" localSheetId="9">#REF!</definedName>
    <definedName name="date">#REF!</definedName>
    <definedName name="debt_acq">#REF!</definedName>
    <definedName name="debt_adj">#REF!</definedName>
    <definedName name="debt_issue">#REF!</definedName>
    <definedName name="debt_new">#REF!</definedName>
    <definedName name="debt_targ">#REF!</definedName>
    <definedName name="ebdiat_acq">#REF!</definedName>
    <definedName name="ebdiat_targ">#REF!</definedName>
    <definedName name="ebdiat_total">#REF!</definedName>
    <definedName name="ebit_acq">#REF!</definedName>
    <definedName name="ebit_targ">#REF!</definedName>
    <definedName name="ebit_total">#REF!</definedName>
    <definedName name="eps_new1">#REF!</definedName>
    <definedName name="eps_new2">#REF!</definedName>
    <definedName name="eps_new3">#REF!</definedName>
    <definedName name="eps_yr1_acq">#REF!</definedName>
    <definedName name="eps_yr1_targ">#REF!</definedName>
    <definedName name="eps_yr2_acq">#REF!</definedName>
    <definedName name="eps_yr2_targ">#REF!</definedName>
    <definedName name="eps_yr3_acq">#REF!</definedName>
    <definedName name="eps_yr3_targ">#REF!</definedName>
    <definedName name="EQUITY">#REF!</definedName>
    <definedName name="equity_acq">#REF!</definedName>
    <definedName name="equity_targ">#REF!</definedName>
    <definedName name="equity_total">#REF!</definedName>
    <definedName name="exchange">#REF!</definedName>
    <definedName name="fv_acq">#REF!</definedName>
    <definedName name="fv_targ">#REF!</definedName>
    <definedName name="fvcash_acq">#REF!</definedName>
    <definedName name="fvcash_targ">#REF!</definedName>
    <definedName name="gw_adj_1">#REF!</definedName>
    <definedName name="gw_adj_2">#REF!</definedName>
    <definedName name="gw_adj_3">#REF!</definedName>
    <definedName name="gw_new">#REF!</definedName>
    <definedName name="gw_targ">#REF!</definedName>
    <definedName name="gw_target">#REF!</definedName>
    <definedName name="gw_years">#REF!</definedName>
    <definedName name="gwtog">#REF!</definedName>
    <definedName name="int_adj_1">#REF!</definedName>
    <definedName name="int_adj_2">#REF!</definedName>
    <definedName name="int_adj_3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"01/29/2013 00:05:37"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i_acq">#REF!</definedName>
    <definedName name="ni_targ">#REF!</definedName>
    <definedName name="ni_total">#REF!</definedName>
    <definedName name="pref_acq">#REF!</definedName>
    <definedName name="pref_new">#REF!</definedName>
    <definedName name="pref_targ">#REF!</definedName>
    <definedName name="price_acq">#REF!</definedName>
    <definedName name="price_merg">#REF!</definedName>
    <definedName name="price_targ">#REF!</definedName>
    <definedName name="refin_int">#REF!</definedName>
    <definedName name="refin_rate">#REF!</definedName>
    <definedName name="refin_tog">#REF!</definedName>
    <definedName name="rev_acq">#REF!</definedName>
    <definedName name="rev_targ">#REF!</definedName>
    <definedName name="rev_total">#REF!</definedName>
    <definedName name="shos_acq">#REF!</definedName>
    <definedName name="shos_targ">#REF!</definedName>
    <definedName name="syn_adj_1" localSheetId="8">#REF!</definedName>
    <definedName name="syn_adj_1" localSheetId="9">#REF!</definedName>
    <definedName name="syn_adj_1">#REF!</definedName>
    <definedName name="syn_adj_2">#REF!</definedName>
    <definedName name="syn_adj_3">#REF!</definedName>
    <definedName name="Target">#REF!</definedName>
    <definedName name="tax_rate">#REF!</definedName>
    <definedName name="trans_exp">#REF!</definedName>
    <definedName name="transtog">#REF!</definedName>
    <definedName name="VALUATION">#REF!</definedName>
    <definedName name="wacc">#REF!</definedName>
  </definedNames>
  <calcPr calcId="181029" iterate="1"/>
</workbook>
</file>

<file path=xl/calcChain.xml><?xml version="1.0" encoding="utf-8"?>
<calcChain xmlns="http://schemas.openxmlformats.org/spreadsheetml/2006/main">
  <c r="J218" i="21" l="1"/>
  <c r="J222" i="21" s="1"/>
  <c r="I218" i="21"/>
  <c r="J217" i="21"/>
  <c r="G43" i="21"/>
  <c r="I222" i="21"/>
  <c r="I217" i="21"/>
  <c r="I220" i="21" s="1"/>
  <c r="K48" i="27"/>
  <c r="J48" i="27"/>
  <c r="I48" i="27"/>
  <c r="H48" i="27"/>
  <c r="G48" i="27"/>
  <c r="F48" i="27"/>
  <c r="E48" i="27"/>
  <c r="D48" i="27"/>
  <c r="C48" i="27"/>
  <c r="E39" i="24"/>
  <c r="J39" i="27"/>
  <c r="I39" i="27"/>
  <c r="H39" i="27"/>
  <c r="G39" i="27"/>
  <c r="F39" i="27"/>
  <c r="E39" i="27"/>
  <c r="D39" i="27"/>
  <c r="J45" i="27"/>
  <c r="I45" i="27"/>
  <c r="H45" i="27"/>
  <c r="G45" i="27"/>
  <c r="F45" i="27"/>
  <c r="E45" i="27"/>
  <c r="D45" i="27"/>
  <c r="C45" i="27"/>
  <c r="J44" i="27"/>
  <c r="I44" i="27"/>
  <c r="H44" i="27"/>
  <c r="G44" i="27"/>
  <c r="F44" i="27"/>
  <c r="E44" i="27"/>
  <c r="D44" i="27"/>
  <c r="C44" i="27"/>
  <c r="J29" i="27"/>
  <c r="I29" i="27"/>
  <c r="H29" i="27"/>
  <c r="G29" i="27"/>
  <c r="F29" i="27"/>
  <c r="E29" i="27"/>
  <c r="D29" i="27"/>
  <c r="C41" i="27"/>
  <c r="D41" i="27"/>
  <c r="J40" i="27"/>
  <c r="I40" i="27"/>
  <c r="H40" i="27"/>
  <c r="G40" i="27"/>
  <c r="F40" i="27"/>
  <c r="E40" i="27"/>
  <c r="D40" i="27"/>
  <c r="J38" i="27"/>
  <c r="I38" i="27"/>
  <c r="H38" i="27"/>
  <c r="G38" i="27"/>
  <c r="F38" i="27"/>
  <c r="E38" i="27"/>
  <c r="D38" i="27"/>
  <c r="G34" i="27"/>
  <c r="G41" i="27" s="1"/>
  <c r="H34" i="27"/>
  <c r="H41" i="27" s="1"/>
  <c r="I34" i="27"/>
  <c r="I41" i="27" s="1"/>
  <c r="J34" i="27"/>
  <c r="J41" i="27" s="1"/>
  <c r="F34" i="27"/>
  <c r="F41" i="27" s="1"/>
  <c r="E34" i="27"/>
  <c r="E41" i="27" s="1"/>
  <c r="C33" i="27"/>
  <c r="D33" i="27"/>
  <c r="E33" i="27"/>
  <c r="J17" i="27"/>
  <c r="I17" i="27"/>
  <c r="H17" i="27"/>
  <c r="G17" i="27"/>
  <c r="F17" i="27"/>
  <c r="E17" i="27"/>
  <c r="D17" i="27"/>
  <c r="C17" i="27"/>
  <c r="J16" i="27"/>
  <c r="I16" i="27"/>
  <c r="H16" i="27"/>
  <c r="G16" i="27"/>
  <c r="F16" i="27"/>
  <c r="E16" i="27"/>
  <c r="D16" i="27"/>
  <c r="C16" i="27"/>
  <c r="C19" i="27" s="1"/>
  <c r="C22" i="27"/>
  <c r="C24" i="27" s="1"/>
  <c r="C25" i="27" s="1"/>
  <c r="D22" i="27"/>
  <c r="D24" i="27" s="1"/>
  <c r="D25" i="27" s="1"/>
  <c r="E22" i="27"/>
  <c r="E24" i="27" s="1"/>
  <c r="E25" i="27" s="1"/>
  <c r="F22" i="27"/>
  <c r="F24" i="27" s="1"/>
  <c r="F25" i="27" s="1"/>
  <c r="G22" i="27"/>
  <c r="G24" i="27" s="1"/>
  <c r="G25" i="27" s="1"/>
  <c r="J24" i="27"/>
  <c r="J25" i="27" s="1"/>
  <c r="I24" i="27"/>
  <c r="I25" i="27" s="1"/>
  <c r="H24" i="27"/>
  <c r="H25" i="27" s="1"/>
  <c r="C40" i="27"/>
  <c r="C38" i="27"/>
  <c r="C5" i="27"/>
  <c r="F33" i="27"/>
  <c r="J13" i="27"/>
  <c r="I13" i="27"/>
  <c r="H13" i="27"/>
  <c r="G13" i="27"/>
  <c r="F13" i="27"/>
  <c r="E13" i="27"/>
  <c r="D13" i="27"/>
  <c r="C13" i="27"/>
  <c r="J9" i="27"/>
  <c r="J10" i="27" s="1"/>
  <c r="I9" i="27"/>
  <c r="I10" i="27" s="1"/>
  <c r="H9" i="27"/>
  <c r="H10" i="27" s="1"/>
  <c r="G9" i="27"/>
  <c r="G10" i="27" s="1"/>
  <c r="F9" i="27"/>
  <c r="F10" i="27" s="1"/>
  <c r="E9" i="27"/>
  <c r="E10" i="27" s="1"/>
  <c r="D9" i="27"/>
  <c r="D10" i="27" s="1"/>
  <c r="C9" i="27"/>
  <c r="C10" i="27" s="1"/>
  <c r="J7" i="27"/>
  <c r="I7" i="27"/>
  <c r="H7" i="27"/>
  <c r="G7" i="27"/>
  <c r="F7" i="27"/>
  <c r="E7" i="27"/>
  <c r="D7" i="27"/>
  <c r="C7" i="27"/>
  <c r="J5" i="27"/>
  <c r="I5" i="27"/>
  <c r="H5" i="27"/>
  <c r="G5" i="27"/>
  <c r="F5" i="27"/>
  <c r="E5" i="27"/>
  <c r="D5" i="27"/>
  <c r="D2" i="27"/>
  <c r="E2" i="27" s="1"/>
  <c r="F2" i="27" s="1"/>
  <c r="G2" i="27" s="1"/>
  <c r="H2" i="27" s="1"/>
  <c r="I2" i="27" s="1"/>
  <c r="J2" i="27" s="1"/>
  <c r="Y11" i="26"/>
  <c r="X11" i="26"/>
  <c r="W11" i="26"/>
  <c r="V11" i="26"/>
  <c r="U11" i="26"/>
  <c r="T11" i="26"/>
  <c r="S11" i="26"/>
  <c r="R11" i="26"/>
  <c r="R4" i="26"/>
  <c r="Y4" i="26"/>
  <c r="X4" i="26"/>
  <c r="W4" i="26"/>
  <c r="V4" i="26"/>
  <c r="U4" i="26"/>
  <c r="T4" i="26"/>
  <c r="S4" i="26"/>
  <c r="Y6" i="26"/>
  <c r="X6" i="26"/>
  <c r="W6" i="26"/>
  <c r="V6" i="26"/>
  <c r="U6" i="26"/>
  <c r="T6" i="26"/>
  <c r="S6" i="26"/>
  <c r="R6" i="26"/>
  <c r="R28" i="26"/>
  <c r="R27" i="26"/>
  <c r="Y8" i="26"/>
  <c r="Y9" i="26" s="1"/>
  <c r="X8" i="26"/>
  <c r="X9" i="26" s="1"/>
  <c r="W8" i="26"/>
  <c r="W9" i="26" s="1"/>
  <c r="V8" i="26"/>
  <c r="V9" i="26" s="1"/>
  <c r="U8" i="26"/>
  <c r="U9" i="26" s="1"/>
  <c r="T8" i="26"/>
  <c r="T9" i="26" s="1"/>
  <c r="S8" i="26"/>
  <c r="S9" i="26" s="1"/>
  <c r="R8" i="26"/>
  <c r="R9" i="26" s="1"/>
  <c r="U20" i="26"/>
  <c r="S1" i="26"/>
  <c r="T1" i="26" s="1"/>
  <c r="U1" i="26" s="1"/>
  <c r="V1" i="26" s="1"/>
  <c r="W1" i="26" s="1"/>
  <c r="X1" i="26" s="1"/>
  <c r="Y1" i="26" s="1"/>
  <c r="J220" i="21" l="1"/>
  <c r="G42" i="27"/>
  <c r="C42" i="27"/>
  <c r="H42" i="27"/>
  <c r="H19" i="27"/>
  <c r="I19" i="27"/>
  <c r="J19" i="27"/>
  <c r="G19" i="27"/>
  <c r="D19" i="27"/>
  <c r="F19" i="27"/>
  <c r="E19" i="27"/>
  <c r="D42" i="27"/>
  <c r="I43" i="27"/>
  <c r="I42" i="27"/>
  <c r="J43" i="27"/>
  <c r="J42" i="27"/>
  <c r="E42" i="27"/>
  <c r="F42" i="27"/>
  <c r="D43" i="27"/>
  <c r="F43" i="27"/>
  <c r="E43" i="27"/>
  <c r="G43" i="27"/>
  <c r="H43" i="27"/>
  <c r="I212" i="21"/>
  <c r="I211" i="21"/>
  <c r="H212" i="21"/>
  <c r="H211" i="21"/>
  <c r="H209" i="21"/>
  <c r="H208" i="21"/>
  <c r="H207" i="21"/>
  <c r="I200" i="21"/>
  <c r="K204" i="21"/>
  <c r="L204" i="21" s="1"/>
  <c r="M204" i="21" s="1"/>
  <c r="N204" i="21" s="1"/>
  <c r="N205" i="21" l="1"/>
  <c r="M205" i="21"/>
  <c r="L205" i="21"/>
  <c r="K205" i="21"/>
  <c r="J205" i="21"/>
  <c r="B37" i="2"/>
  <c r="C37" i="2"/>
  <c r="D37" i="2"/>
  <c r="C208" i="21"/>
  <c r="D208" i="21"/>
  <c r="E208" i="21"/>
  <c r="E207" i="21"/>
  <c r="D207" i="21"/>
  <c r="D209" i="21" s="1"/>
  <c r="D212" i="21" s="1"/>
  <c r="C207" i="21"/>
  <c r="J198" i="21"/>
  <c r="K198" i="21" s="1"/>
  <c r="L198" i="21" s="1"/>
  <c r="M198" i="21" s="1"/>
  <c r="N198" i="21" s="1"/>
  <c r="E204" i="21"/>
  <c r="D205" i="21"/>
  <c r="D204" i="21"/>
  <c r="C205" i="21"/>
  <c r="C204" i="21"/>
  <c r="E202" i="21"/>
  <c r="E205" i="21" s="1"/>
  <c r="D202" i="21"/>
  <c r="C202" i="21"/>
  <c r="C201" i="21"/>
  <c r="D201" i="21"/>
  <c r="E201" i="21"/>
  <c r="E200" i="21"/>
  <c r="D200" i="21"/>
  <c r="C200" i="21"/>
  <c r="B35" i="2"/>
  <c r="C35" i="2"/>
  <c r="D35" i="2"/>
  <c r="J46" i="18"/>
  <c r="I46" i="18"/>
  <c r="J38" i="18"/>
  <c r="I49" i="18" s="1"/>
  <c r="J33" i="18"/>
  <c r="J34" i="18" s="1"/>
  <c r="J41" i="18" s="1"/>
  <c r="G25" i="24"/>
  <c r="E25" i="24"/>
  <c r="E35" i="24" s="1"/>
  <c r="E9" i="24"/>
  <c r="E17" i="24"/>
  <c r="E16" i="24"/>
  <c r="H17" i="8"/>
  <c r="G17" i="8"/>
  <c r="H15" i="8"/>
  <c r="G15" i="8"/>
  <c r="H13" i="8"/>
  <c r="G13" i="8"/>
  <c r="G5" i="8"/>
  <c r="H5" i="8"/>
  <c r="I48" i="18" l="1"/>
  <c r="C209" i="21"/>
  <c r="C212" i="21" s="1"/>
  <c r="E209" i="21"/>
  <c r="E212" i="21" s="1"/>
  <c r="E211" i="21"/>
  <c r="D211" i="21"/>
  <c r="C211" i="21"/>
  <c r="J49" i="18"/>
  <c r="J42" i="18"/>
  <c r="J48" i="18"/>
  <c r="E18" i="24"/>
  <c r="L44" i="26"/>
  <c r="M44" i="26" s="1"/>
  <c r="K44" i="26"/>
  <c r="J44" i="26"/>
  <c r="C51" i="7"/>
  <c r="C47" i="7"/>
  <c r="C43" i="7"/>
  <c r="M42" i="26"/>
  <c r="L43" i="26"/>
  <c r="L42" i="26"/>
  <c r="L41" i="26"/>
  <c r="L40" i="26"/>
  <c r="L39" i="26"/>
  <c r="L38" i="26"/>
  <c r="L37" i="26"/>
  <c r="L36" i="26"/>
  <c r="L35" i="26"/>
  <c r="K43" i="26"/>
  <c r="K42" i="26"/>
  <c r="K41" i="26"/>
  <c r="K40" i="26"/>
  <c r="K39" i="26"/>
  <c r="K38" i="26"/>
  <c r="K37" i="26"/>
  <c r="K36" i="26"/>
  <c r="K35" i="26"/>
  <c r="J43" i="26"/>
  <c r="J42" i="26"/>
  <c r="J41" i="26"/>
  <c r="M41" i="26" s="1"/>
  <c r="J40" i="26"/>
  <c r="M40" i="26" s="1"/>
  <c r="J39" i="26"/>
  <c r="M39" i="26" s="1"/>
  <c r="J38" i="26"/>
  <c r="M38" i="26" s="1"/>
  <c r="J37" i="26"/>
  <c r="J36" i="26"/>
  <c r="J35" i="26"/>
  <c r="N52" i="7"/>
  <c r="M52" i="7"/>
  <c r="L52" i="7"/>
  <c r="K52" i="7"/>
  <c r="J52" i="7"/>
  <c r="I52" i="7"/>
  <c r="H52" i="7"/>
  <c r="G52" i="7"/>
  <c r="F52" i="7"/>
  <c r="E52" i="7"/>
  <c r="N58" i="7"/>
  <c r="N57" i="7"/>
  <c r="N56" i="7"/>
  <c r="N59" i="7" s="1"/>
  <c r="M58" i="7"/>
  <c r="M59" i="7" s="1"/>
  <c r="M57" i="7"/>
  <c r="M56" i="7"/>
  <c r="L59" i="7"/>
  <c r="L58" i="7"/>
  <c r="L57" i="7"/>
  <c r="L56" i="7"/>
  <c r="K58" i="7"/>
  <c r="K57" i="7"/>
  <c r="K56" i="7"/>
  <c r="K59" i="7" s="1"/>
  <c r="J58" i="7"/>
  <c r="J59" i="7" s="1"/>
  <c r="J57" i="7"/>
  <c r="J56" i="7"/>
  <c r="I58" i="7"/>
  <c r="I59" i="7" s="1"/>
  <c r="I57" i="7"/>
  <c r="I56" i="7"/>
  <c r="H58" i="7"/>
  <c r="H59" i="7" s="1"/>
  <c r="H57" i="7"/>
  <c r="H56" i="7"/>
  <c r="G58" i="7"/>
  <c r="G59" i="7" s="1"/>
  <c r="G57" i="7"/>
  <c r="G56" i="7"/>
  <c r="F58" i="7"/>
  <c r="F59" i="7" s="1"/>
  <c r="F57" i="7"/>
  <c r="F56" i="7"/>
  <c r="E58" i="7"/>
  <c r="E59" i="7" s="1"/>
  <c r="E57" i="7"/>
  <c r="E56" i="7"/>
  <c r="D59" i="7"/>
  <c r="D58" i="7"/>
  <c r="D57" i="7"/>
  <c r="D56" i="7"/>
  <c r="N49" i="7"/>
  <c r="N46" i="7"/>
  <c r="N45" i="7"/>
  <c r="N47" i="7" s="1"/>
  <c r="N42" i="7"/>
  <c r="N41" i="7"/>
  <c r="N43" i="7" s="1"/>
  <c r="M49" i="7"/>
  <c r="M46" i="7"/>
  <c r="M45" i="7"/>
  <c r="M47" i="7" s="1"/>
  <c r="M43" i="7"/>
  <c r="M42" i="7"/>
  <c r="M41" i="7"/>
  <c r="M53" i="7" s="1"/>
  <c r="M54" i="7" s="1"/>
  <c r="M55" i="7" s="1"/>
  <c r="L49" i="7"/>
  <c r="L46" i="7"/>
  <c r="L45" i="7"/>
  <c r="L47" i="7" s="1"/>
  <c r="L43" i="7"/>
  <c r="L42" i="7"/>
  <c r="L41" i="7"/>
  <c r="L53" i="7" s="1"/>
  <c r="L54" i="7" s="1"/>
  <c r="L55" i="7" s="1"/>
  <c r="K50" i="7"/>
  <c r="K49" i="7"/>
  <c r="K51" i="7" s="1"/>
  <c r="K46" i="7"/>
  <c r="K45" i="7"/>
  <c r="K47" i="7" s="1"/>
  <c r="K43" i="7"/>
  <c r="K42" i="7"/>
  <c r="K41" i="7"/>
  <c r="K53" i="7" s="1"/>
  <c r="K54" i="7" s="1"/>
  <c r="K55" i="7" s="1"/>
  <c r="J50" i="7"/>
  <c r="J49" i="7"/>
  <c r="J51" i="7" s="1"/>
  <c r="J46" i="7"/>
  <c r="J45" i="7"/>
  <c r="J47" i="7" s="1"/>
  <c r="J43" i="7"/>
  <c r="J42" i="7"/>
  <c r="J41" i="7"/>
  <c r="J53" i="7" s="1"/>
  <c r="J54" i="7" s="1"/>
  <c r="J55" i="7" s="1"/>
  <c r="I50" i="7"/>
  <c r="I49" i="7"/>
  <c r="I51" i="7" s="1"/>
  <c r="I46" i="7"/>
  <c r="I45" i="7"/>
  <c r="I47" i="7" s="1"/>
  <c r="I43" i="7"/>
  <c r="I42" i="7"/>
  <c r="I41" i="7"/>
  <c r="I53" i="7" s="1"/>
  <c r="I54" i="7" s="1"/>
  <c r="I55" i="7" s="1"/>
  <c r="H50" i="7"/>
  <c r="H49" i="7"/>
  <c r="H51" i="7" s="1"/>
  <c r="H46" i="7"/>
  <c r="H47" i="7" s="1"/>
  <c r="H45" i="7"/>
  <c r="H42" i="7"/>
  <c r="H41" i="7"/>
  <c r="H43" i="7" s="1"/>
  <c r="G50" i="7"/>
  <c r="G49" i="7"/>
  <c r="G51" i="7" s="1"/>
  <c r="G46" i="7"/>
  <c r="G45" i="7"/>
  <c r="G47" i="7" s="1"/>
  <c r="G43" i="7"/>
  <c r="G42" i="7"/>
  <c r="G41" i="7"/>
  <c r="G53" i="7" s="1"/>
  <c r="G54" i="7" s="1"/>
  <c r="G55" i="7" s="1"/>
  <c r="F50" i="7"/>
  <c r="F49" i="7"/>
  <c r="F51" i="7" s="1"/>
  <c r="F46" i="7"/>
  <c r="F45" i="7"/>
  <c r="F47" i="7" s="1"/>
  <c r="F42" i="7"/>
  <c r="F41" i="7"/>
  <c r="F43" i="7" s="1"/>
  <c r="E50" i="7"/>
  <c r="E49" i="7"/>
  <c r="E51" i="7" s="1"/>
  <c r="E46" i="7"/>
  <c r="E45" i="7"/>
  <c r="E47" i="7" s="1"/>
  <c r="E43" i="7"/>
  <c r="E42" i="7"/>
  <c r="E41" i="7"/>
  <c r="E53" i="7" s="1"/>
  <c r="E54" i="7" s="1"/>
  <c r="E55" i="7" s="1"/>
  <c r="D55" i="7"/>
  <c r="D53" i="7"/>
  <c r="C53" i="7"/>
  <c r="D50" i="7"/>
  <c r="D49" i="7"/>
  <c r="D51" i="7" s="1"/>
  <c r="C15" i="7"/>
  <c r="C16" i="7" s="1"/>
  <c r="D15" i="7"/>
  <c r="D16" i="7" s="1"/>
  <c r="C49" i="7"/>
  <c r="D46" i="7"/>
  <c r="D45" i="7"/>
  <c r="D47" i="7" s="1"/>
  <c r="C46" i="7"/>
  <c r="C45" i="7"/>
  <c r="D42" i="7"/>
  <c r="D41" i="7"/>
  <c r="D43" i="7" s="1"/>
  <c r="C42" i="7"/>
  <c r="C41" i="7"/>
  <c r="M37" i="26" l="1"/>
  <c r="M36" i="26"/>
  <c r="M35" i="26"/>
  <c r="M43" i="26"/>
  <c r="J47" i="18"/>
  <c r="J50" i="18" s="1"/>
  <c r="I47" i="18"/>
  <c r="I50" i="18" s="1"/>
  <c r="N53" i="7"/>
  <c r="N54" i="7" s="1"/>
  <c r="N55" i="7" s="1"/>
  <c r="H53" i="7"/>
  <c r="H54" i="7" s="1"/>
  <c r="H55" i="7" s="1"/>
  <c r="F53" i="7"/>
  <c r="F54" i="7" s="1"/>
  <c r="F55" i="7" s="1"/>
  <c r="C50" i="7"/>
  <c r="D54" i="7"/>
  <c r="I19" i="26" l="1"/>
  <c r="I20" i="26" s="1"/>
  <c r="I21" i="26" s="1"/>
  <c r="I22" i="26" s="1"/>
  <c r="I23" i="26" s="1"/>
  <c r="I24" i="26" s="1"/>
  <c r="I25" i="26" s="1"/>
  <c r="I26" i="26" s="1"/>
  <c r="I27" i="26" s="1"/>
  <c r="E19" i="26"/>
  <c r="E20" i="26" s="1"/>
  <c r="E21" i="26" s="1"/>
  <c r="E22" i="26" s="1"/>
  <c r="E23" i="26" s="1"/>
  <c r="E24" i="26" s="1"/>
  <c r="E25" i="26" s="1"/>
  <c r="E26" i="26" s="1"/>
  <c r="E27" i="26" s="1"/>
  <c r="C27" i="26"/>
  <c r="C26" i="26"/>
  <c r="C25" i="26"/>
  <c r="C24" i="26"/>
  <c r="C23" i="26"/>
  <c r="C22" i="26"/>
  <c r="C21" i="26"/>
  <c r="C20" i="26"/>
  <c r="C19" i="26"/>
  <c r="C18" i="26"/>
  <c r="L13" i="26"/>
  <c r="L12" i="26"/>
  <c r="L11" i="26"/>
  <c r="L10" i="26"/>
  <c r="L9" i="26"/>
  <c r="L8" i="26"/>
  <c r="L7" i="26"/>
  <c r="L6" i="26"/>
  <c r="L5" i="26"/>
  <c r="L4" i="26"/>
  <c r="F13" i="26"/>
  <c r="F12" i="26"/>
  <c r="F11" i="26"/>
  <c r="F10" i="26"/>
  <c r="F9" i="26"/>
  <c r="F8" i="26"/>
  <c r="F7" i="26"/>
  <c r="F6" i="26"/>
  <c r="F5" i="26"/>
  <c r="F4" i="26"/>
  <c r="C13" i="26"/>
  <c r="C12" i="26"/>
  <c r="C11" i="26"/>
  <c r="C10" i="26"/>
  <c r="C9" i="26"/>
  <c r="C8" i="26"/>
  <c r="C7" i="26"/>
  <c r="C6" i="26"/>
  <c r="C5" i="26"/>
  <c r="C4" i="26"/>
  <c r="O4" i="26" l="1"/>
  <c r="C29" i="26"/>
  <c r="O12" i="26"/>
  <c r="L15" i="26"/>
  <c r="G4" i="26"/>
  <c r="G5" i="26"/>
  <c r="G13" i="26"/>
  <c r="G6" i="26"/>
  <c r="G11" i="26"/>
  <c r="G12" i="26"/>
  <c r="F15" i="26"/>
  <c r="G8" i="26"/>
  <c r="G10" i="26"/>
  <c r="C15" i="26"/>
  <c r="G7" i="26"/>
  <c r="G9" i="26"/>
  <c r="J13" i="26"/>
  <c r="O13" i="26" s="1"/>
  <c r="J12" i="26"/>
  <c r="J11" i="26"/>
  <c r="O11" i="26" s="1"/>
  <c r="J10" i="26"/>
  <c r="O10" i="26" s="1"/>
  <c r="J9" i="26"/>
  <c r="O9" i="26" s="1"/>
  <c r="J8" i="26"/>
  <c r="O8" i="26" s="1"/>
  <c r="J7" i="26"/>
  <c r="O7" i="26" s="1"/>
  <c r="J6" i="26"/>
  <c r="O6" i="26" s="1"/>
  <c r="J5" i="26"/>
  <c r="O5" i="26" s="1"/>
  <c r="J4" i="26"/>
  <c r="N5" i="26"/>
  <c r="N6" i="26" s="1"/>
  <c r="N7" i="26" s="1"/>
  <c r="N8" i="26" s="1"/>
  <c r="N9" i="26" s="1"/>
  <c r="N10" i="26" s="1"/>
  <c r="N11" i="26" s="1"/>
  <c r="N12" i="26" s="1"/>
  <c r="N13" i="26" s="1"/>
  <c r="I5" i="26"/>
  <c r="I6" i="26" s="1"/>
  <c r="I7" i="26" s="1"/>
  <c r="I8" i="26" s="1"/>
  <c r="I9" i="26" s="1"/>
  <c r="I10" i="26" s="1"/>
  <c r="I11" i="26" s="1"/>
  <c r="I12" i="26" s="1"/>
  <c r="I13" i="26" s="1"/>
  <c r="E5" i="26"/>
  <c r="E6" i="26" s="1"/>
  <c r="E7" i="26" s="1"/>
  <c r="E8" i="26" s="1"/>
  <c r="E9" i="26" s="1"/>
  <c r="E10" i="26" s="1"/>
  <c r="E11" i="26" s="1"/>
  <c r="E12" i="26" s="1"/>
  <c r="E13" i="26" s="1"/>
  <c r="I36" i="26"/>
  <c r="I37" i="26" s="1"/>
  <c r="I38" i="26" s="1"/>
  <c r="I39" i="26" s="1"/>
  <c r="I40" i="26" s="1"/>
  <c r="I41" i="26" s="1"/>
  <c r="I42" i="26" s="1"/>
  <c r="I43" i="26" s="1"/>
  <c r="I44" i="26" s="1"/>
  <c r="B19" i="26"/>
  <c r="B20" i="26" s="1"/>
  <c r="B21" i="26" s="1"/>
  <c r="B22" i="26" s="1"/>
  <c r="B23" i="26" s="1"/>
  <c r="B24" i="26" s="1"/>
  <c r="B25" i="26" s="1"/>
  <c r="B26" i="26" s="1"/>
  <c r="B27" i="26" s="1"/>
  <c r="E18" i="7"/>
  <c r="F18" i="26" s="1"/>
  <c r="F18" i="7"/>
  <c r="F19" i="26" s="1"/>
  <c r="G18" i="7"/>
  <c r="F20" i="26" s="1"/>
  <c r="H68" i="7"/>
  <c r="H18" i="7" s="1"/>
  <c r="F21" i="26" s="1"/>
  <c r="I18" i="7"/>
  <c r="F22" i="26" s="1"/>
  <c r="J18" i="7"/>
  <c r="F23" i="26" s="1"/>
  <c r="K18" i="7"/>
  <c r="F24" i="26" s="1"/>
  <c r="N18" i="7"/>
  <c r="F27" i="26" s="1"/>
  <c r="M18" i="7"/>
  <c r="F26" i="26" s="1"/>
  <c r="L18" i="7"/>
  <c r="F25" i="26" s="1"/>
  <c r="I16" i="7"/>
  <c r="E15" i="7"/>
  <c r="E16" i="7" s="1"/>
  <c r="F15" i="7"/>
  <c r="F16" i="7" s="1"/>
  <c r="G15" i="7"/>
  <c r="G16" i="7" s="1"/>
  <c r="H15" i="7"/>
  <c r="H16" i="7" s="1"/>
  <c r="I15" i="7"/>
  <c r="J15" i="7"/>
  <c r="J16" i="7" s="1"/>
  <c r="K15" i="7"/>
  <c r="K16" i="7" s="1"/>
  <c r="N37" i="7"/>
  <c r="J27" i="26" s="1"/>
  <c r="M37" i="7"/>
  <c r="J26" i="26" s="1"/>
  <c r="L37" i="7"/>
  <c r="J25" i="26" s="1"/>
  <c r="K37" i="7"/>
  <c r="J24" i="26" s="1"/>
  <c r="J37" i="7"/>
  <c r="J23" i="26" s="1"/>
  <c r="I37" i="7"/>
  <c r="J22" i="26" s="1"/>
  <c r="H37" i="7"/>
  <c r="J21" i="26" s="1"/>
  <c r="G37" i="7"/>
  <c r="J20" i="26" s="1"/>
  <c r="F37" i="7"/>
  <c r="J19" i="26" s="1"/>
  <c r="E37" i="7"/>
  <c r="J18" i="26" s="1"/>
  <c r="C37" i="7"/>
  <c r="D37" i="7"/>
  <c r="F29" i="26" l="1"/>
  <c r="K4" i="26"/>
  <c r="K13" i="26"/>
  <c r="M13" i="26" s="1"/>
  <c r="J15" i="26"/>
  <c r="K8" i="26"/>
  <c r="K12" i="26"/>
  <c r="K5" i="26"/>
  <c r="K7" i="26"/>
  <c r="K9" i="26"/>
  <c r="M9" i="26"/>
  <c r="K10" i="26"/>
  <c r="K6" i="26"/>
  <c r="K11" i="26"/>
  <c r="L15" i="7"/>
  <c r="M15" i="7"/>
  <c r="N15" i="7"/>
  <c r="N38" i="7"/>
  <c r="K27" i="26" s="1"/>
  <c r="M38" i="7"/>
  <c r="K26" i="26" s="1"/>
  <c r="L38" i="7"/>
  <c r="K25" i="26" s="1"/>
  <c r="K38" i="7"/>
  <c r="K24" i="26" s="1"/>
  <c r="J38" i="7"/>
  <c r="K23" i="26" s="1"/>
  <c r="I38" i="7"/>
  <c r="K22" i="26" s="1"/>
  <c r="H38" i="7"/>
  <c r="K21" i="26" s="1"/>
  <c r="G38" i="7"/>
  <c r="K20" i="26" s="1"/>
  <c r="F38" i="7"/>
  <c r="K19" i="26" s="1"/>
  <c r="E38" i="7"/>
  <c r="K18" i="26" s="1"/>
  <c r="D38" i="7"/>
  <c r="C38" i="7"/>
  <c r="B5" i="26"/>
  <c r="B6" i="26" s="1"/>
  <c r="B7" i="26" s="1"/>
  <c r="B8" i="26" s="1"/>
  <c r="B9" i="26" s="1"/>
  <c r="B10" i="26" s="1"/>
  <c r="B11" i="26" s="1"/>
  <c r="B12" i="26" s="1"/>
  <c r="B13" i="26" s="1"/>
  <c r="M16" i="7" l="1"/>
  <c r="M50" i="7"/>
  <c r="M51" i="7" s="1"/>
  <c r="N16" i="7"/>
  <c r="N50" i="7"/>
  <c r="N51" i="7" s="1"/>
  <c r="L16" i="7"/>
  <c r="L50" i="7"/>
  <c r="L51" i="7" s="1"/>
  <c r="M7" i="26"/>
  <c r="M10" i="26"/>
  <c r="M12" i="26"/>
  <c r="M6" i="26"/>
  <c r="M5" i="26"/>
  <c r="M8" i="26"/>
  <c r="K15" i="26"/>
  <c r="M11" i="26"/>
  <c r="M4" i="26"/>
  <c r="E23" i="25" l="1"/>
  <c r="C23" i="25"/>
  <c r="C21" i="25"/>
  <c r="H22" i="25"/>
  <c r="E16" i="25"/>
  <c r="H10" i="25"/>
  <c r="J7" i="25" s="1"/>
  <c r="J8" i="25"/>
  <c r="J10" i="25" l="1"/>
  <c r="J13" i="25"/>
  <c r="C22" i="25"/>
  <c r="C24" i="25" s="1"/>
  <c r="C8" i="13"/>
  <c r="E10" i="24"/>
  <c r="G5" i="24"/>
  <c r="G16" i="24"/>
  <c r="C13" i="22"/>
  <c r="C14" i="22"/>
  <c r="C15" i="22"/>
  <c r="C16" i="22"/>
  <c r="E13" i="18"/>
  <c r="E6" i="19"/>
  <c r="J8" i="18"/>
  <c r="H10" i="18"/>
  <c r="C5" i="19"/>
  <c r="F23" i="22"/>
  <c r="C23" i="22"/>
  <c r="D21" i="22"/>
  <c r="F24" i="22" s="1"/>
  <c r="H14" i="22"/>
  <c r="C8" i="22"/>
  <c r="E6" i="22"/>
  <c r="C5" i="22"/>
  <c r="E8" i="24" l="1"/>
  <c r="G17" i="24"/>
  <c r="J21" i="25"/>
  <c r="C10" i="22"/>
  <c r="E14" i="22" s="1"/>
  <c r="C6" i="22"/>
  <c r="E5" i="22"/>
  <c r="C24" i="22"/>
  <c r="C26" i="22" s="1"/>
  <c r="G18" i="24" l="1"/>
  <c r="H13" i="22"/>
  <c r="E8" i="22"/>
  <c r="E13" i="22"/>
  <c r="D18" i="22"/>
  <c r="D20" i="22" s="1"/>
  <c r="F25" i="22" s="1"/>
  <c r="F26" i="22" s="1"/>
  <c r="C7" i="22"/>
  <c r="H15" i="22" s="1"/>
  <c r="G22" i="24" l="1"/>
  <c r="E22" i="24"/>
  <c r="E23" i="24" s="1"/>
  <c r="E26" i="24" s="1"/>
  <c r="H16" i="22"/>
  <c r="E16" i="22"/>
  <c r="J13" i="22"/>
  <c r="L10" i="22"/>
  <c r="J14" i="22"/>
  <c r="E27" i="24" l="1"/>
  <c r="E31" i="24" s="1"/>
  <c r="E36" i="24"/>
  <c r="E37" i="24" s="1"/>
  <c r="E41" i="24" s="1"/>
  <c r="G41" i="24" s="1"/>
  <c r="J16" i="22"/>
  <c r="C36" i="13" l="1"/>
  <c r="J7" i="18"/>
  <c r="C27" i="13"/>
  <c r="E49" i="15"/>
  <c r="C17" i="13"/>
  <c r="I207" i="21" s="1"/>
  <c r="C15" i="13"/>
  <c r="E49" i="14"/>
  <c r="C6" i="13"/>
  <c r="L192" i="21"/>
  <c r="K192" i="21"/>
  <c r="J192" i="21"/>
  <c r="I192" i="21"/>
  <c r="G193" i="21"/>
  <c r="H193" i="21" s="1"/>
  <c r="H192" i="21" s="1"/>
  <c r="F193" i="21"/>
  <c r="E193" i="21"/>
  <c r="L56" i="21"/>
  <c r="K56" i="21"/>
  <c r="J56" i="21"/>
  <c r="I56" i="21"/>
  <c r="H56" i="21"/>
  <c r="L49" i="21"/>
  <c r="K49" i="21"/>
  <c r="J49" i="21"/>
  <c r="I49" i="21"/>
  <c r="H49" i="21"/>
  <c r="H180" i="21"/>
  <c r="E181" i="21"/>
  <c r="G181" i="21"/>
  <c r="F181" i="21"/>
  <c r="G179" i="21"/>
  <c r="G177" i="21"/>
  <c r="G178" i="21" s="1"/>
  <c r="H178" i="21" s="1"/>
  <c r="I178" i="21" s="1"/>
  <c r="J178" i="21" s="1"/>
  <c r="K178" i="21" s="1"/>
  <c r="L178" i="21" s="1"/>
  <c r="F179" i="21"/>
  <c r="F177" i="21"/>
  <c r="E179" i="21"/>
  <c r="E177" i="21"/>
  <c r="D179" i="21"/>
  <c r="D177" i="21"/>
  <c r="H11" i="21"/>
  <c r="I11" i="21" s="1"/>
  <c r="J11" i="21" s="1"/>
  <c r="K11" i="21" s="1"/>
  <c r="L11" i="21" s="1"/>
  <c r="I209" i="21" l="1"/>
  <c r="I208" i="21"/>
  <c r="H7" i="25"/>
  <c r="H13" i="25"/>
  <c r="H21" i="25" s="1"/>
  <c r="E9" i="25"/>
  <c r="H8" i="25"/>
  <c r="E8" i="25" s="1"/>
  <c r="J14" i="25" s="1"/>
  <c r="H7" i="18"/>
  <c r="E9" i="18" s="1"/>
  <c r="J10" i="18"/>
  <c r="J13" i="18"/>
  <c r="J21" i="18" s="1"/>
  <c r="C29" i="13"/>
  <c r="C31" i="13" s="1"/>
  <c r="C34" i="13" s="1"/>
  <c r="C16" i="13"/>
  <c r="C37" i="13" s="1"/>
  <c r="C38" i="13" s="1"/>
  <c r="G34" i="21"/>
  <c r="J16" i="25" l="1"/>
  <c r="E7" i="25"/>
  <c r="E10" i="25" s="1"/>
  <c r="E12" i="25" s="1"/>
  <c r="H9" i="25"/>
  <c r="H15" i="25" s="1"/>
  <c r="H23" i="25" s="1"/>
  <c r="H24" i="25" s="1"/>
  <c r="H14" i="25"/>
  <c r="H13" i="18"/>
  <c r="H21" i="18" s="1"/>
  <c r="H8" i="18"/>
  <c r="H9" i="18" s="1"/>
  <c r="H15" i="18" s="1"/>
  <c r="H23" i="18" s="1"/>
  <c r="C40" i="13"/>
  <c r="I189" i="21"/>
  <c r="J189" i="21" s="1"/>
  <c r="K189" i="21" s="1"/>
  <c r="L189" i="21" s="1"/>
  <c r="G188" i="21"/>
  <c r="F188" i="21"/>
  <c r="E188" i="21"/>
  <c r="G194" i="21"/>
  <c r="F194" i="21"/>
  <c r="E194" i="21"/>
  <c r="D194" i="21"/>
  <c r="D188" i="21"/>
  <c r="H101" i="21"/>
  <c r="I99" i="21"/>
  <c r="J99" i="21" s="1"/>
  <c r="K99" i="21" s="1"/>
  <c r="L99" i="21" s="1"/>
  <c r="I98" i="21"/>
  <c r="J98" i="21" s="1"/>
  <c r="K98" i="21" s="1"/>
  <c r="L98" i="21" s="1"/>
  <c r="I97" i="21"/>
  <c r="J97" i="21" s="1"/>
  <c r="K97" i="21" s="1"/>
  <c r="L97" i="21" s="1"/>
  <c r="I15" i="21"/>
  <c r="C104" i="21"/>
  <c r="D103" i="21" s="1"/>
  <c r="F42" i="21"/>
  <c r="F104" i="21" s="1"/>
  <c r="E42" i="21"/>
  <c r="E104" i="21" s="1"/>
  <c r="C42" i="21"/>
  <c r="D42" i="21"/>
  <c r="D104" i="21" s="1"/>
  <c r="E103" i="21" s="1"/>
  <c r="G42" i="21"/>
  <c r="G104" i="21" s="1"/>
  <c r="H103" i="21" s="1"/>
  <c r="I185" i="21"/>
  <c r="J185" i="21" s="1"/>
  <c r="K185" i="21" s="1"/>
  <c r="L185" i="21" s="1"/>
  <c r="F187" i="21"/>
  <c r="F43" i="21" s="1"/>
  <c r="E187" i="21"/>
  <c r="E43" i="21" s="1"/>
  <c r="D187" i="21"/>
  <c r="D43" i="21" s="1"/>
  <c r="C187" i="21"/>
  <c r="C43" i="21" s="1"/>
  <c r="D100" i="21"/>
  <c r="E100" i="21"/>
  <c r="F100" i="21"/>
  <c r="G100" i="21" s="1"/>
  <c r="F99" i="21"/>
  <c r="G99" i="21" s="1"/>
  <c r="G93" i="21"/>
  <c r="G94" i="21"/>
  <c r="G95" i="21"/>
  <c r="G96" i="21"/>
  <c r="F97" i="21"/>
  <c r="G97" i="21" s="1"/>
  <c r="E97" i="21"/>
  <c r="D97" i="21"/>
  <c r="F92" i="21"/>
  <c r="E92" i="21"/>
  <c r="D92" i="21"/>
  <c r="F88" i="21"/>
  <c r="G88" i="21" s="1"/>
  <c r="E88" i="21"/>
  <c r="D88" i="21"/>
  <c r="F89" i="21"/>
  <c r="G89" i="21" s="1"/>
  <c r="F87" i="21"/>
  <c r="G87" i="21" s="1"/>
  <c r="E89" i="21"/>
  <c r="E87" i="21"/>
  <c r="D89" i="21"/>
  <c r="D87" i="21"/>
  <c r="C162" i="21"/>
  <c r="C158" i="21"/>
  <c r="F84" i="21"/>
  <c r="G84" i="21" s="1"/>
  <c r="G15" i="21" s="1"/>
  <c r="E84" i="21"/>
  <c r="D84" i="21"/>
  <c r="F82" i="21"/>
  <c r="F81" i="21"/>
  <c r="E82" i="21"/>
  <c r="E81" i="21"/>
  <c r="D82" i="21"/>
  <c r="D81" i="21"/>
  <c r="G132" i="21"/>
  <c r="G133" i="21"/>
  <c r="G7" i="21"/>
  <c r="I14" i="21"/>
  <c r="J14" i="21" s="1"/>
  <c r="K14" i="21" s="1"/>
  <c r="L14" i="21" s="1"/>
  <c r="I161" i="21"/>
  <c r="J161" i="21" s="1"/>
  <c r="K161" i="21" s="1"/>
  <c r="L161" i="21" s="1"/>
  <c r="I157" i="21"/>
  <c r="J157" i="21" s="1"/>
  <c r="K157" i="21" s="1"/>
  <c r="L157" i="21" s="1"/>
  <c r="I153" i="21"/>
  <c r="J153" i="21" s="1"/>
  <c r="K153" i="21" s="1"/>
  <c r="L153" i="21" s="1"/>
  <c r="C64" i="21"/>
  <c r="C65" i="21" s="1"/>
  <c r="D61" i="21"/>
  <c r="D60" i="21"/>
  <c r="D59" i="21"/>
  <c r="E61" i="21"/>
  <c r="E60" i="21"/>
  <c r="E59" i="21"/>
  <c r="F61" i="21"/>
  <c r="F60" i="21"/>
  <c r="F59" i="21"/>
  <c r="D56" i="21"/>
  <c r="E56" i="21"/>
  <c r="F56" i="21"/>
  <c r="D55" i="21"/>
  <c r="D174" i="21" s="1"/>
  <c r="E55" i="21"/>
  <c r="E174" i="21" s="1"/>
  <c r="F55" i="21"/>
  <c r="F174" i="21" s="1"/>
  <c r="D54" i="21"/>
  <c r="E54" i="21"/>
  <c r="F54" i="21"/>
  <c r="C44" i="21"/>
  <c r="C154" i="21" s="1"/>
  <c r="D53" i="21"/>
  <c r="D162" i="21" s="1"/>
  <c r="E53" i="21"/>
  <c r="E162" i="21" s="1"/>
  <c r="F53" i="21"/>
  <c r="F162" i="21" s="1"/>
  <c r="G155" i="21"/>
  <c r="G154" i="21"/>
  <c r="G159" i="21"/>
  <c r="G158" i="21"/>
  <c r="G162" i="21"/>
  <c r="H16" i="25" l="1"/>
  <c r="L16" i="25" s="1"/>
  <c r="E14" i="25"/>
  <c r="E21" i="25" s="1"/>
  <c r="E22" i="25" s="1"/>
  <c r="E24" i="25" s="1"/>
  <c r="G21" i="24" s="1"/>
  <c r="G23" i="24" s="1"/>
  <c r="G26" i="24" s="1"/>
  <c r="G27" i="24" s="1"/>
  <c r="G31" i="24" s="1"/>
  <c r="E15" i="25"/>
  <c r="J22" i="25"/>
  <c r="J24" i="25" s="1"/>
  <c r="E7" i="18"/>
  <c r="G61" i="21"/>
  <c r="G180" i="21" s="1"/>
  <c r="I180" i="21" s="1"/>
  <c r="J180" i="21" s="1"/>
  <c r="K180" i="21" s="1"/>
  <c r="L180" i="21" s="1"/>
  <c r="F86" i="21"/>
  <c r="G169" i="21"/>
  <c r="L101" i="21"/>
  <c r="G103" i="21"/>
  <c r="F103" i="21"/>
  <c r="D41" i="21"/>
  <c r="F189" i="21"/>
  <c r="E189" i="21"/>
  <c r="D189" i="21"/>
  <c r="D86" i="21"/>
  <c r="E86" i="21"/>
  <c r="I101" i="21"/>
  <c r="J101" i="21"/>
  <c r="K101" i="21"/>
  <c r="D101" i="21"/>
  <c r="D102" i="21" s="1"/>
  <c r="D105" i="21" s="1"/>
  <c r="J15" i="21"/>
  <c r="G187" i="21"/>
  <c r="G189" i="21" s="1"/>
  <c r="E101" i="21"/>
  <c r="E102" i="21" s="1"/>
  <c r="E105" i="21" s="1"/>
  <c r="E41" i="21"/>
  <c r="C41" i="21"/>
  <c r="F101" i="21"/>
  <c r="F102" i="21" s="1"/>
  <c r="F105" i="21" s="1"/>
  <c r="G153" i="21"/>
  <c r="F62" i="21"/>
  <c r="E169" i="21"/>
  <c r="G165" i="21"/>
  <c r="G157" i="21"/>
  <c r="D62" i="21"/>
  <c r="C165" i="21"/>
  <c r="G134" i="21"/>
  <c r="G59" i="21"/>
  <c r="H59" i="21" s="1"/>
  <c r="E62" i="21"/>
  <c r="D169" i="21"/>
  <c r="F169" i="21"/>
  <c r="E57" i="21"/>
  <c r="F57" i="21"/>
  <c r="D57" i="21"/>
  <c r="H152" i="21"/>
  <c r="I152" i="21" s="1"/>
  <c r="J152" i="21" s="1"/>
  <c r="K152" i="21" s="1"/>
  <c r="L152" i="21" s="1"/>
  <c r="G80" i="21"/>
  <c r="F83" i="21"/>
  <c r="E83" i="21"/>
  <c r="D83" i="21"/>
  <c r="F139" i="21"/>
  <c r="G139" i="21" s="1"/>
  <c r="E139" i="21"/>
  <c r="D139" i="21"/>
  <c r="D140" i="21" s="1"/>
  <c r="F147" i="21"/>
  <c r="E147" i="21"/>
  <c r="E137" i="21"/>
  <c r="F137" i="21"/>
  <c r="C141" i="21" s="1"/>
  <c r="C116" i="21"/>
  <c r="D116" i="21"/>
  <c r="E116" i="21"/>
  <c r="F116" i="21"/>
  <c r="G13" i="21"/>
  <c r="I9" i="21"/>
  <c r="J9" i="21" s="1"/>
  <c r="K9" i="21" s="1"/>
  <c r="L9" i="21" s="1"/>
  <c r="D49" i="21"/>
  <c r="D48" i="21"/>
  <c r="D134" i="21" s="1"/>
  <c r="E49" i="21"/>
  <c r="E48" i="21"/>
  <c r="E134" i="21" s="1"/>
  <c r="F49" i="21"/>
  <c r="G49" i="21" s="1"/>
  <c r="F48" i="21"/>
  <c r="G48" i="21" s="1"/>
  <c r="D47" i="21"/>
  <c r="E47" i="21"/>
  <c r="F47" i="21"/>
  <c r="E46" i="21"/>
  <c r="E172" i="21" s="1"/>
  <c r="D46" i="21"/>
  <c r="D172" i="21" s="1"/>
  <c r="F46" i="21"/>
  <c r="F172" i="21" s="1"/>
  <c r="D45" i="21"/>
  <c r="E45" i="21"/>
  <c r="F45" i="21"/>
  <c r="F158" i="21" s="1"/>
  <c r="D44" i="21"/>
  <c r="E44" i="21"/>
  <c r="F44" i="21"/>
  <c r="F154" i="21" s="1"/>
  <c r="G25" i="21"/>
  <c r="G26" i="21" s="1"/>
  <c r="G30" i="21"/>
  <c r="D32" i="21"/>
  <c r="E32" i="21"/>
  <c r="F32" i="21"/>
  <c r="F24" i="21"/>
  <c r="E24" i="21"/>
  <c r="D24" i="21"/>
  <c r="F27" i="21"/>
  <c r="E27" i="21"/>
  <c r="D27" i="21"/>
  <c r="G115" i="21"/>
  <c r="G114" i="21"/>
  <c r="H108" i="21"/>
  <c r="I108" i="21" s="1"/>
  <c r="J108" i="21" s="1"/>
  <c r="K108" i="21" s="1"/>
  <c r="L108" i="21" s="1"/>
  <c r="G136" i="21"/>
  <c r="G147" i="21" s="1"/>
  <c r="G82" i="21" s="1"/>
  <c r="F121" i="21"/>
  <c r="G121" i="21" s="1"/>
  <c r="E121" i="21"/>
  <c r="D121" i="21"/>
  <c r="D122" i="21" s="1"/>
  <c r="D136" i="21"/>
  <c r="D147" i="21" s="1"/>
  <c r="F118" i="21"/>
  <c r="F119" i="21" s="1"/>
  <c r="C123" i="21" s="1"/>
  <c r="C124" i="21" s="1"/>
  <c r="C125" i="21" s="1"/>
  <c r="C126" i="21" s="1"/>
  <c r="C127" i="21" s="1"/>
  <c r="E118" i="21"/>
  <c r="E119" i="21" s="1"/>
  <c r="D118" i="21"/>
  <c r="D129" i="21" s="1"/>
  <c r="H19" i="21"/>
  <c r="G22" i="21"/>
  <c r="G23" i="21" s="1"/>
  <c r="D21" i="21"/>
  <c r="E21" i="21"/>
  <c r="F21" i="21"/>
  <c r="F19" i="21"/>
  <c r="F178" i="21" s="1"/>
  <c r="E19" i="21"/>
  <c r="D19" i="21"/>
  <c r="D180" i="21" s="1"/>
  <c r="E180" i="21" l="1"/>
  <c r="E178" i="21"/>
  <c r="H12" i="21"/>
  <c r="I12" i="21" s="1"/>
  <c r="J12" i="21" s="1"/>
  <c r="K12" i="21" s="1"/>
  <c r="L12" i="21" s="1"/>
  <c r="H177" i="21"/>
  <c r="H179" i="21"/>
  <c r="H181" i="21" s="1"/>
  <c r="D175" i="21"/>
  <c r="D178" i="21"/>
  <c r="F180" i="21"/>
  <c r="G20" i="21"/>
  <c r="G6" i="21" s="1"/>
  <c r="F173" i="21"/>
  <c r="D173" i="21"/>
  <c r="E173" i="21"/>
  <c r="H84" i="21"/>
  <c r="H61" i="21" s="1"/>
  <c r="E175" i="21"/>
  <c r="F175" i="21"/>
  <c r="D15" i="21"/>
  <c r="E155" i="21"/>
  <c r="I59" i="21"/>
  <c r="F155" i="21"/>
  <c r="F153" i="21" s="1"/>
  <c r="F15" i="21"/>
  <c r="E15" i="21"/>
  <c r="K15" i="21"/>
  <c r="E184" i="21"/>
  <c r="E185" i="21" s="1"/>
  <c r="E163" i="21"/>
  <c r="E161" i="21" s="1"/>
  <c r="F184" i="21"/>
  <c r="F185" i="21" s="1"/>
  <c r="F163" i="21"/>
  <c r="F161" i="21" s="1"/>
  <c r="D163" i="21"/>
  <c r="D161" i="21" s="1"/>
  <c r="D184" i="21"/>
  <c r="D185" i="21" s="1"/>
  <c r="D64" i="21"/>
  <c r="G116" i="21"/>
  <c r="D154" i="21"/>
  <c r="D167" i="21" s="1"/>
  <c r="D7" i="21"/>
  <c r="E154" i="21"/>
  <c r="E7" i="21"/>
  <c r="D158" i="21"/>
  <c r="D168" i="21" s="1"/>
  <c r="D8" i="21"/>
  <c r="I19" i="21"/>
  <c r="H155" i="21"/>
  <c r="H154" i="21" s="1"/>
  <c r="E64" i="21"/>
  <c r="E158" i="21"/>
  <c r="E8" i="21"/>
  <c r="D149" i="21"/>
  <c r="F165" i="21"/>
  <c r="D20" i="21"/>
  <c r="D6" i="21" s="1"/>
  <c r="D155" i="21"/>
  <c r="F159" i="21"/>
  <c r="F157" i="21" s="1"/>
  <c r="E159" i="21"/>
  <c r="D159" i="21"/>
  <c r="D137" i="21"/>
  <c r="F140" i="21"/>
  <c r="C142" i="21"/>
  <c r="F13" i="21"/>
  <c r="F9" i="21"/>
  <c r="F134" i="21"/>
  <c r="E13" i="21"/>
  <c r="D9" i="21"/>
  <c r="E10" i="21"/>
  <c r="D10" i="21"/>
  <c r="D13" i="21"/>
  <c r="D50" i="21"/>
  <c r="E9" i="21"/>
  <c r="E50" i="21"/>
  <c r="H25" i="21"/>
  <c r="I25" i="21" s="1"/>
  <c r="H26" i="21"/>
  <c r="E122" i="21"/>
  <c r="F22" i="21"/>
  <c r="F28" i="21" s="1"/>
  <c r="F36" i="21" s="1"/>
  <c r="F37" i="21" s="1"/>
  <c r="G28" i="21"/>
  <c r="F122" i="21"/>
  <c r="E129" i="21"/>
  <c r="E149" i="21" s="1"/>
  <c r="F129" i="21"/>
  <c r="F149" i="21" s="1"/>
  <c r="G118" i="21"/>
  <c r="D119" i="21"/>
  <c r="D22" i="21"/>
  <c r="E22" i="21"/>
  <c r="E20" i="21"/>
  <c r="E6" i="21" s="1"/>
  <c r="F20" i="21"/>
  <c r="F6" i="21" s="1"/>
  <c r="G72" i="21"/>
  <c r="G57" i="21"/>
  <c r="G55" i="21"/>
  <c r="G54" i="21"/>
  <c r="H54" i="21" s="1"/>
  <c r="I54" i="21" s="1"/>
  <c r="J54" i="21" s="1"/>
  <c r="K54" i="21" s="1"/>
  <c r="L54" i="21" s="1"/>
  <c r="G46" i="21"/>
  <c r="G10" i="21"/>
  <c r="F10" i="21"/>
  <c r="G9" i="21"/>
  <c r="G8" i="21"/>
  <c r="F8" i="21"/>
  <c r="F7" i="21"/>
  <c r="I179" i="21" l="1"/>
  <c r="I181" i="21" s="1"/>
  <c r="I177" i="21"/>
  <c r="G172" i="21"/>
  <c r="G173" i="21" s="1"/>
  <c r="H173" i="21" s="1"/>
  <c r="G174" i="21"/>
  <c r="G175" i="21" s="1"/>
  <c r="H175" i="21" s="1"/>
  <c r="G31" i="21"/>
  <c r="G32" i="21" s="1"/>
  <c r="G14" i="21" s="1"/>
  <c r="I26" i="21"/>
  <c r="I24" i="21" s="1"/>
  <c r="I13" i="21" s="1"/>
  <c r="I84" i="21"/>
  <c r="I61" i="21" s="1"/>
  <c r="I193" i="21"/>
  <c r="F167" i="21"/>
  <c r="G167" i="21"/>
  <c r="J59" i="21"/>
  <c r="F168" i="21"/>
  <c r="G168" i="21"/>
  <c r="D153" i="21"/>
  <c r="L15" i="21"/>
  <c r="D157" i="21"/>
  <c r="D65" i="21"/>
  <c r="D165" i="21"/>
  <c r="D166" i="21" s="1"/>
  <c r="E165" i="21"/>
  <c r="E167" i="21"/>
  <c r="E168" i="21"/>
  <c r="E157" i="21"/>
  <c r="H167" i="21"/>
  <c r="H44" i="21"/>
  <c r="E153" i="21"/>
  <c r="E65" i="21"/>
  <c r="J19" i="21"/>
  <c r="I155" i="21"/>
  <c r="I154" i="21" s="1"/>
  <c r="I167" i="21" s="1"/>
  <c r="H24" i="21"/>
  <c r="H13" i="21" s="1"/>
  <c r="C143" i="21"/>
  <c r="G50" i="21"/>
  <c r="J25" i="21"/>
  <c r="F23" i="21"/>
  <c r="E23" i="21"/>
  <c r="E28" i="21"/>
  <c r="E36" i="21" s="1"/>
  <c r="E37" i="21" s="1"/>
  <c r="D23" i="21"/>
  <c r="D28" i="21"/>
  <c r="D36" i="21" s="1"/>
  <c r="D37" i="21" s="1"/>
  <c r="G129" i="21"/>
  <c r="H118" i="21"/>
  <c r="G29" i="21"/>
  <c r="F29" i="21"/>
  <c r="F64" i="21"/>
  <c r="H27" i="21"/>
  <c r="H20" i="21"/>
  <c r="F31" i="21"/>
  <c r="H21" i="21"/>
  <c r="G56" i="21"/>
  <c r="G41" i="21"/>
  <c r="C8" i="20"/>
  <c r="E8" i="20"/>
  <c r="C10" i="20"/>
  <c r="C14" i="20" s="1"/>
  <c r="C16" i="20" s="1"/>
  <c r="J14" i="20"/>
  <c r="J16" i="20" s="1"/>
  <c r="F20" i="20"/>
  <c r="D26" i="20" s="1"/>
  <c r="D21" i="20"/>
  <c r="F21" i="20" s="1"/>
  <c r="F22" i="20"/>
  <c r="D25" i="20" s="1"/>
  <c r="E26" i="20"/>
  <c r="C8" i="19"/>
  <c r="E8" i="19"/>
  <c r="C10" i="19"/>
  <c r="E14" i="19" s="1"/>
  <c r="H16" i="19"/>
  <c r="C26" i="19"/>
  <c r="C27" i="19" s="1"/>
  <c r="C28" i="19"/>
  <c r="E8" i="18"/>
  <c r="E10" i="18" s="1"/>
  <c r="H22" i="18"/>
  <c r="H24" i="18" s="1"/>
  <c r="C21" i="18"/>
  <c r="C22" i="18" s="1"/>
  <c r="C24" i="18" s="1"/>
  <c r="E21" i="18"/>
  <c r="E22" i="18" s="1"/>
  <c r="E14" i="20" l="1"/>
  <c r="E16" i="20" s="1"/>
  <c r="H14" i="18"/>
  <c r="H16" i="18" s="1"/>
  <c r="L16" i="18" s="1"/>
  <c r="J14" i="18"/>
  <c r="J179" i="21"/>
  <c r="J181" i="21" s="1"/>
  <c r="J177" i="21"/>
  <c r="I173" i="21"/>
  <c r="H172" i="21"/>
  <c r="H46" i="21" s="1"/>
  <c r="I175" i="21"/>
  <c r="H174" i="21"/>
  <c r="H55" i="21" s="1"/>
  <c r="J84" i="21"/>
  <c r="J61" i="21" s="1"/>
  <c r="H90" i="21"/>
  <c r="J193" i="21"/>
  <c r="E166" i="21"/>
  <c r="E85" i="21" s="1"/>
  <c r="G166" i="21"/>
  <c r="G170" i="21" s="1"/>
  <c r="K59" i="21"/>
  <c r="D170" i="21"/>
  <c r="D85" i="21"/>
  <c r="F166" i="21"/>
  <c r="H22" i="21"/>
  <c r="H28" i="21" s="1"/>
  <c r="H159" i="21"/>
  <c r="H158" i="21" s="1"/>
  <c r="I44" i="21"/>
  <c r="K19" i="21"/>
  <c r="J155" i="21"/>
  <c r="J154" i="21" s="1"/>
  <c r="J167" i="21" s="1"/>
  <c r="J26" i="21"/>
  <c r="J24" i="21" s="1"/>
  <c r="J13" i="21" s="1"/>
  <c r="G149" i="21"/>
  <c r="G81" i="21"/>
  <c r="G83" i="21" s="1"/>
  <c r="G36" i="21" s="1"/>
  <c r="G37" i="21" s="1"/>
  <c r="H122" i="21"/>
  <c r="H121" i="21" s="1"/>
  <c r="H87" i="21" s="1"/>
  <c r="H140" i="21"/>
  <c r="H139" i="21" s="1"/>
  <c r="C144" i="21"/>
  <c r="F33" i="21"/>
  <c r="F14" i="21"/>
  <c r="K25" i="21"/>
  <c r="D29" i="21"/>
  <c r="D31" i="21"/>
  <c r="E29" i="21"/>
  <c r="E31" i="21"/>
  <c r="I118" i="21"/>
  <c r="I20" i="21"/>
  <c r="G70" i="21"/>
  <c r="I27" i="21"/>
  <c r="I21" i="21"/>
  <c r="C29" i="19"/>
  <c r="C14" i="19"/>
  <c r="C16" i="19" s="1"/>
  <c r="D27" i="20"/>
  <c r="E25" i="20"/>
  <c r="E27" i="20" s="1"/>
  <c r="E29" i="20" s="1"/>
  <c r="E32" i="20" s="1"/>
  <c r="E16" i="19"/>
  <c r="I7" i="15"/>
  <c r="D11" i="15"/>
  <c r="E11" i="15"/>
  <c r="D12" i="15"/>
  <c r="E12" i="15"/>
  <c r="D13" i="15"/>
  <c r="E13" i="15"/>
  <c r="D14" i="15"/>
  <c r="E14" i="15"/>
  <c r="D15" i="15"/>
  <c r="E15" i="15"/>
  <c r="E16" i="15"/>
  <c r="D17" i="15"/>
  <c r="E17" i="15"/>
  <c r="F20" i="15"/>
  <c r="G20" i="15" s="1"/>
  <c r="G36" i="15" s="1"/>
  <c r="F21" i="15"/>
  <c r="F39" i="15" s="1"/>
  <c r="D26" i="15"/>
  <c r="D16" i="15" s="1"/>
  <c r="E26" i="15"/>
  <c r="D27" i="15"/>
  <c r="E27" i="15"/>
  <c r="D30" i="15"/>
  <c r="E30" i="15"/>
  <c r="D34" i="15"/>
  <c r="E34" i="15"/>
  <c r="D35" i="15"/>
  <c r="E35" i="15" s="1"/>
  <c r="E41" i="15" s="1"/>
  <c r="F36" i="15"/>
  <c r="F37" i="15"/>
  <c r="D38" i="15"/>
  <c r="E38" i="15"/>
  <c r="D40" i="15"/>
  <c r="E40" i="15"/>
  <c r="D45" i="15"/>
  <c r="E45" i="15"/>
  <c r="D46" i="15"/>
  <c r="E46" i="15"/>
  <c r="D48" i="15"/>
  <c r="E48" i="15"/>
  <c r="D49" i="15"/>
  <c r="D53" i="15" s="1"/>
  <c r="E53" i="15"/>
  <c r="D50" i="15"/>
  <c r="E50" i="15"/>
  <c r="D56" i="15"/>
  <c r="E56" i="15"/>
  <c r="D11" i="14"/>
  <c r="E11" i="14"/>
  <c r="D12" i="14"/>
  <c r="E12" i="14"/>
  <c r="D13" i="14"/>
  <c r="E13" i="14"/>
  <c r="D14" i="14"/>
  <c r="E14" i="14"/>
  <c r="D15" i="14"/>
  <c r="E15" i="14"/>
  <c r="D17" i="14"/>
  <c r="E17" i="14"/>
  <c r="F20" i="14"/>
  <c r="G20" i="14" s="1"/>
  <c r="H20" i="14" s="1"/>
  <c r="D26" i="14"/>
  <c r="E26" i="14"/>
  <c r="E16" i="14" s="1"/>
  <c r="D30" i="14"/>
  <c r="E30" i="14"/>
  <c r="D34" i="14"/>
  <c r="E34" i="14"/>
  <c r="D35" i="14"/>
  <c r="E35" i="14"/>
  <c r="D38" i="14"/>
  <c r="E38" i="14"/>
  <c r="D40" i="14"/>
  <c r="E40" i="14"/>
  <c r="E41" i="14"/>
  <c r="E54" i="14" s="1"/>
  <c r="D45" i="14"/>
  <c r="E45" i="14"/>
  <c r="D46" i="14"/>
  <c r="E46" i="14"/>
  <c r="D48" i="14"/>
  <c r="E48" i="14"/>
  <c r="E47" i="14" s="1"/>
  <c r="D49" i="14"/>
  <c r="D53" i="14" s="1"/>
  <c r="E55" i="14"/>
  <c r="D56" i="14"/>
  <c r="E56" i="14"/>
  <c r="C7" i="13"/>
  <c r="C10" i="13" s="1"/>
  <c r="C13" i="13" s="1"/>
  <c r="C19" i="13" s="1"/>
  <c r="J16" i="18" l="1"/>
  <c r="J22" i="18"/>
  <c r="J24" i="18" s="1"/>
  <c r="E12" i="18"/>
  <c r="E23" i="18" s="1"/>
  <c r="E24" i="18" s="1"/>
  <c r="J14" i="19"/>
  <c r="J16" i="19" s="1"/>
  <c r="D18" i="19"/>
  <c r="D20" i="19" s="1"/>
  <c r="K179" i="21"/>
  <c r="K181" i="21" s="1"/>
  <c r="K177" i="21"/>
  <c r="K84" i="21"/>
  <c r="K61" i="21" s="1"/>
  <c r="I174" i="21"/>
  <c r="I55" i="21" s="1"/>
  <c r="J175" i="21"/>
  <c r="J173" i="21"/>
  <c r="I172" i="21"/>
  <c r="I46" i="21" s="1"/>
  <c r="I90" i="21" s="1"/>
  <c r="F69" i="21"/>
  <c r="F34" i="21"/>
  <c r="H29" i="21"/>
  <c r="E170" i="21"/>
  <c r="K193" i="21"/>
  <c r="H132" i="21"/>
  <c r="H88" i="21"/>
  <c r="L59" i="21"/>
  <c r="G184" i="21"/>
  <c r="G185" i="21" s="1"/>
  <c r="G163" i="21"/>
  <c r="G161" i="21" s="1"/>
  <c r="F170" i="21"/>
  <c r="F85" i="21"/>
  <c r="G85" i="21" s="1"/>
  <c r="I22" i="21"/>
  <c r="I28" i="21" s="1"/>
  <c r="I159" i="21"/>
  <c r="I158" i="21" s="1"/>
  <c r="I168" i="21" s="1"/>
  <c r="L19" i="21"/>
  <c r="K155" i="21"/>
  <c r="K154" i="21" s="1"/>
  <c r="K26" i="21"/>
  <c r="K24" i="21" s="1"/>
  <c r="K13" i="21" s="1"/>
  <c r="J44" i="21"/>
  <c r="H23" i="21"/>
  <c r="H45" i="21"/>
  <c r="H168" i="21"/>
  <c r="F72" i="21"/>
  <c r="F80" i="21"/>
  <c r="I122" i="21"/>
  <c r="I121" i="21" s="1"/>
  <c r="I87" i="21" s="1"/>
  <c r="I140" i="21"/>
  <c r="I139" i="21" s="1"/>
  <c r="K141" i="21"/>
  <c r="J141" i="21"/>
  <c r="I141" i="21"/>
  <c r="H141" i="21"/>
  <c r="H146" i="21" s="1"/>
  <c r="H147" i="21" s="1"/>
  <c r="L141" i="21"/>
  <c r="L123" i="21"/>
  <c r="K123" i="21"/>
  <c r="J123" i="21"/>
  <c r="I123" i="21"/>
  <c r="H123" i="21"/>
  <c r="H128" i="21" s="1"/>
  <c r="H129" i="21" s="1"/>
  <c r="H114" i="21"/>
  <c r="C145" i="21"/>
  <c r="D33" i="21"/>
  <c r="D34" i="21" s="1"/>
  <c r="D14" i="21"/>
  <c r="E33" i="21"/>
  <c r="E34" i="21" s="1"/>
  <c r="E14" i="21"/>
  <c r="L25" i="21"/>
  <c r="J118" i="21"/>
  <c r="J20" i="21"/>
  <c r="J27" i="21"/>
  <c r="J21" i="21"/>
  <c r="I20" i="14"/>
  <c r="I23" i="14" s="1"/>
  <c r="I34" i="14" s="1"/>
  <c r="H36" i="14"/>
  <c r="F23" i="14"/>
  <c r="F34" i="14" s="1"/>
  <c r="D41" i="15"/>
  <c r="D54" i="15" s="1"/>
  <c r="F22" i="14"/>
  <c r="G22" i="14"/>
  <c r="D41" i="14"/>
  <c r="D54" i="14" s="1"/>
  <c r="G21" i="14"/>
  <c r="G37" i="14" s="1"/>
  <c r="D47" i="15"/>
  <c r="F36" i="14"/>
  <c r="E47" i="15"/>
  <c r="H8" i="15" s="1"/>
  <c r="F25" i="15" s="1"/>
  <c r="G36" i="14"/>
  <c r="E27" i="14"/>
  <c r="D22" i="19"/>
  <c r="F26" i="19" s="1"/>
  <c r="F27" i="19" s="1"/>
  <c r="F29" i="19" s="1"/>
  <c r="D23" i="19"/>
  <c r="D16" i="14"/>
  <c r="D27" i="14"/>
  <c r="F46" i="15"/>
  <c r="F45" i="15"/>
  <c r="E33" i="14"/>
  <c r="H8" i="14"/>
  <c r="F25" i="14" s="1"/>
  <c r="D33" i="14"/>
  <c r="H22" i="14"/>
  <c r="H23" i="14"/>
  <c r="H34" i="14" s="1"/>
  <c r="D55" i="15"/>
  <c r="E55" i="15"/>
  <c r="E54" i="15"/>
  <c r="H20" i="15"/>
  <c r="G21" i="15"/>
  <c r="G22" i="15"/>
  <c r="G46" i="14"/>
  <c r="J20" i="14"/>
  <c r="I21" i="14"/>
  <c r="I36" i="14"/>
  <c r="I22" i="14"/>
  <c r="F47" i="15"/>
  <c r="F44" i="15"/>
  <c r="E53" i="14"/>
  <c r="E50" i="14"/>
  <c r="D47" i="14"/>
  <c r="D50" i="14"/>
  <c r="G40" i="14"/>
  <c r="G39" i="14"/>
  <c r="H21" i="14"/>
  <c r="G23" i="14"/>
  <c r="G34" i="14" s="1"/>
  <c r="F40" i="15"/>
  <c r="F38" i="15"/>
  <c r="E33" i="15"/>
  <c r="G23" i="15"/>
  <c r="G34" i="15" s="1"/>
  <c r="F22" i="15"/>
  <c r="F23" i="15"/>
  <c r="F34" i="15" s="1"/>
  <c r="F21" i="14"/>
  <c r="L179" i="21" l="1"/>
  <c r="L181" i="21" s="1"/>
  <c r="L177" i="21"/>
  <c r="L84" i="21"/>
  <c r="L61" i="21" s="1"/>
  <c r="J172" i="21"/>
  <c r="J46" i="21" s="1"/>
  <c r="K173" i="21"/>
  <c r="K175" i="21"/>
  <c r="J174" i="21"/>
  <c r="J55" i="21" s="1"/>
  <c r="I29" i="21"/>
  <c r="I23" i="21"/>
  <c r="E80" i="21"/>
  <c r="E90" i="21" s="1"/>
  <c r="E69" i="21"/>
  <c r="D80" i="21"/>
  <c r="D90" i="21" s="1"/>
  <c r="D69" i="21"/>
  <c r="L193" i="21"/>
  <c r="I132" i="21"/>
  <c r="I88" i="21"/>
  <c r="F90" i="21"/>
  <c r="G90" i="21" s="1"/>
  <c r="K44" i="21"/>
  <c r="J22" i="21"/>
  <c r="J23" i="21" s="1"/>
  <c r="J159" i="21"/>
  <c r="J158" i="21" s="1"/>
  <c r="J168" i="21" s="1"/>
  <c r="H133" i="21"/>
  <c r="H82" i="21"/>
  <c r="L155" i="21"/>
  <c r="L154" i="21" s="1"/>
  <c r="L44" i="21" s="1"/>
  <c r="L26" i="21"/>
  <c r="L24" i="21" s="1"/>
  <c r="L13" i="21" s="1"/>
  <c r="I114" i="21"/>
  <c r="I45" i="21"/>
  <c r="K167" i="21"/>
  <c r="H149" i="21"/>
  <c r="H81" i="21"/>
  <c r="H115" i="21"/>
  <c r="H116" i="21" s="1"/>
  <c r="H47" i="21" s="1"/>
  <c r="L142" i="21"/>
  <c r="K142" i="21"/>
  <c r="J142" i="21"/>
  <c r="I142" i="21"/>
  <c r="I146" i="21" s="1"/>
  <c r="I147" i="21" s="1"/>
  <c r="I82" i="21" s="1"/>
  <c r="I124" i="21"/>
  <c r="I128" i="21" s="1"/>
  <c r="I129" i="21" s="1"/>
  <c r="K124" i="21"/>
  <c r="L124" i="21"/>
  <c r="J124" i="21"/>
  <c r="J122" i="21"/>
  <c r="J121" i="21" s="1"/>
  <c r="J87" i="21" s="1"/>
  <c r="J140" i="21"/>
  <c r="J139" i="21" s="1"/>
  <c r="K118" i="21"/>
  <c r="K20" i="21"/>
  <c r="K21" i="21"/>
  <c r="K27" i="21"/>
  <c r="G25" i="15"/>
  <c r="D55" i="14"/>
  <c r="F24" i="15"/>
  <c r="F26" i="15" s="1"/>
  <c r="G38" i="14"/>
  <c r="G44" i="14"/>
  <c r="G47" i="14"/>
  <c r="H25" i="14" s="1"/>
  <c r="G45" i="14"/>
  <c r="G48" i="14" s="1"/>
  <c r="F30" i="15"/>
  <c r="G37" i="15"/>
  <c r="G39" i="15"/>
  <c r="G47" i="15"/>
  <c r="H25" i="15" s="1"/>
  <c r="G46" i="15"/>
  <c r="G24" i="15"/>
  <c r="G38" i="15"/>
  <c r="G40" i="15"/>
  <c r="G44" i="15"/>
  <c r="G45" i="15"/>
  <c r="H37" i="14"/>
  <c r="H39" i="14"/>
  <c r="H47" i="14"/>
  <c r="I25" i="14" s="1"/>
  <c r="H46" i="14"/>
  <c r="H40" i="14"/>
  <c r="H38" i="14"/>
  <c r="H45" i="14"/>
  <c r="H24" i="14"/>
  <c r="H44" i="14"/>
  <c r="F24" i="14"/>
  <c r="F45" i="14"/>
  <c r="F38" i="14"/>
  <c r="F40" i="14"/>
  <c r="F44" i="14"/>
  <c r="F37" i="14"/>
  <c r="F39" i="14"/>
  <c r="F47" i="14"/>
  <c r="G25" i="14" s="1"/>
  <c r="F46" i="14"/>
  <c r="I38" i="14"/>
  <c r="I40" i="14"/>
  <c r="I44" i="14"/>
  <c r="I37" i="14"/>
  <c r="I39" i="14"/>
  <c r="I47" i="14"/>
  <c r="J25" i="14" s="1"/>
  <c r="I45" i="14"/>
  <c r="I46" i="14"/>
  <c r="J21" i="14"/>
  <c r="J36" i="14"/>
  <c r="J23" i="14"/>
  <c r="J34" i="14" s="1"/>
  <c r="J22" i="14"/>
  <c r="H36" i="15"/>
  <c r="I20" i="15"/>
  <c r="H21" i="15"/>
  <c r="H22" i="15"/>
  <c r="H23" i="15"/>
  <c r="H34" i="15" s="1"/>
  <c r="G24" i="14"/>
  <c r="I24" i="14"/>
  <c r="F48" i="15"/>
  <c r="J90" i="21" l="1"/>
  <c r="L175" i="21"/>
  <c r="L174" i="21" s="1"/>
  <c r="L55" i="21" s="1"/>
  <c r="K174" i="21"/>
  <c r="K55" i="21" s="1"/>
  <c r="L173" i="21"/>
  <c r="L172" i="21" s="1"/>
  <c r="L46" i="21" s="1"/>
  <c r="K172" i="21"/>
  <c r="K46" i="21" s="1"/>
  <c r="L90" i="21" s="1"/>
  <c r="J132" i="21"/>
  <c r="J88" i="21"/>
  <c r="J28" i="21"/>
  <c r="I133" i="21"/>
  <c r="H134" i="21"/>
  <c r="H48" i="21" s="1"/>
  <c r="J45" i="21"/>
  <c r="K22" i="21"/>
  <c r="K23" i="21" s="1"/>
  <c r="K159" i="21"/>
  <c r="K158" i="21" s="1"/>
  <c r="K168" i="21" s="1"/>
  <c r="L167" i="21"/>
  <c r="H83" i="21"/>
  <c r="H36" i="21" s="1"/>
  <c r="H37" i="21" s="1"/>
  <c r="I149" i="21"/>
  <c r="I81" i="21"/>
  <c r="I83" i="21" s="1"/>
  <c r="I36" i="21" s="1"/>
  <c r="I37" i="21" s="1"/>
  <c r="I115" i="21"/>
  <c r="L143" i="21"/>
  <c r="K143" i="21"/>
  <c r="J143" i="21"/>
  <c r="J146" i="21" s="1"/>
  <c r="J147" i="21" s="1"/>
  <c r="J82" i="21" s="1"/>
  <c r="L125" i="21"/>
  <c r="K125" i="21"/>
  <c r="J125" i="21"/>
  <c r="J128" i="21" s="1"/>
  <c r="J129" i="21" s="1"/>
  <c r="J114" i="21"/>
  <c r="K122" i="21"/>
  <c r="K121" i="21" s="1"/>
  <c r="K87" i="21" s="1"/>
  <c r="K140" i="21"/>
  <c r="K139" i="21" s="1"/>
  <c r="L118" i="21"/>
  <c r="L20" i="21"/>
  <c r="L21" i="21"/>
  <c r="L27" i="21"/>
  <c r="H48" i="14"/>
  <c r="F48" i="14"/>
  <c r="G48" i="15"/>
  <c r="G30" i="14"/>
  <c r="G26" i="14"/>
  <c r="F26" i="14"/>
  <c r="F30" i="14"/>
  <c r="H38" i="15"/>
  <c r="H40" i="15"/>
  <c r="H44" i="15"/>
  <c r="H37" i="15"/>
  <c r="H39" i="15"/>
  <c r="H47" i="15"/>
  <c r="I25" i="15" s="1"/>
  <c r="H45" i="15"/>
  <c r="H46" i="15"/>
  <c r="I48" i="14"/>
  <c r="H30" i="14"/>
  <c r="H26" i="14"/>
  <c r="I23" i="15"/>
  <c r="I34" i="15" s="1"/>
  <c r="I36" i="15"/>
  <c r="I21" i="15"/>
  <c r="I22" i="15"/>
  <c r="J20" i="15"/>
  <c r="F27" i="15"/>
  <c r="F28" i="15" s="1"/>
  <c r="H24" i="15"/>
  <c r="J45" i="14"/>
  <c r="J38" i="14"/>
  <c r="J40" i="14"/>
  <c r="J44" i="14"/>
  <c r="J46" i="14"/>
  <c r="J37" i="14"/>
  <c r="J39" i="14"/>
  <c r="J47" i="14"/>
  <c r="I30" i="14"/>
  <c r="I26" i="14"/>
  <c r="J24" i="14"/>
  <c r="G30" i="15"/>
  <c r="G26" i="15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K90" i="21" l="1"/>
  <c r="I163" i="21"/>
  <c r="I162" i="21" s="1"/>
  <c r="I165" i="21" s="1"/>
  <c r="I184" i="21"/>
  <c r="I183" i="21" s="1"/>
  <c r="I42" i="21" s="1"/>
  <c r="H163" i="21"/>
  <c r="H162" i="21" s="1"/>
  <c r="H169" i="21" s="1"/>
  <c r="H184" i="21"/>
  <c r="H183" i="21" s="1"/>
  <c r="H42" i="21" s="1"/>
  <c r="K132" i="21"/>
  <c r="K88" i="21"/>
  <c r="K28" i="21"/>
  <c r="J29" i="21"/>
  <c r="L22" i="21"/>
  <c r="L28" i="21" s="1"/>
  <c r="L159" i="21"/>
  <c r="L158" i="21" s="1"/>
  <c r="L45" i="21" s="1"/>
  <c r="J133" i="21"/>
  <c r="I134" i="21"/>
  <c r="I48" i="21" s="1"/>
  <c r="K45" i="21"/>
  <c r="J149" i="21"/>
  <c r="J81" i="21"/>
  <c r="J83" i="21" s="1"/>
  <c r="J36" i="21" s="1"/>
  <c r="J37" i="21" s="1"/>
  <c r="L144" i="21"/>
  <c r="K144" i="21"/>
  <c r="K146" i="21" s="1"/>
  <c r="K147" i="21" s="1"/>
  <c r="K82" i="21" s="1"/>
  <c r="J115" i="21"/>
  <c r="J116" i="21" s="1"/>
  <c r="J47" i="21" s="1"/>
  <c r="L126" i="21"/>
  <c r="K126" i="21"/>
  <c r="K128" i="21" s="1"/>
  <c r="K129" i="21" s="1"/>
  <c r="I116" i="21"/>
  <c r="I47" i="21" s="1"/>
  <c r="L122" i="21"/>
  <c r="L121" i="21" s="1"/>
  <c r="L140" i="21"/>
  <c r="L139" i="21" s="1"/>
  <c r="L88" i="21" s="1"/>
  <c r="K114" i="21"/>
  <c r="F56" i="15"/>
  <c r="F49" i="15"/>
  <c r="F53" i="15" s="1"/>
  <c r="I45" i="15"/>
  <c r="I38" i="15"/>
  <c r="I40" i="15"/>
  <c r="I44" i="15"/>
  <c r="I37" i="15"/>
  <c r="I39" i="15"/>
  <c r="I46" i="15"/>
  <c r="I47" i="15"/>
  <c r="J25" i="15" s="1"/>
  <c r="H27" i="14"/>
  <c r="H28" i="14" s="1"/>
  <c r="F27" i="14"/>
  <c r="F28" i="14" s="1"/>
  <c r="G27" i="15"/>
  <c r="G28" i="15" s="1"/>
  <c r="J22" i="15"/>
  <c r="J24" i="15" s="1"/>
  <c r="J23" i="15"/>
  <c r="J34" i="15" s="1"/>
  <c r="J36" i="15"/>
  <c r="J21" i="15"/>
  <c r="G27" i="14"/>
  <c r="G28" i="14" s="1"/>
  <c r="J26" i="14"/>
  <c r="J30" i="14"/>
  <c r="I27" i="14"/>
  <c r="I28" i="14" s="1"/>
  <c r="H48" i="15"/>
  <c r="J48" i="14"/>
  <c r="H26" i="15"/>
  <c r="H30" i="15"/>
  <c r="I24" i="15"/>
  <c r="N10" i="5"/>
  <c r="M10" i="5"/>
  <c r="L10" i="5"/>
  <c r="K10" i="5"/>
  <c r="J10" i="5"/>
  <c r="I10" i="5"/>
  <c r="N9" i="5"/>
  <c r="M9" i="5"/>
  <c r="L9" i="5"/>
  <c r="K9" i="5"/>
  <c r="J9" i="5"/>
  <c r="I9" i="5"/>
  <c r="N8" i="5"/>
  <c r="M8" i="5"/>
  <c r="L8" i="5"/>
  <c r="K8" i="5"/>
  <c r="J8" i="5"/>
  <c r="I8" i="5"/>
  <c r="K29" i="21" l="1"/>
  <c r="I53" i="21"/>
  <c r="I57" i="21" s="1"/>
  <c r="H165" i="21"/>
  <c r="H166" i="21" s="1"/>
  <c r="H170" i="21" s="1"/>
  <c r="I169" i="21"/>
  <c r="L127" i="21"/>
  <c r="L128" i="21" s="1"/>
  <c r="L129" i="21" s="1"/>
  <c r="L87" i="21"/>
  <c r="J163" i="21"/>
  <c r="J162" i="21" s="1"/>
  <c r="J53" i="21" s="1"/>
  <c r="J184" i="21"/>
  <c r="J183" i="21" s="1"/>
  <c r="J42" i="21" s="1"/>
  <c r="H53" i="21"/>
  <c r="L23" i="21"/>
  <c r="L168" i="21"/>
  <c r="L145" i="21"/>
  <c r="L146" i="21" s="1"/>
  <c r="L147" i="21" s="1"/>
  <c r="L82" i="21" s="1"/>
  <c r="L132" i="21"/>
  <c r="K133" i="21"/>
  <c r="J134" i="21"/>
  <c r="J48" i="21" s="1"/>
  <c r="K149" i="21"/>
  <c r="K81" i="21"/>
  <c r="K83" i="21" s="1"/>
  <c r="K36" i="21" s="1"/>
  <c r="K37" i="21" s="1"/>
  <c r="K115" i="21"/>
  <c r="K116" i="21" s="1"/>
  <c r="K47" i="21" s="1"/>
  <c r="L114" i="21"/>
  <c r="L29" i="21"/>
  <c r="L11" i="5"/>
  <c r="K11" i="5"/>
  <c r="H56" i="14"/>
  <c r="F56" i="14"/>
  <c r="F49" i="14"/>
  <c r="F53" i="14" s="1"/>
  <c r="G56" i="14"/>
  <c r="I56" i="14"/>
  <c r="G56" i="15"/>
  <c r="I30" i="15"/>
  <c r="I26" i="15"/>
  <c r="J46" i="15"/>
  <c r="J45" i="15"/>
  <c r="J44" i="15"/>
  <c r="J47" i="15"/>
  <c r="J38" i="15"/>
  <c r="J37" i="15"/>
  <c r="J39" i="15"/>
  <c r="J40" i="15"/>
  <c r="I48" i="15"/>
  <c r="H27" i="15"/>
  <c r="H28" i="15" s="1"/>
  <c r="J27" i="14"/>
  <c r="J28" i="14" s="1"/>
  <c r="J30" i="15"/>
  <c r="J26" i="15"/>
  <c r="F50" i="15"/>
  <c r="F35" i="15" s="1"/>
  <c r="G49" i="15"/>
  <c r="J11" i="5"/>
  <c r="N11" i="5"/>
  <c r="I11" i="5"/>
  <c r="M11" i="5"/>
  <c r="C22" i="9"/>
  <c r="H20" i="9"/>
  <c r="G20" i="9"/>
  <c r="F20" i="9"/>
  <c r="F24" i="9" s="1"/>
  <c r="E20" i="9"/>
  <c r="D20" i="9"/>
  <c r="C20" i="9"/>
  <c r="C24" i="9" s="1"/>
  <c r="H28" i="9"/>
  <c r="H22" i="9" s="1"/>
  <c r="G28" i="9"/>
  <c r="G26" i="9" s="1"/>
  <c r="F28" i="9"/>
  <c r="F22" i="9" s="1"/>
  <c r="E28" i="9"/>
  <c r="E22" i="9" s="1"/>
  <c r="D28" i="9"/>
  <c r="D22" i="9" s="1"/>
  <c r="C28" i="9"/>
  <c r="H18" i="9"/>
  <c r="G18" i="9"/>
  <c r="F18" i="9"/>
  <c r="F26" i="9" s="1"/>
  <c r="E18" i="9"/>
  <c r="E26" i="9" s="1"/>
  <c r="D18" i="9"/>
  <c r="C18" i="9"/>
  <c r="H14" i="9"/>
  <c r="G14" i="9"/>
  <c r="F14" i="9"/>
  <c r="E14" i="9"/>
  <c r="D14" i="9"/>
  <c r="C14" i="9"/>
  <c r="B14" i="9"/>
  <c r="H12" i="9"/>
  <c r="G12" i="9"/>
  <c r="F12" i="9"/>
  <c r="E12" i="9"/>
  <c r="D12" i="9"/>
  <c r="C12" i="9"/>
  <c r="B12" i="9"/>
  <c r="H10" i="9"/>
  <c r="G10" i="9"/>
  <c r="F10" i="9"/>
  <c r="E10" i="9"/>
  <c r="D10" i="9"/>
  <c r="C10" i="9"/>
  <c r="B10" i="9"/>
  <c r="H8" i="9"/>
  <c r="G8" i="9"/>
  <c r="F8" i="9"/>
  <c r="E8" i="9"/>
  <c r="D8" i="9"/>
  <c r="C8" i="9"/>
  <c r="B8" i="9"/>
  <c r="B6" i="4"/>
  <c r="H6" i="9"/>
  <c r="G6" i="9"/>
  <c r="F6" i="9"/>
  <c r="H4" i="9"/>
  <c r="G4" i="9"/>
  <c r="F4" i="9"/>
  <c r="E4" i="9"/>
  <c r="D4" i="9"/>
  <c r="C4" i="9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8" i="4"/>
  <c r="M8" i="4"/>
  <c r="L8" i="4"/>
  <c r="K8" i="4"/>
  <c r="J8" i="4"/>
  <c r="I8" i="4"/>
  <c r="H8" i="4"/>
  <c r="G8" i="4"/>
  <c r="F8" i="4"/>
  <c r="E8" i="4"/>
  <c r="D8" i="4"/>
  <c r="C8" i="4"/>
  <c r="B8" i="4"/>
  <c r="N6" i="4"/>
  <c r="M6" i="4"/>
  <c r="L6" i="4"/>
  <c r="K6" i="4"/>
  <c r="J6" i="4"/>
  <c r="I6" i="4"/>
  <c r="H6" i="4"/>
  <c r="G6" i="4"/>
  <c r="F6" i="4"/>
  <c r="E6" i="4"/>
  <c r="D6" i="4"/>
  <c r="C6" i="4"/>
  <c r="N4" i="4"/>
  <c r="M4" i="4"/>
  <c r="L4" i="4"/>
  <c r="K4" i="4"/>
  <c r="J4" i="4"/>
  <c r="I4" i="4"/>
  <c r="H4" i="4"/>
  <c r="G4" i="4"/>
  <c r="F4" i="4"/>
  <c r="E4" i="4"/>
  <c r="D4" i="4"/>
  <c r="C4" i="4"/>
  <c r="H85" i="21" l="1"/>
  <c r="I166" i="21"/>
  <c r="J57" i="21"/>
  <c r="J169" i="21"/>
  <c r="H57" i="21"/>
  <c r="K163" i="21"/>
  <c r="K162" i="21" s="1"/>
  <c r="K169" i="21" s="1"/>
  <c r="K184" i="21"/>
  <c r="K183" i="21" s="1"/>
  <c r="K42" i="21" s="1"/>
  <c r="J165" i="21"/>
  <c r="J166" i="21" s="1"/>
  <c r="J85" i="21" s="1"/>
  <c r="L133" i="21"/>
  <c r="L134" i="21" s="1"/>
  <c r="L48" i="21" s="1"/>
  <c r="K134" i="21"/>
  <c r="K48" i="21" s="1"/>
  <c r="L149" i="21"/>
  <c r="L81" i="21"/>
  <c r="L83" i="21" s="1"/>
  <c r="L36" i="21" s="1"/>
  <c r="L37" i="21" s="1"/>
  <c r="L115" i="21"/>
  <c r="L116" i="21" s="1"/>
  <c r="L47" i="21" s="1"/>
  <c r="J48" i="15"/>
  <c r="H26" i="9"/>
  <c r="D24" i="9"/>
  <c r="C26" i="9"/>
  <c r="C16" i="9" s="1"/>
  <c r="E24" i="9"/>
  <c r="E16" i="9" s="1"/>
  <c r="G24" i="9"/>
  <c r="D26" i="9"/>
  <c r="D16" i="9" s="1"/>
  <c r="F16" i="9"/>
  <c r="H24" i="9"/>
  <c r="J56" i="14"/>
  <c r="H56" i="15"/>
  <c r="G50" i="15"/>
  <c r="G35" i="15" s="1"/>
  <c r="H49" i="15"/>
  <c r="H53" i="15" s="1"/>
  <c r="G53" i="15"/>
  <c r="J27" i="15"/>
  <c r="J28" i="15" s="1"/>
  <c r="F41" i="15"/>
  <c r="F33" i="15"/>
  <c r="I27" i="15"/>
  <c r="I28" i="15" s="1"/>
  <c r="G49" i="14"/>
  <c r="F50" i="14"/>
  <c r="F35" i="14" s="1"/>
  <c r="H16" i="9"/>
  <c r="G22" i="9"/>
  <c r="N6" i="6"/>
  <c r="N14" i="6" s="1"/>
  <c r="M6" i="6"/>
  <c r="M14" i="6" s="1"/>
  <c r="L6" i="6"/>
  <c r="L14" i="6" s="1"/>
  <c r="K6" i="6"/>
  <c r="K14" i="6" s="1"/>
  <c r="J6" i="6"/>
  <c r="J14" i="6" s="1"/>
  <c r="I6" i="6"/>
  <c r="I14" i="6" s="1"/>
  <c r="H6" i="6"/>
  <c r="H14" i="6" s="1"/>
  <c r="G6" i="6"/>
  <c r="G14" i="6" s="1"/>
  <c r="F6" i="6"/>
  <c r="F14" i="6" s="1"/>
  <c r="E6" i="6"/>
  <c r="E14" i="6" s="1"/>
  <c r="N10" i="6"/>
  <c r="N15" i="6" s="1"/>
  <c r="M10" i="6"/>
  <c r="M15" i="6" s="1"/>
  <c r="L10" i="6"/>
  <c r="L15" i="6" s="1"/>
  <c r="K10" i="6"/>
  <c r="K15" i="6" s="1"/>
  <c r="J10" i="6"/>
  <c r="J15" i="6" s="1"/>
  <c r="I10" i="6"/>
  <c r="I15" i="6" s="1"/>
  <c r="H10" i="6"/>
  <c r="H15" i="6" s="1"/>
  <c r="G10" i="6"/>
  <c r="G15" i="6" s="1"/>
  <c r="F10" i="6"/>
  <c r="F15" i="6" s="1"/>
  <c r="E10" i="6"/>
  <c r="E15" i="6" s="1"/>
  <c r="N8" i="6"/>
  <c r="N13" i="6" s="1"/>
  <c r="M8" i="6"/>
  <c r="M13" i="6" s="1"/>
  <c r="L8" i="6"/>
  <c r="L13" i="6" s="1"/>
  <c r="K8" i="6"/>
  <c r="K13" i="6" s="1"/>
  <c r="J8" i="6"/>
  <c r="J13" i="6" s="1"/>
  <c r="I8" i="6"/>
  <c r="I13" i="6" s="1"/>
  <c r="H8" i="6"/>
  <c r="H13" i="6" s="1"/>
  <c r="G8" i="6"/>
  <c r="G13" i="6" s="1"/>
  <c r="F8" i="6"/>
  <c r="F13" i="6" s="1"/>
  <c r="E8" i="6"/>
  <c r="E13" i="6" s="1"/>
  <c r="B10" i="5"/>
  <c r="B9" i="5"/>
  <c r="B8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I170" i="21" l="1"/>
  <c r="I85" i="21"/>
  <c r="J170" i="21"/>
  <c r="L163" i="21"/>
  <c r="L162" i="21" s="1"/>
  <c r="L165" i="21" s="1"/>
  <c r="L184" i="21"/>
  <c r="L183" i="21" s="1"/>
  <c r="L42" i="21" s="1"/>
  <c r="K165" i="21"/>
  <c r="K166" i="21" s="1"/>
  <c r="K53" i="21"/>
  <c r="G16" i="9"/>
  <c r="J56" i="15"/>
  <c r="I56" i="15"/>
  <c r="F33" i="14"/>
  <c r="F41" i="14"/>
  <c r="G50" i="14"/>
  <c r="G35" i="14" s="1"/>
  <c r="H49" i="14"/>
  <c r="G53" i="14"/>
  <c r="F55" i="15"/>
  <c r="F54" i="15"/>
  <c r="I49" i="15"/>
  <c r="H50" i="15"/>
  <c r="H35" i="15" s="1"/>
  <c r="G33" i="15"/>
  <c r="G41" i="15"/>
  <c r="B11" i="5"/>
  <c r="E11" i="5"/>
  <c r="G16" i="6"/>
  <c r="C11" i="5"/>
  <c r="D11" i="5"/>
  <c r="H11" i="5"/>
  <c r="F11" i="5"/>
  <c r="G11" i="5"/>
  <c r="K16" i="6"/>
  <c r="E16" i="6"/>
  <c r="I16" i="6"/>
  <c r="M16" i="6"/>
  <c r="F16" i="6"/>
  <c r="J16" i="6"/>
  <c r="N16" i="6"/>
  <c r="H16" i="6"/>
  <c r="L16" i="6"/>
  <c r="K170" i="21" l="1"/>
  <c r="K85" i="21"/>
  <c r="L53" i="21"/>
  <c r="L57" i="21" s="1"/>
  <c r="L169" i="21"/>
  <c r="K57" i="21"/>
  <c r="L166" i="21"/>
  <c r="L85" i="21" s="1"/>
  <c r="J49" i="15"/>
  <c r="I50" i="15"/>
  <c r="I35" i="15" s="1"/>
  <c r="G41" i="14"/>
  <c r="G33" i="14"/>
  <c r="F55" i="14"/>
  <c r="F54" i="14"/>
  <c r="H50" i="14"/>
  <c r="H35" i="14" s="1"/>
  <c r="I49" i="14"/>
  <c r="H53" i="14"/>
  <c r="G55" i="15"/>
  <c r="G54" i="15"/>
  <c r="I53" i="15"/>
  <c r="H41" i="15"/>
  <c r="H33" i="15"/>
  <c r="D10" i="6"/>
  <c r="C10" i="6"/>
  <c r="D8" i="6"/>
  <c r="C8" i="6"/>
  <c r="C13" i="6" s="1"/>
  <c r="D6" i="6"/>
  <c r="C6" i="6"/>
  <c r="L170" i="21" l="1"/>
  <c r="H33" i="14"/>
  <c r="H41" i="14"/>
  <c r="I33" i="15"/>
  <c r="I41" i="15"/>
  <c r="J49" i="14"/>
  <c r="I50" i="14"/>
  <c r="I35" i="14" s="1"/>
  <c r="I53" i="14"/>
  <c r="G55" i="14"/>
  <c r="G54" i="14"/>
  <c r="H55" i="15"/>
  <c r="H54" i="15"/>
  <c r="J50" i="15"/>
  <c r="J35" i="15" s="1"/>
  <c r="J53" i="15"/>
  <c r="D15" i="6"/>
  <c r="C15" i="6"/>
  <c r="D13" i="6"/>
  <c r="D14" i="6"/>
  <c r="C14" i="6"/>
  <c r="I33" i="14" l="1"/>
  <c r="I41" i="14"/>
  <c r="H55" i="14"/>
  <c r="H54" i="14"/>
  <c r="J41" i="15"/>
  <c r="J33" i="15"/>
  <c r="I55" i="15"/>
  <c r="I54" i="15"/>
  <c r="J50" i="14"/>
  <c r="J35" i="14" s="1"/>
  <c r="J53" i="14"/>
  <c r="C16" i="6"/>
  <c r="D16" i="6"/>
  <c r="I55" i="14" l="1"/>
  <c r="I54" i="14"/>
  <c r="J41" i="14"/>
  <c r="J33" i="14"/>
  <c r="J55" i="15"/>
  <c r="J54" i="15"/>
  <c r="J55" i="14" l="1"/>
  <c r="J54" i="14"/>
  <c r="H7" i="21"/>
  <c r="H8" i="21"/>
  <c r="I7" i="21" l="1"/>
  <c r="I8" i="21"/>
  <c r="J7" i="21" l="1"/>
  <c r="J8" i="21"/>
  <c r="K7" i="21" l="1"/>
  <c r="K8" i="21"/>
  <c r="L7" i="21" l="1"/>
  <c r="L8" i="21"/>
  <c r="F41" i="21"/>
  <c r="F50" i="21"/>
  <c r="F71" i="21" s="1"/>
  <c r="G98" i="21" l="1"/>
  <c r="G101" i="21" s="1"/>
  <c r="G60" i="21"/>
  <c r="G62" i="21" s="1"/>
  <c r="G69" i="21" s="1"/>
  <c r="G86" i="21"/>
  <c r="F70" i="21"/>
  <c r="F65" i="21"/>
  <c r="G64" i="21" l="1"/>
  <c r="G65" i="21" s="1"/>
  <c r="G71" i="21"/>
  <c r="G92" i="21"/>
  <c r="G102" i="21" s="1"/>
  <c r="G105" i="21" s="1"/>
  <c r="C29" i="27"/>
  <c r="H30" i="21"/>
  <c r="I30" i="21"/>
  <c r="J30" i="21"/>
  <c r="K30" i="21"/>
  <c r="L30" i="21"/>
  <c r="H31" i="21"/>
  <c r="I31" i="21"/>
  <c r="J31" i="21"/>
  <c r="K31" i="21"/>
  <c r="L31" i="21"/>
  <c r="H32" i="21"/>
  <c r="I32" i="21"/>
  <c r="J32" i="21"/>
  <c r="K32" i="21"/>
  <c r="L32" i="21"/>
  <c r="H33" i="21"/>
  <c r="I33" i="21"/>
  <c r="J33" i="21"/>
  <c r="K33" i="21"/>
  <c r="L33" i="21"/>
  <c r="H34" i="21"/>
  <c r="I34" i="21"/>
  <c r="J34" i="21"/>
  <c r="K34" i="21"/>
  <c r="L34" i="21"/>
  <c r="H41" i="21"/>
  <c r="I41" i="21"/>
  <c r="J41" i="21"/>
  <c r="K41" i="21"/>
  <c r="L41" i="21"/>
  <c r="H43" i="21"/>
  <c r="I43" i="21"/>
  <c r="J43" i="21"/>
  <c r="K43" i="21"/>
  <c r="L43" i="21"/>
  <c r="H50" i="21"/>
  <c r="I50" i="21"/>
  <c r="J50" i="21"/>
  <c r="K50" i="21"/>
  <c r="L50" i="21"/>
  <c r="H60" i="21"/>
  <c r="I60" i="21"/>
  <c r="J60" i="21"/>
  <c r="K60" i="21"/>
  <c r="L60" i="21"/>
  <c r="H62" i="21"/>
  <c r="I62" i="21"/>
  <c r="J62" i="21"/>
  <c r="K62" i="21"/>
  <c r="L62" i="21"/>
  <c r="H64" i="21"/>
  <c r="I64" i="21"/>
  <c r="J64" i="21"/>
  <c r="K64" i="21"/>
  <c r="L64" i="21"/>
  <c r="H65" i="21"/>
  <c r="I65" i="21"/>
  <c r="J65" i="21"/>
  <c r="K65" i="21"/>
  <c r="L65" i="21"/>
  <c r="H69" i="21"/>
  <c r="I69" i="21"/>
  <c r="J69" i="21"/>
  <c r="K69" i="21"/>
  <c r="L69" i="21"/>
  <c r="H70" i="21"/>
  <c r="I70" i="21"/>
  <c r="J70" i="21"/>
  <c r="K70" i="21"/>
  <c r="L70" i="21"/>
  <c r="H71" i="21"/>
  <c r="I71" i="21"/>
  <c r="J71" i="21"/>
  <c r="K71" i="21"/>
  <c r="L71" i="21"/>
  <c r="H72" i="21"/>
  <c r="I72" i="21"/>
  <c r="J72" i="21"/>
  <c r="K72" i="21"/>
  <c r="L72" i="21"/>
  <c r="H80" i="21"/>
  <c r="I80" i="21"/>
  <c r="J80" i="21"/>
  <c r="K80" i="21"/>
  <c r="L80" i="21"/>
  <c r="H86" i="21"/>
  <c r="I86" i="21"/>
  <c r="J86" i="21"/>
  <c r="K86" i="21"/>
  <c r="L86" i="21"/>
  <c r="H92" i="21"/>
  <c r="I92" i="21"/>
  <c r="J92" i="21"/>
  <c r="K92" i="21"/>
  <c r="L92" i="21"/>
  <c r="H102" i="21"/>
  <c r="I102" i="21"/>
  <c r="J102" i="21"/>
  <c r="K102" i="21"/>
  <c r="L102" i="21"/>
  <c r="I103" i="21"/>
  <c r="J103" i="21"/>
  <c r="K103" i="21"/>
  <c r="L103" i="21"/>
  <c r="H104" i="21"/>
  <c r="I104" i="21"/>
  <c r="J104" i="21"/>
  <c r="K104" i="21"/>
  <c r="L104" i="21"/>
  <c r="H105" i="21"/>
  <c r="I105" i="21"/>
  <c r="J105" i="21"/>
  <c r="K105" i="21"/>
  <c r="L105" i="21"/>
  <c r="H187" i="21"/>
  <c r="I187" i="21"/>
  <c r="J187" i="21"/>
  <c r="K187" i="21"/>
  <c r="L187" i="21"/>
  <c r="H188" i="21"/>
  <c r="I188" i="21"/>
  <c r="J188" i="21"/>
  <c r="K188" i="21"/>
  <c r="L188" i="21"/>
  <c r="H191" i="21"/>
  <c r="I191" i="21"/>
  <c r="J191" i="21"/>
  <c r="K191" i="21"/>
  <c r="L191" i="21"/>
  <c r="H194" i="21"/>
  <c r="I194" i="21"/>
  <c r="J194" i="21"/>
  <c r="K194" i="21"/>
  <c r="L194" i="21"/>
  <c r="J200" i="21"/>
  <c r="K200" i="21"/>
  <c r="L200" i="21"/>
  <c r="M200" i="21"/>
  <c r="N200" i="21"/>
  <c r="J201" i="21"/>
  <c r="K201" i="21"/>
  <c r="L201" i="21"/>
  <c r="M201" i="21"/>
  <c r="N201" i="21"/>
  <c r="J202" i="21"/>
  <c r="K202" i="21"/>
  <c r="L202" i="21"/>
  <c r="M202" i="21"/>
  <c r="N202" i="21"/>
  <c r="J208" i="21"/>
  <c r="K208" i="21"/>
  <c r="L208" i="21"/>
  <c r="M208" i="21"/>
  <c r="N208" i="21"/>
  <c r="I216" i="21"/>
  <c r="J216" i="21"/>
  <c r="I219" i="21"/>
  <c r="J219" i="21"/>
  <c r="I221" i="21"/>
  <c r="J221" i="21"/>
  <c r="I223" i="21"/>
  <c r="J223" i="21"/>
  <c r="E11" i="24"/>
</calcChain>
</file>

<file path=xl/sharedStrings.xml><?xml version="1.0" encoding="utf-8"?>
<sst xmlns="http://schemas.openxmlformats.org/spreadsheetml/2006/main" count="1174" uniqueCount="552">
  <si>
    <t>Balance Sheet</t>
  </si>
  <si>
    <t xml:space="preserve">Balance Sheet as of:
</t>
  </si>
  <si>
    <t>Sept. 25, 2010</t>
  </si>
  <si>
    <t>Sept. 24, 2011</t>
  </si>
  <si>
    <t>Sept. 29, 2012</t>
  </si>
  <si>
    <t>ASSETS</t>
  </si>
  <si>
    <t>Cash And Equivalents</t>
  </si>
  <si>
    <t>Short Term Investments</t>
  </si>
  <si>
    <t>Trading Asset Securities</t>
  </si>
  <si>
    <t>-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</si>
  <si>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</si>
  <si>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</si>
  <si>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</si>
  <si>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</si>
  <si>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</si>
  <si>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Deferred Tax Assets, Curr.</t>
  </si>
  <si>
    <t>Restricted Cash</t>
  </si>
  <si>
    <t>Other Current Assets</t>
  </si>
  <si>
    <t xml:space="preserve">  Total Current Assets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</si>
  <si>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</si>
  <si>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</si>
  <si>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</si>
  <si>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</si>
  <si>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</si>
  <si>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</si>
  <si>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</si>
  <si>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</si>
  <si>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Expenses</t>
  </si>
  <si>
    <t>Currrent Income Taxes Payable</t>
  </si>
  <si>
    <t>Unearned Revenue, Current</t>
  </si>
  <si>
    <t>Other Current Liabilities</t>
  </si>
  <si>
    <t xml:space="preserve">  Total Current Liabilities</t>
  </si>
  <si>
    <t>Long-Term Debt</t>
  </si>
  <si>
    <t>Unearned Revenue, Non-Current</t>
  </si>
  <si>
    <t>Deferred Tax Liability, Non-Current</t>
  </si>
  <si>
    <t>Other Non-Current Liabilities</t>
  </si>
  <si>
    <t>Total Liabilities</t>
  </si>
  <si>
    <t>Common Stock</t>
  </si>
  <si>
    <t>Retained Earnings</t>
  </si>
  <si>
    <t>Comprehensive Income and Other</t>
  </si>
  <si>
    <t xml:space="preserve">  Total Shareholders' Equity</t>
  </si>
  <si>
    <t>Total Liabilities And Shareholders' Equity</t>
  </si>
  <si>
    <t>Income Statement</t>
  </si>
  <si>
    <t xml:space="preserve">For the Fiscal Year Ending
</t>
  </si>
  <si>
    <t>Revenue</t>
  </si>
  <si>
    <t>Cost of Goods Sold</t>
  </si>
  <si>
    <t>Gross Profit</t>
  </si>
  <si>
    <t xml:space="preserve">    Sales, General, and Administration Expenses</t>
  </si>
  <si>
    <t xml:space="preserve">    Research and Development Expenses</t>
  </si>
  <si>
    <t xml:space="preserve">    Total Operating Expenses</t>
  </si>
  <si>
    <t>Operating Income</t>
  </si>
  <si>
    <t xml:space="preserve">    Interest Expense</t>
  </si>
  <si>
    <t xml:space="preserve">    Interest and Investment Income</t>
  </si>
  <si>
    <t>Net Interest Expense</t>
  </si>
  <si>
    <t xml:space="preserve">    Income Tax Expense</t>
  </si>
  <si>
    <t>Earnings from Cont. Ops.</t>
  </si>
  <si>
    <t>Net Income to Company</t>
  </si>
  <si>
    <t xml:space="preserve">    Minority Interest in Earnings</t>
  </si>
  <si>
    <t>Net Income</t>
  </si>
  <si>
    <t>Net income available to Common Shareholders</t>
  </si>
  <si>
    <t>Earnings per Share</t>
  </si>
  <si>
    <t xml:space="preserve">    Basic</t>
  </si>
  <si>
    <t xml:space="preserve">    Diluted</t>
  </si>
  <si>
    <t>Weighted Average Shares Outstanding</t>
  </si>
  <si>
    <t>Dividends per Share</t>
  </si>
  <si>
    <t>Payout Ratio %</t>
  </si>
  <si>
    <t>EBITDA</t>
  </si>
  <si>
    <t xml:space="preserve">
               </t>
  </si>
  <si>
    <t>Source: Capital IQ</t>
  </si>
  <si>
    <t>In millions of USD, except per share items.</t>
  </si>
  <si>
    <t>Cash Flow</t>
  </si>
  <si>
    <t xml:space="preserve">    Depreciation &amp; Amortization</t>
  </si>
  <si>
    <t xml:space="preserve">    Amortization of Goodwill and Intangibles</t>
  </si>
  <si>
    <t>Total Depreciation &amp; Amortization</t>
  </si>
  <si>
    <t xml:space="preserve">    Stock-Based Compensation</t>
  </si>
  <si>
    <t xml:space="preserve">    Change in Accounts Receivable</t>
  </si>
  <si>
    <t xml:space="preserve">    Change In Inventories</t>
  </si>
  <si>
    <t xml:space="preserve">    Change in Accounts Payable</t>
  </si>
  <si>
    <t xml:space="preserve">    Change in Unearned Revenue</t>
  </si>
  <si>
    <t xml:space="preserve">    Change in Other Net Operating Assets</t>
  </si>
  <si>
    <t>Cash from Operations</t>
  </si>
  <si>
    <t xml:space="preserve">    Capital Expenditure</t>
  </si>
  <si>
    <t xml:space="preserve">    Cash Acquisitions</t>
  </si>
  <si>
    <t xml:space="preserve">    Divestitures</t>
  </si>
  <si>
    <t xml:space="preserve">    Sale (Purchase) of Intangible assets</t>
  </si>
  <si>
    <t xml:space="preserve">    Investment in Marketable &amp; Equity Securt.</t>
  </si>
  <si>
    <t xml:space="preserve">    Net (Inc.) Dec. in Loans Originated/Sold</t>
  </si>
  <si>
    <t xml:space="preserve">    Other Investing Activities</t>
  </si>
  <si>
    <t>Cash from Investing</t>
  </si>
  <si>
    <t xml:space="preserve">    Short Term Debt Issued</t>
  </si>
  <si>
    <t xml:space="preserve">    Long-Term Debt Issued</t>
  </si>
  <si>
    <t>Total Debt Issued</t>
  </si>
  <si>
    <t xml:space="preserve">    Short Term Debt Repaid</t>
  </si>
  <si>
    <t xml:space="preserve">    Long-Term Debt Repaid</t>
  </si>
  <si>
    <t>Total Debt Repaid</t>
  </si>
  <si>
    <t xml:space="preserve">    Issuance of Common Stock</t>
  </si>
  <si>
    <t xml:space="preserve">    Repurchase of Common Stock</t>
  </si>
  <si>
    <t xml:space="preserve">    Dividends Paid</t>
  </si>
  <si>
    <t xml:space="preserve">    Other Financing Activities</t>
  </si>
  <si>
    <t>Cash from Financing</t>
  </si>
  <si>
    <t>Net Change in Cash</t>
  </si>
  <si>
    <t>Cash Interest Paid</t>
  </si>
  <si>
    <t>NA</t>
  </si>
  <si>
    <t>Cash Taxes Paid</t>
  </si>
  <si>
    <t>Levered Free Cash Flow</t>
  </si>
  <si>
    <t>Unlevered Free Cash Flow</t>
  </si>
  <si>
    <t>Change in Net Working Capital</t>
  </si>
  <si>
    <t>Net Debt Issued</t>
  </si>
  <si>
    <t xml:space="preserve"> </t>
  </si>
  <si>
    <t>For the Fiscal Year Ending</t>
  </si>
  <si>
    <t>Gross Margin</t>
  </si>
  <si>
    <t>Operating Margin</t>
  </si>
  <si>
    <t>Total Shareholders' Equity</t>
  </si>
  <si>
    <t>Net Profit Margin</t>
  </si>
  <si>
    <t>Asset Turnover</t>
  </si>
  <si>
    <t>Equity Multiplier</t>
  </si>
  <si>
    <t>Return on Equity</t>
  </si>
  <si>
    <t>Average Accounts Receivable</t>
  </si>
  <si>
    <t>Average Inventory</t>
  </si>
  <si>
    <t>Average Accounts Payable</t>
  </si>
  <si>
    <t>DIO = (Inventory/COGS)*365</t>
  </si>
  <si>
    <t>Days in Period</t>
  </si>
  <si>
    <t>DSO = (AR/Revenue)*365</t>
  </si>
  <si>
    <t>DPO = (AP/COGS)*365</t>
  </si>
  <si>
    <t>Days Inventory Outstanding</t>
  </si>
  <si>
    <t>CCC = DIO + DSO - DPO</t>
  </si>
  <si>
    <t>Days Sales Outstanding</t>
  </si>
  <si>
    <t>Days Payable Outstanding</t>
  </si>
  <si>
    <t>Cash Conversion Cycle</t>
  </si>
  <si>
    <t>1. Q: Why is CCC negative?</t>
  </si>
  <si>
    <t>2. Q: Why is DIO so low?</t>
  </si>
  <si>
    <t>Total Revenue</t>
  </si>
  <si>
    <t>Sales, General, and Admin.</t>
  </si>
  <si>
    <t>EBIT</t>
  </si>
  <si>
    <r>
      <t>Cash and Marketable Securities</t>
    </r>
    <r>
      <rPr>
        <sz val="7"/>
        <color rgb="FF000000"/>
        <rFont val="Arial"/>
        <family val="2"/>
      </rPr>
      <t>a</t>
    </r>
  </si>
  <si>
    <t>Long-term Debt</t>
  </si>
  <si>
    <t>For the Fiscal Quarter Ending</t>
  </si>
  <si>
    <t>Growth Rate in Sales</t>
  </si>
  <si>
    <t>Cash Flow Margin</t>
  </si>
  <si>
    <t>Net Margin</t>
  </si>
  <si>
    <t>Growth Rate of Sales (Year over Year)</t>
  </si>
  <si>
    <t>Growth Rate of Sales (Sequential)</t>
  </si>
  <si>
    <t xml:space="preserve">    Average Accounts Payable</t>
  </si>
  <si>
    <t xml:space="preserve">    Average Accounts Receivable</t>
  </si>
  <si>
    <t xml:space="preserve">    Days Inventory Outstanding</t>
  </si>
  <si>
    <t xml:space="preserve">    Days Sales Outstanding</t>
  </si>
  <si>
    <t xml:space="preserve">    Days Payable Outstanding</t>
  </si>
  <si>
    <t xml:space="preserve">    Days in Quarter</t>
  </si>
  <si>
    <t>Debt to Assets</t>
  </si>
  <si>
    <t>Net Debt to Assets</t>
  </si>
  <si>
    <t>Excess Cash</t>
  </si>
  <si>
    <t>Repatriation Tax</t>
  </si>
  <si>
    <t>*All excess cash paid out</t>
  </si>
  <si>
    <t>Net income/Revenue</t>
  </si>
  <si>
    <t>Assets/Equity</t>
  </si>
  <si>
    <t>Sales/total assets</t>
  </si>
  <si>
    <t>Return on equity</t>
  </si>
  <si>
    <t>Selected Ratios:</t>
  </si>
  <si>
    <t xml:space="preserve">Total </t>
  </si>
  <si>
    <t>Equity</t>
  </si>
  <si>
    <t>Total liabilities</t>
  </si>
  <si>
    <t>Other non-current liabilities (22% of COGS)</t>
  </si>
  <si>
    <t>Other current liabilities (12.1% of COGS)</t>
  </si>
  <si>
    <t>Accrued expenses (7.7% of COGS)</t>
  </si>
  <si>
    <t>Accounts payable (24.1% of COGS)</t>
  </si>
  <si>
    <t>Liabilities and Net Worth</t>
  </si>
  <si>
    <t>Total assets</t>
  </si>
  <si>
    <t>Other (12.3% of COGS)</t>
  </si>
  <si>
    <t>Net PPEN</t>
  </si>
  <si>
    <t>Other Current Assets (10.3% of COGS)</t>
  </si>
  <si>
    <t>Inventories</t>
  </si>
  <si>
    <t>Accounts receivable</t>
  </si>
  <si>
    <t xml:space="preserve">    Excess Cash (plug)</t>
  </si>
  <si>
    <t xml:space="preserve">    Required Cash</t>
  </si>
  <si>
    <t>Total Cash</t>
  </si>
  <si>
    <t>Times interest earned</t>
  </si>
  <si>
    <t>Net income</t>
  </si>
  <si>
    <t>Tax at Effective Rate of 23%</t>
  </si>
  <si>
    <t>Profit before tax</t>
  </si>
  <si>
    <t>Interest expense</t>
  </si>
  <si>
    <t>Sell, gen'l, admin</t>
  </si>
  <si>
    <t>Research &amp; development</t>
  </si>
  <si>
    <t>Cost of goods</t>
  </si>
  <si>
    <t>Net sales</t>
  </si>
  <si>
    <t>Net PPEN as % of COG</t>
  </si>
  <si>
    <t>Effective Tax Rate</t>
  </si>
  <si>
    <t>Sell, gen'l, admin as% of sales:</t>
  </si>
  <si>
    <t>R&amp;D as % of sales:</t>
  </si>
  <si>
    <t>Cost of goods as % of sales:</t>
  </si>
  <si>
    <t>Inventory as % cost of goods:</t>
  </si>
  <si>
    <t>Accounts receivable as % of sales:</t>
  </si>
  <si>
    <t>2012*</t>
  </si>
  <si>
    <t>2012 Actual</t>
  </si>
  <si>
    <t>Interest Rate:</t>
  </si>
  <si>
    <t>Annual growth rate of sales:</t>
  </si>
  <si>
    <t>Key assumptions in Apple Forecast</t>
  </si>
  <si>
    <t>Change the red numbers only:</t>
  </si>
  <si>
    <t>Financial Projections ($ millions)</t>
  </si>
  <si>
    <t>Apple Inc. (AAPL)</t>
  </si>
  <si>
    <t>*All excess cash paid out as dividend</t>
  </si>
  <si>
    <t>Other non-current liabilities</t>
  </si>
  <si>
    <t>Other current liabilities</t>
  </si>
  <si>
    <t>Accrued expenses</t>
  </si>
  <si>
    <t>Accounts payable</t>
  </si>
  <si>
    <t>Other</t>
  </si>
  <si>
    <t>annually per share</t>
  </si>
  <si>
    <t>Dividend</t>
  </si>
  <si>
    <t>Post P/E</t>
  </si>
  <si>
    <t>Pre P/E</t>
  </si>
  <si>
    <t>Post Price</t>
  </si>
  <si>
    <t>Pre Price</t>
  </si>
  <si>
    <t>Post EPS</t>
  </si>
  <si>
    <t>Pre EPS</t>
  </si>
  <si>
    <t>Post Shares Outstanding</t>
  </si>
  <si>
    <t>Pre Shares Outstanding</t>
  </si>
  <si>
    <t>Max Dividend/Share</t>
  </si>
  <si>
    <t>Shares Outstanding</t>
  </si>
  <si>
    <t>Cash available for dividend</t>
  </si>
  <si>
    <t>Total</t>
  </si>
  <si>
    <t>Other Assets</t>
  </si>
  <si>
    <t>Debt</t>
  </si>
  <si>
    <t>Required Cash</t>
  </si>
  <si>
    <t>Post Dividend</t>
  </si>
  <si>
    <t>After Repatriation</t>
  </si>
  <si>
    <t>Before Repatriation</t>
  </si>
  <si>
    <t>Percent Repurchased</t>
  </si>
  <si>
    <t>Pro Forma Shares</t>
  </si>
  <si>
    <t>Total Shares</t>
  </si>
  <si>
    <t>Max Shares Repurchased</t>
  </si>
  <si>
    <t>Share Price</t>
  </si>
  <si>
    <t>Cash available for repurchase</t>
  </si>
  <si>
    <t>After Share Repurchase</t>
  </si>
  <si>
    <t>Change in Price per Share</t>
  </si>
  <si>
    <t>Current Price per Share</t>
  </si>
  <si>
    <t>New Apple Price per Share</t>
  </si>
  <si>
    <t>Constant P/E multiple</t>
  </si>
  <si>
    <t>per share</t>
  </si>
  <si>
    <t>Value Unlocked</t>
  </si>
  <si>
    <t>Pro forma net income</t>
  </si>
  <si>
    <t>Less: iPref Dividends</t>
  </si>
  <si>
    <t>Apple Net Income</t>
  </si>
  <si>
    <t>(new stock price)</t>
  </si>
  <si>
    <t>$ per share</t>
  </si>
  <si>
    <t>$ billion</t>
  </si>
  <si>
    <t>(face value of 5 iPrefs)</t>
  </si>
  <si>
    <t>Total Value with iPref</t>
  </si>
  <si>
    <t>billion</t>
  </si>
  <si>
    <t>Current Value of One Share</t>
  </si>
  <si>
    <t>mil</t>
  </si>
  <si>
    <t>Amount Spent on 5 iPrefs per shareholder</t>
  </si>
  <si>
    <t>Annual Dividend</t>
  </si>
  <si>
    <t>Face Value of iPref</t>
  </si>
  <si>
    <t>(stock price)</t>
  </si>
  <si>
    <t>Current Value</t>
  </si>
  <si>
    <t>Change in working capital</t>
  </si>
  <si>
    <t>Actuals</t>
  </si>
  <si>
    <t>% growth</t>
  </si>
  <si>
    <t>Projected</t>
  </si>
  <si>
    <t>Gross margin</t>
  </si>
  <si>
    <t>Gross margin %</t>
  </si>
  <si>
    <t>EBIT Margin %</t>
  </si>
  <si>
    <t>Key assumptions</t>
  </si>
  <si>
    <t>Land and buildings</t>
  </si>
  <si>
    <t>Machinery, equipment and internal-use software</t>
  </si>
  <si>
    <t>Office furniture and equipment</t>
  </si>
  <si>
    <t>Leasehold improvements</t>
  </si>
  <si>
    <t>Gross property, plant and equipment</t>
  </si>
  <si>
    <t>Net property, plant and equipment</t>
  </si>
  <si>
    <t>Amortization Intangibles</t>
  </si>
  <si>
    <t>Depreciation rate (Years)</t>
  </si>
  <si>
    <t>Capex</t>
  </si>
  <si>
    <t>Depreciation 2013</t>
  </si>
  <si>
    <t>Depreciation 2014</t>
  </si>
  <si>
    <t>Depreciation 2015</t>
  </si>
  <si>
    <t>Depreciation 2016</t>
  </si>
  <si>
    <t>Depreciation 2017</t>
  </si>
  <si>
    <t>Depreciation of Capex</t>
  </si>
  <si>
    <t>Deprec. (Yrs)</t>
  </si>
  <si>
    <t>Depreciation of Existing PPE</t>
  </si>
  <si>
    <t>Total Depreciation expense</t>
  </si>
  <si>
    <t>Total D&amp;A expense</t>
  </si>
  <si>
    <t>SG&amp;A expense</t>
  </si>
  <si>
    <t>R&amp;D expense</t>
  </si>
  <si>
    <t>Interest expense/(income)</t>
  </si>
  <si>
    <t>SG&amp;A as % of sales:</t>
  </si>
  <si>
    <t>SG&amp;A - Fixed expenses</t>
  </si>
  <si>
    <t>SG&amp;A - Variable expenses</t>
  </si>
  <si>
    <t>SG&amp;A - fixed expenses - % growth:</t>
  </si>
  <si>
    <t>SG&amp;A - variable expenses as % of sales:</t>
  </si>
  <si>
    <t>Income tax</t>
  </si>
  <si>
    <t>Pro Forma</t>
  </si>
  <si>
    <t>Intangible Assets</t>
  </si>
  <si>
    <t>Capex and Depreciation PPE</t>
  </si>
  <si>
    <t>Net intangible assets</t>
  </si>
  <si>
    <t>Amortization of Existing Intangibles (from 10K 2012)</t>
  </si>
  <si>
    <t>Gross intangible assets</t>
  </si>
  <si>
    <t>Accumulated amortization</t>
  </si>
  <si>
    <t>Accumulated depreciation</t>
  </si>
  <si>
    <t>Total Amortization expense</t>
  </si>
  <si>
    <t>Investments in Intangibles</t>
  </si>
  <si>
    <t>NM</t>
  </si>
  <si>
    <t>Amortization 2013</t>
  </si>
  <si>
    <t>Amortization 2014</t>
  </si>
  <si>
    <t>Amortization 2015</t>
  </si>
  <si>
    <t>Amortization 2016</t>
  </si>
  <si>
    <t>Amortization 2017</t>
  </si>
  <si>
    <t xml:space="preserve">    Depreciation of PPE</t>
  </si>
  <si>
    <t xml:space="preserve">    Amortization of Intangibles</t>
  </si>
  <si>
    <t>Working Capital</t>
  </si>
  <si>
    <t>DSO</t>
  </si>
  <si>
    <t>Sales</t>
  </si>
  <si>
    <t>DIO</t>
  </si>
  <si>
    <t>Cost of goods sold</t>
  </si>
  <si>
    <t>DPO</t>
  </si>
  <si>
    <t>Working capital</t>
  </si>
  <si>
    <t xml:space="preserve">    Change in Accounts receivable</t>
  </si>
  <si>
    <t xml:space="preserve">    Change in Inventories</t>
  </si>
  <si>
    <t xml:space="preserve">    Change in Accounts payable</t>
  </si>
  <si>
    <t>Net PPE</t>
  </si>
  <si>
    <t>Total Liabilities + Stockholders' Equity</t>
  </si>
  <si>
    <t>Other Reserves</t>
  </si>
  <si>
    <t>Cash operating costs</t>
  </si>
  <si>
    <t xml:space="preserve">    Net Change in Other Assets &amp; Liabilities</t>
  </si>
  <si>
    <t xml:space="preserve">        Total Depreciation &amp; Amortization</t>
  </si>
  <si>
    <t xml:space="preserve">    Change in Working Capital</t>
  </si>
  <si>
    <t>Beginning Cash</t>
  </si>
  <si>
    <t>Ending Cash</t>
  </si>
  <si>
    <t>Ending Csh</t>
  </si>
  <si>
    <t>Cash Balances</t>
  </si>
  <si>
    <t>Cash Balance</t>
  </si>
  <si>
    <t>Income from Investments</t>
  </si>
  <si>
    <t>Monthly Cash Operating Expenses</t>
  </si>
  <si>
    <t># of Months Covered with Cash Balance</t>
  </si>
  <si>
    <t xml:space="preserve">    Excess Cash</t>
  </si>
  <si>
    <t xml:space="preserve">    Investments in Intangible assets</t>
  </si>
  <si>
    <t xml:space="preserve">    Investment in Marketable &amp; Equity Securities</t>
  </si>
  <si>
    <t>Stock-based compensation as % of sales:</t>
  </si>
  <si>
    <t>Other assets</t>
  </si>
  <si>
    <t>Interest income</t>
  </si>
  <si>
    <t>Other financial results</t>
  </si>
  <si>
    <t>Avg Interest rate</t>
  </si>
  <si>
    <t>* Pro Forma 2012 assumes that all excess cash paid out to stockholders</t>
  </si>
  <si>
    <t>Control</t>
  </si>
  <si>
    <t>Return on assets (ROA)</t>
  </si>
  <si>
    <t>Return on equity (ROE)</t>
  </si>
  <si>
    <t>EBITDA Margin %</t>
  </si>
  <si>
    <r>
      <rPr>
        <b/>
        <u/>
        <sz val="10"/>
        <rFont val="Calibri"/>
        <family val="2"/>
        <scheme val="minor"/>
      </rPr>
      <t>Note:</t>
    </r>
    <r>
      <rPr>
        <b/>
        <sz val="10"/>
        <rFont val="Calibri"/>
        <family val="2"/>
        <scheme val="minor"/>
      </rPr>
      <t xml:space="preserve"> EBITDA</t>
    </r>
  </si>
  <si>
    <t>Financial Projections - Apple Inc. (AAPL)</t>
  </si>
  <si>
    <t>($ millions)</t>
  </si>
  <si>
    <t>% Fixed</t>
  </si>
  <si>
    <t>Net Income Margin %</t>
  </si>
  <si>
    <t>Other current Assets</t>
  </si>
  <si>
    <t>Other current Assets - % of Sales</t>
  </si>
  <si>
    <t>Other current Liabilities</t>
  </si>
  <si>
    <t>Other current Liabilities - % of Sales</t>
  </si>
  <si>
    <t>se asume crece al 80% de la tasa de crecimiento de ventas</t>
  </si>
  <si>
    <t>Other Assets - % of Sales</t>
  </si>
  <si>
    <t>Other non-current Liabilities</t>
  </si>
  <si>
    <t>Other non-current Liabilities - % of Sales</t>
  </si>
  <si>
    <t>Se asume que son "accruals"/devengamientos que no generan movimiento de caja</t>
  </si>
  <si>
    <t>Observacion: los 1.088 son interest income, no expense.</t>
  </si>
  <si>
    <t>% of non-current liabilities</t>
  </si>
  <si>
    <t>En este caso se dejan los intereses incluidos en CF Operativo ya que mayormente se trata de interest income resultante de invertir excedentes de caja operativa</t>
  </si>
  <si>
    <t>Se asume que se conservan 2.5 meses de gastos operativos, como caja "de seguridad"</t>
  </si>
  <si>
    <t>Cash and Marketable Securities …..........................................................................................................</t>
  </si>
  <si>
    <t>$29,282 = $83,663 * 35% US tax rate</t>
  </si>
  <si>
    <t>Repatriation Tax …..........................................................................................................</t>
  </si>
  <si>
    <t>Cash Left after deducting Repatriation Tax …..........................................................................................................</t>
  </si>
  <si>
    <t>Observacion: la tasa implicita es 25%</t>
  </si>
  <si>
    <t>Observacion: en el repatriado, no impacta los impuestos que habria que pagar</t>
  </si>
  <si>
    <t>Monthly Cash Expenses (2012) …..............................................................................</t>
  </si>
  <si>
    <t># of Months of Cash Expenses …......................................................................</t>
  </si>
  <si>
    <t>Excess Cash …......................................................................................</t>
  </si>
  <si>
    <t>Cash Held Overseas (69% of all Cash) …..........................................................................................................</t>
  </si>
  <si>
    <t>Notes:</t>
  </si>
  <si>
    <t>(1) Source: Case A, pag. 5, 2nd paragraph</t>
  </si>
  <si>
    <t>Calculations/Comments</t>
  </si>
  <si>
    <t>$83,663 = $121,251 * 69% held offshore</t>
  </si>
  <si>
    <t>(COGS + SG&amp;A + R&amp;D expenses) / 12 months</t>
  </si>
  <si>
    <t>$20.080 = $8,021 monthly expenses * 2,5</t>
  </si>
  <si>
    <t>Required Cash (2,5 months of Cash Expenses) ….......................................................................</t>
  </si>
  <si>
    <t>$91.969 = $121,251 - $29,282</t>
  </si>
  <si>
    <t>$71.889 = $91.969 - $20.080</t>
  </si>
  <si>
    <t>Excess Cash in 2012</t>
  </si>
  <si>
    <t>$MM as of</t>
  </si>
  <si>
    <t>29/9/2012</t>
  </si>
  <si>
    <t>29/12/2012</t>
  </si>
  <si>
    <t>Cash from Annual Report as of Sep-2012</t>
  </si>
  <si>
    <t>Cash from 1Q Balance as of Dec-2012</t>
  </si>
  <si>
    <t>$94,607 = $137,112 * 69% held offshore</t>
  </si>
  <si>
    <t>$33,113 = $94,607 * 35% US tax rate</t>
  </si>
  <si>
    <t>Liabilities</t>
  </si>
  <si>
    <t>$103.999 = $137,112 - $33,113</t>
  </si>
  <si>
    <t>control</t>
  </si>
  <si>
    <t>Total Equity + Liabilities</t>
  </si>
  <si>
    <t>$29.348 = $11,723 monthly expenses * 2,5</t>
  </si>
  <si>
    <t>$74.651 = $103.999 - $29.348</t>
  </si>
  <si>
    <t>Assumed Apple financial policies</t>
  </si>
  <si>
    <t>Dividend Analysis</t>
  </si>
  <si>
    <t>Stock Repurchase Analysis</t>
  </si>
  <si>
    <t>Maximum Dividend/Share</t>
  </si>
  <si>
    <t>Cash available for Dividend</t>
  </si>
  <si>
    <t>Maximum Shares Repurchased</t>
  </si>
  <si>
    <t>iPref Analysis</t>
  </si>
  <si>
    <t>Repatriation Tax (35% Tax Rate on Cash Held Overseas) …..........................................................................................................</t>
  </si>
  <si>
    <t>Shares Outstanding (1Q 2013)</t>
  </si>
  <si>
    <t>Total Shares Outstanding (1Q 2013)</t>
  </si>
  <si>
    <t>Annual Dividend (4% Dividend Yield)</t>
  </si>
  <si>
    <t>Net Income (2012A)</t>
  </si>
  <si>
    <t>Free Cash Flow - Before Investments (2012A)</t>
  </si>
  <si>
    <t>Free Cash Flow - Before Investments (2013E)</t>
  </si>
  <si>
    <t>Cash Held in the US (31% of all Cash) …..........................................................................................................</t>
  </si>
  <si>
    <t>$37,588 = $121,251 * 31% held in the US</t>
  </si>
  <si>
    <t>Pro forma Net Income (2012)</t>
  </si>
  <si>
    <t>Total Face Value of iPrefs</t>
  </si>
  <si>
    <t>ROE</t>
  </si>
  <si>
    <t>Total Cash Available</t>
  </si>
  <si>
    <t>Balance Sheet (2012 PF) - After Cash Repatriation</t>
  </si>
  <si>
    <t>Balance Sheet (2012 PF) - After Dividend</t>
  </si>
  <si>
    <t>Balance Sheet (2012A) - Before Cash Repatriation</t>
  </si>
  <si>
    <t>Excess Cash (Less Repatr. Tax)</t>
  </si>
  <si>
    <t>Key Assumptions</t>
  </si>
  <si>
    <t>(-) Repatriation Tax</t>
  </si>
  <si>
    <t>(-) Required Cash</t>
  </si>
  <si>
    <t>Dividend Pay-out %</t>
  </si>
  <si>
    <t>EPS</t>
  </si>
  <si>
    <t>Price per Share (1Q 2013)</t>
  </si>
  <si>
    <t>Stock Price</t>
  </si>
  <si>
    <t>P/E Multiple</t>
  </si>
  <si>
    <t>Pre</t>
  </si>
  <si>
    <t>Post</t>
  </si>
  <si>
    <t>Dividend Scenario</t>
  </si>
  <si>
    <t>Balance Sheet Impact</t>
  </si>
  <si>
    <t>Dividend Impact on Stock Price and P/E</t>
  </si>
  <si>
    <t>Equity (Less Repatr. Tax)</t>
  </si>
  <si>
    <t>Excess Cash (Less Dividend)</t>
  </si>
  <si>
    <t>Equity (Less Dividend)</t>
  </si>
  <si>
    <t>Excess Cash (Less Repurchase)</t>
  </si>
  <si>
    <t>Equity (Less Repurchase)</t>
  </si>
  <si>
    <t>Cash available for Repurchase</t>
  </si>
  <si>
    <t>Stock Repurchase Scenario</t>
  </si>
  <si>
    <t>Pro Forma Shares Post-Repurchase</t>
  </si>
  <si>
    <t>% of Shares Repurchased</t>
  </si>
  <si>
    <t>Margin %</t>
  </si>
  <si>
    <t>Assets</t>
  </si>
  <si>
    <t>CAGR</t>
  </si>
  <si>
    <t>Oper CF (Before ST Investments)</t>
  </si>
  <si>
    <t>ROA</t>
  </si>
  <si>
    <t>EBITDA/Interest</t>
  </si>
  <si>
    <t>Debt/EBITDA</t>
  </si>
  <si>
    <t>Interest</t>
  </si>
  <si>
    <t>CCC</t>
  </si>
  <si>
    <t>Cash Flow - Capex &amp; Acquisitions</t>
  </si>
  <si>
    <t>D&amp;A</t>
  </si>
  <si>
    <t>D&amp;A and Stock Based Compensation</t>
  </si>
  <si>
    <t>Cash Profits</t>
  </si>
  <si>
    <t>Share Based Compensation</t>
  </si>
  <si>
    <t>Acquisitions</t>
  </si>
  <si>
    <t>Intangibles</t>
  </si>
  <si>
    <t>Apple 2003-2012</t>
  </si>
  <si>
    <t>Data Inputs</t>
  </si>
  <si>
    <t>COGS</t>
  </si>
  <si>
    <t>Cash Operating Costs</t>
  </si>
  <si>
    <t>Change in Working Capital</t>
  </si>
  <si>
    <t xml:space="preserve">   Changes in Working Capital % of Sales</t>
  </si>
  <si>
    <t>Chenge in A/R</t>
  </si>
  <si>
    <t>Change in Inventories</t>
  </si>
  <si>
    <t>Change in A/P</t>
  </si>
  <si>
    <t xml:space="preserve">    Other Operating Activities/Deferred Income Tax Expense</t>
  </si>
  <si>
    <t>Equity/</t>
  </si>
  <si>
    <t># of iPrefs per Common Share</t>
  </si>
  <si>
    <t>Total Common Shares Outstanding (1Q 2013)</t>
  </si>
  <si>
    <t>Pro forma EPS (2012)</t>
  </si>
  <si>
    <t>Total Pro Forma Value per Share</t>
  </si>
  <si>
    <t>Value "Unlocked" per Share</t>
  </si>
  <si>
    <t>tengo que conseguir un mercado secundario que me convalide el VN de los iPref</t>
  </si>
  <si>
    <t>Dividends Announced March 2012</t>
  </si>
  <si>
    <t>Quarterly Dividend</t>
  </si>
  <si>
    <t># Shares Outstanding (Jan 13, 2012)</t>
  </si>
  <si>
    <t>Annual Dividend ($ million)</t>
  </si>
  <si>
    <t>Annual Est. Avg. Repurchase ($ million)</t>
  </si>
  <si>
    <t>Total Repurchase -3 Years- ($ million)</t>
  </si>
  <si>
    <t>Total Dividend Program (Dividend + Repurchase)</t>
  </si>
  <si>
    <t>Total Dividend + Repurchase -3 Years- ($ million)</t>
  </si>
  <si>
    <t>1) Dividend Program --&gt; Quarterly Dividends: $2,65 per Share</t>
  </si>
  <si>
    <t>2) Stock Repurchase --&gt; $10 billion Program for 3 Years</t>
  </si>
  <si>
    <t>Total Estimated Dividends -3 Years- ($ million)</t>
  </si>
  <si>
    <t>Annual Estimated Avg. Repurchase ($ million)</t>
  </si>
  <si>
    <t>Pay-out % - Stock Repurchase</t>
  </si>
  <si>
    <t>Pay-out % - Dividend</t>
  </si>
  <si>
    <t>Pay-out % - Total</t>
  </si>
  <si>
    <t>Net Income LTM 2Q 2012 (March 2012)</t>
  </si>
  <si>
    <t>LTM 2Q</t>
  </si>
  <si>
    <t>Annual</t>
  </si>
  <si>
    <t>Geographic Data</t>
  </si>
  <si>
    <t>Sales USA</t>
  </si>
  <si>
    <t>EBIT USA</t>
  </si>
  <si>
    <t xml:space="preserve">  % of Sales from USA</t>
  </si>
  <si>
    <t xml:space="preserve">  % of EBIT from USA</t>
  </si>
  <si>
    <t>Free Cash Flow</t>
  </si>
  <si>
    <t>USA</t>
  </si>
  <si>
    <t>Abroad</t>
  </si>
  <si>
    <t>Short-term &amp; Long-term Investments</t>
  </si>
  <si>
    <t>Cash</t>
  </si>
  <si>
    <t>Oper. Cash</t>
  </si>
  <si>
    <t>Debt/(Debt+Equity)</t>
  </si>
  <si>
    <t>Interest Expense</t>
  </si>
  <si>
    <t xml:space="preserve">    % EBITDA Margin</t>
  </si>
  <si>
    <t xml:space="preserve">    % EBIT Margin</t>
  </si>
  <si>
    <t xml:space="preserve">    % Y-o-Y Growth</t>
  </si>
  <si>
    <t xml:space="preserve">    % Net Inc. Margin</t>
  </si>
  <si>
    <t>Cash Flow from Operatins</t>
  </si>
  <si>
    <t>Cash Flow from Operations</t>
  </si>
  <si>
    <t>(+) D&amp;A</t>
  </si>
  <si>
    <t>(+) Share-based Compensation</t>
  </si>
  <si>
    <t>P&amp;L</t>
  </si>
  <si>
    <t>Key Ratios</t>
  </si>
  <si>
    <t>Dividends</t>
  </si>
  <si>
    <t>Total Dividends + Repurchases</t>
  </si>
  <si>
    <t>Stock Repurchases</t>
  </si>
  <si>
    <t>% of Cash Paid to Shareholders</t>
  </si>
  <si>
    <t>Avg Cost of Debt</t>
  </si>
  <si>
    <t>Required "Operating" Cash</t>
  </si>
  <si>
    <t>Stock Repurchase Impact on Stock Price and P/E</t>
  </si>
  <si>
    <t>Repurchase</t>
  </si>
  <si>
    <t>$ millions</t>
  </si>
  <si>
    <t>(except shares)</t>
  </si>
  <si>
    <t>Total iPref Dividend (5 iPrefs/Common Share)</t>
  </si>
  <si>
    <t>iPref Scenario</t>
  </si>
  <si>
    <t>Pro Forma P&amp;L</t>
  </si>
  <si>
    <t>Base Case</t>
  </si>
  <si>
    <t>Sensitivity</t>
  </si>
  <si>
    <t>P/E multiple</t>
  </si>
  <si>
    <t>Face Value of 5 iPrefs (5 * $50)</t>
  </si>
  <si>
    <t>Greenlight Capital's "Unlocked" Value</t>
  </si>
  <si>
    <t>Face Value * 200</t>
  </si>
  <si>
    <t>New Apple Price per Share * 200</t>
  </si>
  <si>
    <t>Total Pro Forma Value</t>
  </si>
  <si>
    <t>Value "Unlocked"</t>
  </si>
  <si>
    <t>Greenlight Capital's Total "Unlocked" Value</t>
  </si>
  <si>
    <t>New Apple Price per Common Share (EPS * P/E)</t>
  </si>
  <si>
    <t>% Dividend</t>
  </si>
  <si>
    <t>Debt/Capital</t>
  </si>
  <si>
    <t>Equity 2013</t>
  </si>
  <si>
    <t>Maxima</t>
  </si>
  <si>
    <t>Inicial</t>
  </si>
  <si>
    <t>EBITDA 2013</t>
  </si>
  <si>
    <t>FCF USA 2013</t>
  </si>
  <si>
    <t>FCF USA/Interest</t>
  </si>
  <si>
    <t>Free C. Flow to Equity</t>
  </si>
  <si>
    <t>Tengo que lograr un P/E de 10.3x para las acciones comunes</t>
  </si>
  <si>
    <t>Discutible el valor nominal, hay que definir como se contabiliza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</si>
</sst>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dd\-yyyy"/>
    <numFmt numFmtId="165" formatCode="_(* #,##0.0_);_(* \(#,##0.0\)_)\ ;_(* 0_)"/>
    <numFmt numFmtId="166" formatCode="_(&quot;$&quot;#,##0.0#_);_(\(&quot;$&quot;#,##0.0#\)_);_(&quot;$&quot;&quot; - &quot;_)"/>
    <numFmt numFmtId="167" formatCode="_(* #,##0.0#_);_(* \(#,##0.0#\)_)\ ;_(* 0_)"/>
    <numFmt numFmtId="168" formatCode="_(#,##0.0%_);_(\(#,##0.0%\)_);_(#,##0.0%_)"/>
    <numFmt numFmtId="169" formatCode="0.0000"/>
    <numFmt numFmtId="170" formatCode="_(* #,##0_);_(* \(#,##0\)_)\ ;_(* 0_)"/>
    <numFmt numFmtId="171" formatCode="0.000_);\(0.000\)"/>
    <numFmt numFmtId="172" formatCode="_(* #,##0.0_);_(* \(#,##0.0\);_(* &quot;-&quot;??_);_(@_)"/>
    <numFmt numFmtId="173" formatCode="0.000"/>
    <numFmt numFmtId="174" formatCode="#,##0.0"/>
    <numFmt numFmtId="175" formatCode="&quot;$&quot;#,##0"/>
    <numFmt numFmtId="176" formatCode="0.0%"/>
    <numFmt numFmtId="177" formatCode="0.0"/>
    <numFmt numFmtId="178" formatCode="&quot;$&quot;#,##0.00"/>
    <numFmt numFmtId="179" formatCode="&quot;$&quot;#,##0.0_);[Red]\(&quot;$&quot;#,##0.0\)"/>
    <numFmt numFmtId="180" formatCode="&quot;$&quot;#,##0_);&quot;$&quot;\(#,##0\)"/>
    <numFmt numFmtId="181" formatCode="&quot;$&quot;#,##0.00_);&quot;$&quot;\(#,##0.00\)"/>
    <numFmt numFmtId="182" formatCode="0.0\x"/>
    <numFmt numFmtId="183" formatCode="&quot;$&quot;#,##0\ ;&quot;$&quot;\(#,##0\)"/>
    <numFmt numFmtId="184" formatCode="&quot;$&quot;#,##0.0\ ;&quot;$&quot;\(#,##0.0\)"/>
    <numFmt numFmtId="185" formatCode="0%;\(0%\);\-"/>
    <numFmt numFmtId="186" formatCode="0.0%;\(0.0%\);\-"/>
    <numFmt numFmtId="187" formatCode="0.0\x;\(0.0\x\);\-"/>
    <numFmt numFmtId="188" formatCode="#,##0.0_);\(#,##0.0\)"/>
    <numFmt numFmtId="189" formatCode="_(* #,##0_);_(* \(#,##0\);_(* &quot;-&quot;??_);_(@_)"/>
    <numFmt numFmtId="190" formatCode="_(* #,##0.0_)\x;_(* \(#,##0.0\)\x;_(* &quot;-&quot;??_);_(@_)"/>
  </numFmts>
  <fonts count="90" x14ac:knownFonts="1">
    <font>
      <sz val="11"/>
      <color theme="1"/>
      <name val="Calibri"/>
      <family val="2"/>
      <scheme val="minor"/>
    </font>
    <font>
      <b/>
      <sz val="10"/>
      <color indexed="9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 val="double"/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595959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sz val="7"/>
      <color rgb="FF000000"/>
      <name val="Arial"/>
      <family val="2"/>
    </font>
    <font>
      <sz val="9"/>
      <color rgb="FF595959"/>
      <name val="Arial"/>
      <family val="2"/>
    </font>
    <font>
      <sz val="9"/>
      <color theme="1"/>
      <name val="Arial"/>
      <family val="2"/>
    </font>
    <font>
      <b/>
      <sz val="9"/>
      <color rgb="FF595959"/>
      <name val="Arial"/>
      <family val="2"/>
    </font>
    <font>
      <b/>
      <sz val="9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b/>
      <sz val="14"/>
      <name val="Terminal"/>
      <family val="3"/>
      <charset val="255"/>
    </font>
    <font>
      <sz val="18"/>
      <name val="Terminal"/>
      <family val="3"/>
      <charset val="255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color rgb="FF0070C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70C0"/>
      <name val="Arial"/>
      <family val="2"/>
    </font>
    <font>
      <i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12"/>
      <name val="Calibri"/>
      <family val="2"/>
    </font>
    <font>
      <b/>
      <sz val="12"/>
      <color rgb="FF0070C0"/>
      <name val="Calibri"/>
      <family val="2"/>
      <scheme val="minor"/>
    </font>
    <font>
      <i/>
      <sz val="10"/>
      <color theme="1"/>
      <name val="Times New Roman"/>
      <family val="1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u/>
      <sz val="11"/>
      <name val="Calibri"/>
      <family val="2"/>
      <scheme val="minor"/>
    </font>
    <font>
      <i/>
      <sz val="12"/>
      <name val="Calibri"/>
      <family val="2"/>
    </font>
    <font>
      <i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6" fillId="0" borderId="0"/>
    <xf numFmtId="0" fontId="26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458">
    <xf numFmtId="0" fontId="0" fillId="0" borderId="0" xfId="0"/>
    <xf numFmtId="0" fontId="1" fillId="2" borderId="0" xfId="0" applyFont="1" applyFill="1" applyAlignment="1"/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5" fontId="3" fillId="3" borderId="0" xfId="0" applyNumberFormat="1" applyFont="1" applyFill="1" applyAlignment="1">
      <alignment horizontal="right" vertical="top" wrapText="1"/>
    </xf>
    <xf numFmtId="165" fontId="2" fillId="3" borderId="1" xfId="0" applyNumberFormat="1" applyFont="1" applyFill="1" applyBorder="1" applyAlignment="1">
      <alignment horizontal="right" vertical="top" wrapText="1"/>
    </xf>
    <xf numFmtId="165" fontId="2" fillId="3" borderId="0" xfId="0" applyNumberFormat="1" applyFont="1" applyFill="1" applyBorder="1" applyAlignment="1">
      <alignment horizontal="right" vertical="top" wrapText="1"/>
    </xf>
    <xf numFmtId="165" fontId="4" fillId="3" borderId="1" xfId="0" applyNumberFormat="1" applyFont="1" applyFill="1" applyBorder="1" applyAlignment="1">
      <alignment horizontal="right" vertical="top" wrapText="1"/>
    </xf>
    <xf numFmtId="165" fontId="4" fillId="3" borderId="0" xfId="0" applyNumberFormat="1" applyFont="1" applyFill="1" applyAlignment="1">
      <alignment horizontal="right" vertical="top" wrapText="1"/>
    </xf>
    <xf numFmtId="0" fontId="5" fillId="3" borderId="0" xfId="0" applyFont="1" applyFill="1"/>
    <xf numFmtId="0" fontId="5" fillId="0" borderId="0" xfId="0" applyFont="1"/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 wrapText="1"/>
    </xf>
    <xf numFmtId="165" fontId="3" fillId="3" borderId="0" xfId="0" applyNumberFormat="1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left" vertical="top"/>
    </xf>
    <xf numFmtId="0" fontId="3" fillId="3" borderId="0" xfId="0" applyNumberFormat="1" applyFont="1" applyFill="1" applyBorder="1" applyAlignment="1">
      <alignment horizontal="right" vertical="top" wrapText="1"/>
    </xf>
    <xf numFmtId="166" fontId="3" fillId="3" borderId="0" xfId="0" applyNumberFormat="1" applyFont="1" applyFill="1" applyBorder="1" applyAlignment="1">
      <alignment horizontal="right" vertical="top" wrapText="1"/>
    </xf>
    <xf numFmtId="167" fontId="3" fillId="3" borderId="0" xfId="0" applyNumberFormat="1" applyFont="1" applyFill="1" applyBorder="1" applyAlignment="1">
      <alignment horizontal="right" vertical="top" wrapText="1"/>
    </xf>
    <xf numFmtId="49" fontId="3" fillId="3" borderId="0" xfId="0" applyNumberFormat="1" applyFont="1" applyFill="1" applyBorder="1" applyAlignment="1">
      <alignment horizontal="right" vertical="top" wrapText="1"/>
    </xf>
    <xf numFmtId="168" fontId="3" fillId="3" borderId="0" xfId="0" applyNumberFormat="1" applyFont="1" applyFill="1" applyBorder="1" applyAlignment="1">
      <alignment horizontal="right" vertical="top" wrapText="1"/>
    </xf>
    <xf numFmtId="0" fontId="5" fillId="3" borderId="0" xfId="0" applyFont="1" applyFill="1" applyBorder="1"/>
    <xf numFmtId="0" fontId="5" fillId="0" borderId="0" xfId="0" applyFont="1" applyBorder="1"/>
    <xf numFmtId="165" fontId="2" fillId="3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>
      <alignment horizontal="right" wrapText="1"/>
    </xf>
    <xf numFmtId="0" fontId="0" fillId="3" borderId="0" xfId="0" applyFill="1"/>
    <xf numFmtId="0" fontId="6" fillId="5" borderId="0" xfId="0" applyFont="1" applyFill="1"/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 wrapText="1"/>
    </xf>
    <xf numFmtId="14" fontId="10" fillId="6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3" fontId="9" fillId="7" borderId="0" xfId="0" applyNumberFormat="1" applyFont="1" applyFill="1" applyAlignment="1">
      <alignment horizontal="right" vertical="center" wrapText="1"/>
    </xf>
    <xf numFmtId="0" fontId="9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0" borderId="0" xfId="0" applyFont="1"/>
    <xf numFmtId="0" fontId="15" fillId="5" borderId="0" xfId="0" applyFont="1" applyFill="1" applyAlignment="1">
      <alignment horizontal="center" vertical="center"/>
    </xf>
    <xf numFmtId="0" fontId="14" fillId="5" borderId="0" xfId="0" applyFont="1" applyFill="1"/>
    <xf numFmtId="0" fontId="14" fillId="3" borderId="0" xfId="0" applyFont="1" applyFill="1"/>
    <xf numFmtId="2" fontId="14" fillId="3" borderId="0" xfId="0" applyNumberFormat="1" applyFont="1" applyFill="1"/>
    <xf numFmtId="0" fontId="10" fillId="5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174" fontId="14" fillId="3" borderId="0" xfId="0" applyNumberFormat="1" applyFont="1" applyFill="1"/>
    <xf numFmtId="0" fontId="16" fillId="3" borderId="0" xfId="0" applyFont="1" applyFill="1"/>
    <xf numFmtId="2" fontId="16" fillId="3" borderId="0" xfId="0" applyNumberFormat="1" applyFont="1" applyFill="1"/>
    <xf numFmtId="0" fontId="10" fillId="9" borderId="0" xfId="0" applyFont="1" applyFill="1" applyAlignment="1">
      <alignment vertical="center" wrapText="1"/>
    </xf>
    <xf numFmtId="0" fontId="6" fillId="7" borderId="0" xfId="0" applyFont="1" applyFill="1" applyAlignment="1">
      <alignment horizontal="right" vertical="top"/>
    </xf>
    <xf numFmtId="3" fontId="9" fillId="7" borderId="0" xfId="0" applyNumberFormat="1" applyFont="1" applyFill="1" applyAlignment="1">
      <alignment horizontal="right" vertical="center"/>
    </xf>
    <xf numFmtId="0" fontId="9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right" vertical="top" wrapText="1"/>
    </xf>
    <xf numFmtId="0" fontId="9" fillId="7" borderId="0" xfId="0" applyFont="1" applyFill="1" applyAlignment="1">
      <alignment horizontal="right" vertical="center" wrapText="1"/>
    </xf>
    <xf numFmtId="0" fontId="16" fillId="3" borderId="0" xfId="0" applyFont="1" applyFill="1" applyAlignment="1">
      <alignment horizontal="right"/>
    </xf>
    <xf numFmtId="10" fontId="16" fillId="3" borderId="0" xfId="0" applyNumberFormat="1" applyFont="1" applyFill="1"/>
    <xf numFmtId="10" fontId="16" fillId="3" borderId="0" xfId="0" applyNumberFormat="1" applyFont="1" applyFill="1" applyAlignment="1">
      <alignment horizontal="right"/>
    </xf>
    <xf numFmtId="173" fontId="16" fillId="3" borderId="0" xfId="0" applyNumberFormat="1" applyFont="1" applyFill="1"/>
    <xf numFmtId="0" fontId="18" fillId="0" borderId="0" xfId="0" applyFont="1"/>
    <xf numFmtId="0" fontId="19" fillId="9" borderId="0" xfId="0" applyFont="1" applyFill="1" applyAlignment="1"/>
    <xf numFmtId="14" fontId="19" fillId="9" borderId="0" xfId="0" applyNumberFormat="1" applyFont="1" applyFill="1" applyAlignment="1"/>
    <xf numFmtId="14" fontId="19" fillId="9" borderId="0" xfId="0" applyNumberFormat="1" applyFont="1" applyFill="1" applyAlignment="1">
      <alignment horizontal="right" wrapText="1"/>
    </xf>
    <xf numFmtId="0" fontId="20" fillId="3" borderId="0" xfId="0" applyFont="1" applyFill="1" applyBorder="1" applyAlignment="1">
      <alignment horizontal="left" vertical="top"/>
    </xf>
    <xf numFmtId="170" fontId="20" fillId="3" borderId="0" xfId="0" applyNumberFormat="1" applyFont="1" applyFill="1" applyAlignment="1">
      <alignment horizontal="right" vertical="top" wrapTex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right"/>
    </xf>
    <xf numFmtId="171" fontId="18" fillId="3" borderId="0" xfId="0" applyNumberFormat="1" applyFont="1" applyFill="1" applyBorder="1" applyAlignment="1">
      <alignment horizontal="right"/>
    </xf>
    <xf numFmtId="0" fontId="21" fillId="3" borderId="0" xfId="0" applyFont="1" applyFill="1" applyBorder="1"/>
    <xf numFmtId="171" fontId="21" fillId="3" borderId="0" xfId="0" applyNumberFormat="1" applyFont="1" applyFill="1" applyBorder="1" applyAlignment="1">
      <alignment horizontal="right"/>
    </xf>
    <xf numFmtId="0" fontId="21" fillId="9" borderId="0" xfId="0" applyFont="1" applyFill="1" applyBorder="1"/>
    <xf numFmtId="169" fontId="21" fillId="9" borderId="0" xfId="0" applyNumberFormat="1" applyFont="1" applyFill="1"/>
    <xf numFmtId="0" fontId="20" fillId="3" borderId="0" xfId="0" applyFont="1" applyFill="1" applyAlignment="1">
      <alignment horizontal="left" vertical="top"/>
    </xf>
    <xf numFmtId="170" fontId="20" fillId="3" borderId="0" xfId="0" applyNumberFormat="1" applyFont="1" applyFill="1" applyAlignment="1">
      <alignment horizontal="right" vertical="top"/>
    </xf>
    <xf numFmtId="2" fontId="18" fillId="3" borderId="0" xfId="0" applyNumberFormat="1" applyFont="1" applyFill="1" applyAlignment="1">
      <alignment horizontal="right"/>
    </xf>
    <xf numFmtId="165" fontId="18" fillId="3" borderId="0" xfId="0" applyNumberFormat="1" applyFont="1" applyFill="1" applyAlignment="1">
      <alignment horizontal="right"/>
    </xf>
    <xf numFmtId="165" fontId="18" fillId="0" borderId="0" xfId="0" applyNumberFormat="1" applyFont="1"/>
    <xf numFmtId="172" fontId="18" fillId="3" borderId="0" xfId="0" applyNumberFormat="1" applyFont="1" applyFill="1" applyAlignment="1">
      <alignment horizontal="right"/>
    </xf>
    <xf numFmtId="0" fontId="18" fillId="3" borderId="0" xfId="0" applyFont="1" applyFill="1"/>
    <xf numFmtId="0" fontId="18" fillId="3" borderId="0" xfId="0" applyFont="1" applyFill="1" applyAlignment="1">
      <alignment horizontal="right"/>
    </xf>
    <xf numFmtId="0" fontId="21" fillId="3" borderId="0" xfId="0" applyFont="1" applyFill="1"/>
    <xf numFmtId="2" fontId="21" fillId="3" borderId="0" xfId="0" applyNumberFormat="1" applyFont="1" applyFill="1" applyAlignment="1">
      <alignment horizontal="right"/>
    </xf>
    <xf numFmtId="164" fontId="19" fillId="9" borderId="0" xfId="0" applyNumberFormat="1" applyFont="1" applyFill="1" applyAlignment="1">
      <alignment horizontal="right" wrapText="1"/>
    </xf>
    <xf numFmtId="0" fontId="23" fillId="8" borderId="0" xfId="0" applyFont="1" applyFill="1" applyAlignment="1"/>
    <xf numFmtId="173" fontId="18" fillId="0" borderId="0" xfId="0" applyNumberFormat="1" applyFont="1"/>
    <xf numFmtId="175" fontId="26" fillId="0" borderId="0" xfId="3" applyNumberFormat="1" applyFont="1" applyProtection="1"/>
    <xf numFmtId="0" fontId="26" fillId="0" borderId="0" xfId="3" applyFont="1" applyProtection="1"/>
    <xf numFmtId="0" fontId="26" fillId="0" borderId="0" xfId="3" applyProtection="1"/>
    <xf numFmtId="0" fontId="26" fillId="0" borderId="0" xfId="3"/>
    <xf numFmtId="176" fontId="27" fillId="0" borderId="0" xfId="3" applyNumberFormat="1" applyFont="1" applyProtection="1">
      <protection locked="0"/>
    </xf>
    <xf numFmtId="0" fontId="26" fillId="0" borderId="0" xfId="3" applyProtection="1">
      <protection locked="0"/>
    </xf>
    <xf numFmtId="176" fontId="26" fillId="0" borderId="0" xfId="2" applyNumberFormat="1" applyFont="1" applyProtection="1"/>
    <xf numFmtId="176" fontId="26" fillId="0" borderId="0" xfId="3" applyNumberFormat="1" applyProtection="1"/>
    <xf numFmtId="176" fontId="26" fillId="0" borderId="0" xfId="3" applyNumberFormat="1" applyFont="1" applyProtection="1"/>
    <xf numFmtId="0" fontId="28" fillId="0" borderId="0" xfId="0" applyFont="1"/>
    <xf numFmtId="0" fontId="26" fillId="0" borderId="0" xfId="3" applyFont="1" applyProtection="1">
      <protection locked="0"/>
    </xf>
    <xf numFmtId="175" fontId="26" fillId="0" borderId="0" xfId="3" applyNumberFormat="1" applyProtection="1"/>
    <xf numFmtId="0" fontId="27" fillId="0" borderId="0" xfId="3" applyFont="1" applyProtection="1"/>
    <xf numFmtId="1" fontId="26" fillId="0" borderId="0" xfId="3" applyNumberFormat="1" applyProtection="1"/>
    <xf numFmtId="0" fontId="29" fillId="0" borderId="0" xfId="3" applyFont="1" applyProtection="1"/>
    <xf numFmtId="175" fontId="30" fillId="0" borderId="0" xfId="3" applyNumberFormat="1" applyFont="1" applyProtection="1"/>
    <xf numFmtId="175" fontId="27" fillId="0" borderId="0" xfId="3" applyNumberFormat="1" applyFont="1" applyProtection="1"/>
    <xf numFmtId="177" fontId="26" fillId="0" borderId="0" xfId="3" applyNumberFormat="1" applyProtection="1"/>
    <xf numFmtId="175" fontId="26" fillId="0" borderId="0" xfId="3" applyNumberFormat="1" applyProtection="1">
      <protection locked="0"/>
    </xf>
    <xf numFmtId="9" fontId="31" fillId="0" borderId="0" xfId="3" applyNumberFormat="1" applyFont="1" applyProtection="1">
      <protection locked="0"/>
    </xf>
    <xf numFmtId="0" fontId="29" fillId="0" borderId="0" xfId="3" applyFont="1" applyProtection="1">
      <protection locked="0"/>
    </xf>
    <xf numFmtId="0" fontId="29" fillId="0" borderId="0" xfId="3" applyFont="1" applyAlignment="1" applyProtection="1">
      <alignment horizontal="right"/>
      <protection locked="0"/>
    </xf>
    <xf numFmtId="176" fontId="31" fillId="0" borderId="0" xfId="3" applyNumberFormat="1" applyFont="1" applyProtection="1">
      <protection locked="0"/>
    </xf>
    <xf numFmtId="0" fontId="26" fillId="10" borderId="0" xfId="3" applyFill="1" applyBorder="1" applyProtection="1"/>
    <xf numFmtId="0" fontId="26" fillId="11" borderId="0" xfId="3" applyFill="1" applyBorder="1" applyProtection="1"/>
    <xf numFmtId="0" fontId="26" fillId="12" borderId="0" xfId="3" applyFill="1" applyBorder="1" applyProtection="1"/>
    <xf numFmtId="0" fontId="26" fillId="13" borderId="0" xfId="3" applyFill="1" applyBorder="1" applyProtection="1"/>
    <xf numFmtId="0" fontId="26" fillId="14" borderId="0" xfId="3" applyFill="1" applyBorder="1" applyProtection="1"/>
    <xf numFmtId="0" fontId="32" fillId="14" borderId="0" xfId="3" applyFont="1" applyFill="1" applyBorder="1" applyProtection="1"/>
    <xf numFmtId="0" fontId="33" fillId="15" borderId="0" xfId="3" applyFont="1" applyFill="1" applyBorder="1" applyProtection="1"/>
    <xf numFmtId="0" fontId="36" fillId="0" borderId="0" xfId="3" applyFont="1" applyProtection="1"/>
    <xf numFmtId="0" fontId="36" fillId="0" borderId="0" xfId="3" applyFont="1"/>
    <xf numFmtId="0" fontId="36" fillId="0" borderId="0" xfId="3" applyFont="1" applyProtection="1">
      <protection locked="0"/>
    </xf>
    <xf numFmtId="176" fontId="36" fillId="0" borderId="0" xfId="2" applyNumberFormat="1" applyFont="1" applyProtection="1"/>
    <xf numFmtId="176" fontId="36" fillId="0" borderId="0" xfId="3" applyNumberFormat="1" applyFont="1" applyProtection="1"/>
    <xf numFmtId="0" fontId="36" fillId="0" borderId="0" xfId="0" applyFont="1"/>
    <xf numFmtId="175" fontId="36" fillId="0" borderId="0" xfId="3" applyNumberFormat="1" applyFont="1" applyProtection="1"/>
    <xf numFmtId="0" fontId="37" fillId="0" borderId="0" xfId="3" applyFont="1" applyProtection="1"/>
    <xf numFmtId="1" fontId="36" fillId="0" borderId="0" xfId="3" applyNumberFormat="1" applyFont="1" applyProtection="1"/>
    <xf numFmtId="0" fontId="38" fillId="0" borderId="0" xfId="3" applyFont="1" applyProtection="1"/>
    <xf numFmtId="175" fontId="39" fillId="0" borderId="0" xfId="3" applyNumberFormat="1" applyFont="1" applyProtection="1"/>
    <xf numFmtId="175" fontId="37" fillId="0" borderId="0" xfId="3" applyNumberFormat="1" applyFont="1" applyProtection="1"/>
    <xf numFmtId="177" fontId="36" fillId="0" borderId="0" xfId="3" applyNumberFormat="1" applyFont="1" applyProtection="1"/>
    <xf numFmtId="175" fontId="36" fillId="0" borderId="0" xfId="3" applyNumberFormat="1" applyFont="1" applyProtection="1">
      <protection locked="0"/>
    </xf>
    <xf numFmtId="9" fontId="40" fillId="0" borderId="0" xfId="3" applyNumberFormat="1" applyFont="1" applyProtection="1">
      <protection locked="0"/>
    </xf>
    <xf numFmtId="176" fontId="37" fillId="0" borderId="0" xfId="3" applyNumberFormat="1" applyFont="1" applyProtection="1">
      <protection locked="0"/>
    </xf>
    <xf numFmtId="0" fontId="38" fillId="0" borderId="0" xfId="3" applyFont="1" applyProtection="1">
      <protection locked="0"/>
    </xf>
    <xf numFmtId="0" fontId="38" fillId="0" borderId="0" xfId="3" applyFont="1" applyAlignment="1" applyProtection="1">
      <alignment horizontal="right"/>
      <protection locked="0"/>
    </xf>
    <xf numFmtId="176" fontId="40" fillId="0" borderId="0" xfId="3" applyNumberFormat="1" applyFont="1" applyProtection="1">
      <protection locked="0"/>
    </xf>
    <xf numFmtId="0" fontId="37" fillId="0" borderId="0" xfId="3" applyFont="1" applyProtection="1">
      <protection locked="0"/>
    </xf>
    <xf numFmtId="0" fontId="41" fillId="0" borderId="0" xfId="0" applyFont="1"/>
    <xf numFmtId="0" fontId="42" fillId="0" borderId="0" xfId="0" applyFont="1"/>
    <xf numFmtId="2" fontId="0" fillId="0" borderId="3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4" xfId="0" applyBorder="1"/>
    <xf numFmtId="7" fontId="0" fillId="0" borderId="5" xfId="0" applyNumberFormat="1" applyBorder="1"/>
    <xf numFmtId="0" fontId="0" fillId="0" borderId="0" xfId="0" applyBorder="1"/>
    <xf numFmtId="7" fontId="0" fillId="0" borderId="0" xfId="0" applyNumberFormat="1" applyBorder="1"/>
    <xf numFmtId="0" fontId="0" fillId="0" borderId="6" xfId="0" applyBorder="1"/>
    <xf numFmtId="7" fontId="0" fillId="0" borderId="5" xfId="1" applyNumberFormat="1" applyFont="1" applyBorder="1"/>
    <xf numFmtId="7" fontId="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0" xfId="0" applyNumberFormat="1" applyFont="1"/>
    <xf numFmtId="7" fontId="0" fillId="0" borderId="0" xfId="1" applyNumberFormat="1" applyFont="1"/>
    <xf numFmtId="3" fontId="25" fillId="0" borderId="0" xfId="0" applyNumberFormat="1" applyFont="1"/>
    <xf numFmtId="0" fontId="25" fillId="0" borderId="0" xfId="0" applyFont="1"/>
    <xf numFmtId="3" fontId="0" fillId="0" borderId="0" xfId="0" applyNumberFormat="1" applyFill="1" applyBorder="1"/>
    <xf numFmtId="3" fontId="0" fillId="0" borderId="2" xfId="0" applyNumberFormat="1" applyBorder="1"/>
    <xf numFmtId="3" fontId="0" fillId="0" borderId="0" xfId="0" applyNumberFormat="1"/>
    <xf numFmtId="0" fontId="0" fillId="0" borderId="10" xfId="0" applyBorder="1"/>
    <xf numFmtId="177" fontId="0" fillId="0" borderId="7" xfId="0" applyNumberFormat="1" applyBorder="1"/>
    <xf numFmtId="176" fontId="0" fillId="0" borderId="0" xfId="2" applyNumberFormat="1" applyFont="1"/>
    <xf numFmtId="177" fontId="0" fillId="0" borderId="0" xfId="0" applyNumberFormat="1"/>
    <xf numFmtId="2" fontId="0" fillId="0" borderId="0" xfId="0" applyNumberFormat="1"/>
    <xf numFmtId="6" fontId="0" fillId="0" borderId="0" xfId="0" applyNumberFormat="1"/>
    <xf numFmtId="179" fontId="0" fillId="0" borderId="0" xfId="0" applyNumberFormat="1"/>
    <xf numFmtId="6" fontId="25" fillId="0" borderId="0" xfId="0" applyNumberFormat="1" applyFont="1"/>
    <xf numFmtId="0" fontId="0" fillId="0" borderId="0" xfId="0" applyAlignment="1">
      <alignment horizontal="center"/>
    </xf>
    <xf numFmtId="0" fontId="25" fillId="0" borderId="12" xfId="0" applyFont="1" applyBorder="1" applyAlignment="1">
      <alignment horizontal="centerContinuous"/>
    </xf>
    <xf numFmtId="0" fontId="25" fillId="16" borderId="12" xfId="0" applyFont="1" applyFill="1" applyBorder="1" applyAlignment="1">
      <alignment horizontal="centerContinuous"/>
    </xf>
    <xf numFmtId="0" fontId="24" fillId="0" borderId="0" xfId="0" applyFont="1"/>
    <xf numFmtId="0" fontId="43" fillId="0" borderId="0" xfId="3" applyFont="1" applyProtection="1"/>
    <xf numFmtId="0" fontId="43" fillId="0" borderId="0" xfId="3" applyFont="1" applyProtection="1">
      <protection locked="0"/>
    </xf>
    <xf numFmtId="176" fontId="43" fillId="0" borderId="0" xfId="3" applyNumberFormat="1" applyFont="1" applyProtection="1"/>
    <xf numFmtId="0" fontId="44" fillId="0" borderId="0" xfId="3" applyFont="1" applyProtection="1"/>
    <xf numFmtId="0" fontId="44" fillId="0" borderId="0" xfId="3" applyFont="1" applyAlignment="1" applyProtection="1">
      <alignment horizontal="right"/>
      <protection locked="0"/>
    </xf>
    <xf numFmtId="0" fontId="44" fillId="0" borderId="0" xfId="3" applyFont="1" applyProtection="1">
      <protection locked="0"/>
    </xf>
    <xf numFmtId="9" fontId="45" fillId="0" borderId="0" xfId="3" applyNumberFormat="1" applyFont="1" applyProtection="1">
      <protection locked="0"/>
    </xf>
    <xf numFmtId="176" fontId="46" fillId="0" borderId="0" xfId="3" applyNumberFormat="1" applyFont="1" applyProtection="1">
      <protection locked="0"/>
    </xf>
    <xf numFmtId="9" fontId="47" fillId="0" borderId="0" xfId="3" applyNumberFormat="1" applyFont="1" applyProtection="1">
      <protection locked="0"/>
    </xf>
    <xf numFmtId="175" fontId="43" fillId="0" borderId="0" xfId="3" applyNumberFormat="1" applyFont="1" applyProtection="1"/>
    <xf numFmtId="0" fontId="48" fillId="0" borderId="0" xfId="3" applyFont="1" applyProtection="1"/>
    <xf numFmtId="9" fontId="48" fillId="0" borderId="0" xfId="2" applyFont="1" applyProtection="1"/>
    <xf numFmtId="175" fontId="43" fillId="0" borderId="0" xfId="3" applyNumberFormat="1" applyFont="1" applyProtection="1">
      <protection locked="0"/>
    </xf>
    <xf numFmtId="1" fontId="43" fillId="0" borderId="0" xfId="3" applyNumberFormat="1" applyFont="1" applyProtection="1"/>
    <xf numFmtId="0" fontId="46" fillId="0" borderId="0" xfId="3" applyFont="1" applyProtection="1"/>
    <xf numFmtId="176" fontId="43" fillId="0" borderId="0" xfId="2" applyNumberFormat="1" applyFont="1" applyProtection="1"/>
    <xf numFmtId="0" fontId="43" fillId="0" borderId="0" xfId="3" applyFont="1"/>
    <xf numFmtId="0" fontId="50" fillId="3" borderId="0" xfId="0" applyFont="1" applyFill="1" applyAlignment="1">
      <alignment horizontal="left" vertical="top"/>
    </xf>
    <xf numFmtId="0" fontId="51" fillId="3" borderId="0" xfId="0" applyFont="1" applyFill="1" applyAlignment="1">
      <alignment horizontal="left" vertical="top"/>
    </xf>
    <xf numFmtId="165" fontId="51" fillId="3" borderId="0" xfId="0" applyNumberFormat="1" applyFont="1" applyFill="1" applyAlignment="1">
      <alignment horizontal="right" vertical="top" wrapText="1"/>
    </xf>
    <xf numFmtId="0" fontId="43" fillId="0" borderId="0" xfId="0" applyFont="1" applyAlignment="1">
      <alignment vertical="top"/>
    </xf>
    <xf numFmtId="180" fontId="43" fillId="0" borderId="0" xfId="0" applyNumberFormat="1" applyFont="1" applyAlignment="1">
      <alignment horizontal="right"/>
    </xf>
    <xf numFmtId="0" fontId="52" fillId="0" borderId="0" xfId="0" applyFont="1"/>
    <xf numFmtId="0" fontId="52" fillId="0" borderId="0" xfId="0" applyFont="1" applyAlignment="1">
      <alignment vertical="top"/>
    </xf>
    <xf numFmtId="0" fontId="49" fillId="0" borderId="0" xfId="0" applyFont="1" applyAlignment="1">
      <alignment vertical="top"/>
    </xf>
    <xf numFmtId="172" fontId="43" fillId="0" borderId="0" xfId="5" applyNumberFormat="1" applyFont="1" applyAlignment="1">
      <alignment horizontal="right"/>
    </xf>
    <xf numFmtId="180" fontId="53" fillId="0" borderId="0" xfId="0" applyNumberFormat="1" applyFont="1" applyAlignment="1">
      <alignment horizontal="right"/>
    </xf>
    <xf numFmtId="0" fontId="54" fillId="0" borderId="0" xfId="0" applyFont="1"/>
    <xf numFmtId="9" fontId="48" fillId="0" borderId="0" xfId="2" applyFont="1" applyAlignment="1">
      <alignment horizontal="right"/>
    </xf>
    <xf numFmtId="9" fontId="55" fillId="0" borderId="0" xfId="2" applyFont="1" applyAlignment="1">
      <alignment horizontal="right"/>
    </xf>
    <xf numFmtId="180" fontId="49" fillId="0" borderId="0" xfId="0" applyNumberFormat="1" applyFont="1" applyAlignment="1">
      <alignment horizontal="right"/>
    </xf>
    <xf numFmtId="180" fontId="43" fillId="0" borderId="2" xfId="0" applyNumberFormat="1" applyFont="1" applyBorder="1" applyAlignment="1">
      <alignment horizontal="right"/>
    </xf>
    <xf numFmtId="180" fontId="43" fillId="0" borderId="13" xfId="0" applyNumberFormat="1" applyFont="1" applyBorder="1" applyAlignment="1">
      <alignment horizontal="right"/>
    </xf>
    <xf numFmtId="0" fontId="24" fillId="0" borderId="2" xfId="0" applyFont="1" applyBorder="1"/>
    <xf numFmtId="180" fontId="46" fillId="0" borderId="0" xfId="0" applyNumberFormat="1" applyFont="1" applyAlignment="1">
      <alignment horizontal="right"/>
    </xf>
    <xf numFmtId="9" fontId="45" fillId="0" borderId="0" xfId="3" applyNumberFormat="1" applyFont="1" applyFill="1" applyProtection="1">
      <protection locked="0"/>
    </xf>
    <xf numFmtId="9" fontId="57" fillId="0" borderId="0" xfId="2" applyNumberFormat="1" applyFont="1"/>
    <xf numFmtId="9" fontId="46" fillId="0" borderId="0" xfId="3" applyNumberFormat="1" applyFont="1" applyProtection="1">
      <protection locked="0"/>
    </xf>
    <xf numFmtId="0" fontId="58" fillId="0" borderId="0" xfId="3" applyFont="1" applyProtection="1"/>
    <xf numFmtId="180" fontId="58" fillId="0" borderId="0" xfId="0" applyNumberFormat="1" applyFont="1" applyAlignment="1">
      <alignment horizontal="right"/>
    </xf>
    <xf numFmtId="0" fontId="59" fillId="0" borderId="0" xfId="3" applyFont="1" applyProtection="1"/>
    <xf numFmtId="177" fontId="46" fillId="0" borderId="0" xfId="3" applyNumberFormat="1" applyFont="1" applyAlignment="1" applyProtection="1">
      <alignment horizontal="center"/>
    </xf>
    <xf numFmtId="0" fontId="43" fillId="0" borderId="0" xfId="3" applyFont="1" applyBorder="1" applyProtection="1"/>
    <xf numFmtId="180" fontId="43" fillId="0" borderId="0" xfId="0" applyNumberFormat="1" applyFont="1" applyBorder="1" applyAlignment="1">
      <alignment horizontal="right"/>
    </xf>
    <xf numFmtId="0" fontId="44" fillId="0" borderId="0" xfId="0" applyFont="1" applyAlignment="1">
      <alignment vertical="top"/>
    </xf>
    <xf numFmtId="172" fontId="53" fillId="0" borderId="0" xfId="5" applyNumberFormat="1" applyFont="1" applyAlignment="1"/>
    <xf numFmtId="180" fontId="52" fillId="0" borderId="0" xfId="0" applyNumberFormat="1" applyFont="1"/>
    <xf numFmtId="0" fontId="52" fillId="0" borderId="2" xfId="0" applyFont="1" applyBorder="1"/>
    <xf numFmtId="0" fontId="61" fillId="0" borderId="0" xfId="0" applyFont="1"/>
    <xf numFmtId="180" fontId="61" fillId="0" borderId="0" xfId="0" applyNumberFormat="1" applyFont="1"/>
    <xf numFmtId="37" fontId="61" fillId="0" borderId="0" xfId="0" applyNumberFormat="1" applyFont="1"/>
    <xf numFmtId="37" fontId="52" fillId="0" borderId="0" xfId="0" applyNumberFormat="1" applyFont="1"/>
    <xf numFmtId="43" fontId="62" fillId="0" borderId="0" xfId="5" applyFont="1"/>
    <xf numFmtId="1" fontId="43" fillId="0" borderId="2" xfId="3" applyNumberFormat="1" applyFont="1" applyBorder="1" applyProtection="1"/>
    <xf numFmtId="43" fontId="58" fillId="0" borderId="0" xfId="5" applyFont="1" applyProtection="1"/>
    <xf numFmtId="180" fontId="53" fillId="0" borderId="2" xfId="0" applyNumberFormat="1" applyFont="1" applyBorder="1" applyAlignment="1">
      <alignment horizontal="right"/>
    </xf>
    <xf numFmtId="37" fontId="45" fillId="0" borderId="0" xfId="0" applyNumberFormat="1" applyFont="1"/>
    <xf numFmtId="0" fontId="46" fillId="0" borderId="0" xfId="0" applyFont="1" applyAlignment="1">
      <alignment vertical="top"/>
    </xf>
    <xf numFmtId="180" fontId="52" fillId="0" borderId="2" xfId="0" applyNumberFormat="1" applyFont="1" applyBorder="1"/>
    <xf numFmtId="170" fontId="50" fillId="3" borderId="1" xfId="0" applyNumberFormat="1" applyFont="1" applyFill="1" applyBorder="1" applyAlignment="1">
      <alignment horizontal="right" vertical="top" wrapText="1"/>
    </xf>
    <xf numFmtId="180" fontId="46" fillId="0" borderId="13" xfId="0" applyNumberFormat="1" applyFont="1" applyBorder="1" applyAlignment="1">
      <alignment horizontal="right"/>
    </xf>
    <xf numFmtId="0" fontId="63" fillId="0" borderId="0" xfId="0" applyFont="1"/>
    <xf numFmtId="172" fontId="53" fillId="0" borderId="0" xfId="5" applyNumberFormat="1" applyFont="1" applyAlignment="1">
      <alignment horizontal="right"/>
    </xf>
    <xf numFmtId="180" fontId="43" fillId="0" borderId="0" xfId="3" applyNumberFormat="1" applyFont="1" applyProtection="1">
      <protection locked="0"/>
    </xf>
    <xf numFmtId="180" fontId="53" fillId="17" borderId="0" xfId="0" applyNumberFormat="1" applyFont="1" applyFill="1" applyAlignment="1">
      <alignment horizontal="right"/>
    </xf>
    <xf numFmtId="180" fontId="43" fillId="17" borderId="0" xfId="0" applyNumberFormat="1" applyFont="1" applyFill="1" applyAlignment="1">
      <alignment horizontal="right"/>
    </xf>
    <xf numFmtId="180" fontId="46" fillId="17" borderId="0" xfId="0" applyNumberFormat="1" applyFont="1" applyFill="1" applyAlignment="1">
      <alignment horizontal="right"/>
    </xf>
    <xf numFmtId="176" fontId="45" fillId="0" borderId="0" xfId="3" applyNumberFormat="1" applyFont="1" applyProtection="1">
      <protection locked="0"/>
    </xf>
    <xf numFmtId="180" fontId="43" fillId="0" borderId="0" xfId="0" applyNumberFormat="1" applyFont="1" applyFill="1" applyAlignment="1">
      <alignment horizontal="right"/>
    </xf>
    <xf numFmtId="176" fontId="24" fillId="0" borderId="0" xfId="2" applyNumberFormat="1" applyFont="1"/>
    <xf numFmtId="176" fontId="56" fillId="0" borderId="0" xfId="2" applyNumberFormat="1" applyFont="1"/>
    <xf numFmtId="176" fontId="43" fillId="0" borderId="2" xfId="2" applyNumberFormat="1" applyFont="1" applyBorder="1" applyAlignment="1">
      <alignment horizontal="right"/>
    </xf>
    <xf numFmtId="176" fontId="53" fillId="0" borderId="2" xfId="2" applyNumberFormat="1" applyFont="1" applyBorder="1" applyAlignment="1">
      <alignment horizontal="right"/>
    </xf>
    <xf numFmtId="43" fontId="43" fillId="0" borderId="0" xfId="5" applyFont="1" applyProtection="1"/>
    <xf numFmtId="9" fontId="46" fillId="0" borderId="0" xfId="2" applyFont="1" applyProtection="1"/>
    <xf numFmtId="9" fontId="45" fillId="0" borderId="0" xfId="3" applyNumberFormat="1" applyFont="1" applyFill="1" applyAlignment="1" applyProtection="1">
      <alignment horizontal="center"/>
      <protection locked="0"/>
    </xf>
    <xf numFmtId="0" fontId="64" fillId="3" borderId="0" xfId="0" applyFont="1" applyFill="1" applyAlignment="1">
      <alignment horizontal="left" vertical="top"/>
    </xf>
    <xf numFmtId="0" fontId="60" fillId="0" borderId="0" xfId="3" applyFont="1" applyAlignment="1" applyProtection="1">
      <alignment horizontal="left"/>
    </xf>
    <xf numFmtId="0" fontId="65" fillId="0" borderId="0" xfId="3" applyFont="1" applyAlignment="1" applyProtection="1">
      <alignment horizontal="left"/>
    </xf>
    <xf numFmtId="0" fontId="60" fillId="0" borderId="12" xfId="3" applyFont="1" applyBorder="1" applyAlignment="1" applyProtection="1">
      <alignment horizontal="left"/>
    </xf>
    <xf numFmtId="0" fontId="49" fillId="0" borderId="0" xfId="3" applyFont="1" applyAlignment="1" applyProtection="1">
      <alignment horizontal="center"/>
    </xf>
    <xf numFmtId="9" fontId="45" fillId="0" borderId="0" xfId="2" applyNumberFormat="1" applyFont="1"/>
    <xf numFmtId="0" fontId="0" fillId="0" borderId="0" xfId="0" applyFont="1"/>
    <xf numFmtId="43" fontId="54" fillId="0" borderId="0" xfId="5" applyFont="1"/>
    <xf numFmtId="180" fontId="54" fillId="0" borderId="0" xfId="5" applyNumberFormat="1" applyFont="1"/>
    <xf numFmtId="180" fontId="52" fillId="0" borderId="0" xfId="5" applyNumberFormat="1" applyFont="1"/>
    <xf numFmtId="9" fontId="54" fillId="0" borderId="0" xfId="2" applyFont="1"/>
    <xf numFmtId="176" fontId="54" fillId="0" borderId="0" xfId="2" applyNumberFormat="1" applyFont="1"/>
    <xf numFmtId="9" fontId="54" fillId="0" borderId="0" xfId="2" applyNumberFormat="1" applyFont="1"/>
    <xf numFmtId="9" fontId="55" fillId="0" borderId="0" xfId="2" applyNumberFormat="1" applyFont="1"/>
    <xf numFmtId="9" fontId="48" fillId="0" borderId="0" xfId="2" applyNumberFormat="1" applyFont="1" applyProtection="1"/>
    <xf numFmtId="0" fontId="53" fillId="0" borderId="0" xfId="3" applyFont="1" applyProtection="1">
      <protection locked="0"/>
    </xf>
    <xf numFmtId="0" fontId="53" fillId="0" borderId="0" xfId="3" applyFont="1" applyProtection="1"/>
    <xf numFmtId="0" fontId="66" fillId="0" borderId="0" xfId="3" applyFont="1" applyProtection="1">
      <protection locked="0"/>
    </xf>
    <xf numFmtId="0" fontId="53" fillId="0" borderId="0" xfId="0" applyFont="1"/>
    <xf numFmtId="172" fontId="53" fillId="17" borderId="0" xfId="5" applyNumberFormat="1" applyFont="1" applyFill="1" applyAlignment="1">
      <alignment horizontal="right"/>
    </xf>
    <xf numFmtId="0" fontId="56" fillId="0" borderId="0" xfId="0" applyFont="1"/>
    <xf numFmtId="180" fontId="53" fillId="0" borderId="0" xfId="0" applyNumberFormat="1" applyFont="1" applyFill="1" applyAlignment="1">
      <alignment horizontal="right"/>
    </xf>
    <xf numFmtId="0" fontId="61" fillId="0" borderId="0" xfId="0" applyFont="1" applyBorder="1" applyAlignment="1">
      <alignment horizontal="center"/>
    </xf>
    <xf numFmtId="0" fontId="43" fillId="0" borderId="0" xfId="3" applyFont="1" applyFill="1" applyProtection="1"/>
    <xf numFmtId="175" fontId="52" fillId="0" borderId="0" xfId="0" applyNumberFormat="1" applyFont="1"/>
    <xf numFmtId="0" fontId="46" fillId="0" borderId="0" xfId="3" applyFont="1" applyFill="1" applyProtection="1"/>
    <xf numFmtId="175" fontId="61" fillId="0" borderId="0" xfId="0" applyNumberFormat="1" applyFont="1"/>
    <xf numFmtId="0" fontId="67" fillId="0" borderId="0" xfId="0" applyFont="1"/>
    <xf numFmtId="0" fontId="65" fillId="0" borderId="0" xfId="3" applyFont="1" applyProtection="1"/>
    <xf numFmtId="175" fontId="65" fillId="0" borderId="0" xfId="3" applyNumberFormat="1" applyFont="1" applyProtection="1"/>
    <xf numFmtId="0" fontId="68" fillId="0" borderId="0" xfId="0" applyFont="1" applyBorder="1" applyAlignment="1">
      <alignment horizontal="center"/>
    </xf>
    <xf numFmtId="0" fontId="68" fillId="0" borderId="0" xfId="0" applyFont="1" applyBorder="1" applyAlignment="1">
      <alignment horizontal="left"/>
    </xf>
    <xf numFmtId="0" fontId="67" fillId="0" borderId="11" xfId="0" applyFont="1" applyBorder="1"/>
    <xf numFmtId="175" fontId="65" fillId="0" borderId="11" xfId="3" applyNumberFormat="1" applyFont="1" applyBorder="1" applyProtection="1"/>
    <xf numFmtId="180" fontId="65" fillId="0" borderId="0" xfId="0" applyNumberFormat="1" applyFont="1" applyBorder="1" applyAlignment="1">
      <alignment horizontal="right"/>
    </xf>
    <xf numFmtId="180" fontId="69" fillId="0" borderId="0" xfId="0" applyNumberFormat="1" applyFont="1" applyBorder="1" applyAlignment="1">
      <alignment horizontal="right"/>
    </xf>
    <xf numFmtId="175" fontId="66" fillId="0" borderId="0" xfId="3" applyNumberFormat="1" applyFont="1" applyProtection="1"/>
    <xf numFmtId="0" fontId="66" fillId="0" borderId="0" xfId="3" applyFont="1" applyProtection="1"/>
    <xf numFmtId="172" fontId="65" fillId="0" borderId="0" xfId="5" applyNumberFormat="1" applyFont="1" applyProtection="1"/>
    <xf numFmtId="0" fontId="49" fillId="0" borderId="0" xfId="3" applyFont="1" applyProtection="1"/>
    <xf numFmtId="0" fontId="69" fillId="0" borderId="0" xfId="3" applyFont="1" applyFill="1" applyProtection="1"/>
    <xf numFmtId="0" fontId="69" fillId="0" borderId="0" xfId="3" applyFont="1" applyProtection="1"/>
    <xf numFmtId="175" fontId="70" fillId="0" borderId="0" xfId="3" applyNumberFormat="1" applyFont="1" applyProtection="1"/>
    <xf numFmtId="175" fontId="66" fillId="0" borderId="0" xfId="3" applyNumberFormat="1" applyFont="1" applyProtection="1">
      <protection locked="0"/>
    </xf>
    <xf numFmtId="178" fontId="66" fillId="0" borderId="0" xfId="3" applyNumberFormat="1" applyFont="1" applyProtection="1">
      <protection locked="0"/>
    </xf>
    <xf numFmtId="1" fontId="0" fillId="0" borderId="0" xfId="0" applyNumberFormat="1"/>
    <xf numFmtId="43" fontId="71" fillId="17" borderId="0" xfId="5" applyFont="1" applyFill="1"/>
    <xf numFmtId="0" fontId="71" fillId="17" borderId="0" xfId="0" applyFont="1" applyFill="1"/>
    <xf numFmtId="0" fontId="6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18" borderId="0" xfId="0" applyNumberFormat="1" applyFill="1"/>
    <xf numFmtId="0" fontId="0" fillId="0" borderId="11" xfId="0" applyBorder="1" applyAlignment="1">
      <alignment horizontal="centerContinuous"/>
    </xf>
    <xf numFmtId="180" fontId="72" fillId="0" borderId="0" xfId="0" applyNumberFormat="1" applyFont="1" applyAlignment="1">
      <alignment horizontal="right"/>
    </xf>
    <xf numFmtId="180" fontId="28" fillId="0" borderId="0" xfId="0" applyNumberFormat="1" applyFont="1" applyAlignment="1">
      <alignment horizontal="right"/>
    </xf>
    <xf numFmtId="180" fontId="28" fillId="0" borderId="3" xfId="0" applyNumberFormat="1" applyFont="1" applyBorder="1" applyAlignment="1">
      <alignment horizontal="right"/>
    </xf>
    <xf numFmtId="180" fontId="28" fillId="0" borderId="0" xfId="0" applyNumberFormat="1" applyFont="1" applyFill="1" applyAlignment="1">
      <alignment horizontal="right"/>
    </xf>
    <xf numFmtId="180" fontId="28" fillId="0" borderId="3" xfId="0" applyNumberFormat="1" applyFont="1" applyFill="1" applyBorder="1" applyAlignment="1">
      <alignment horizontal="right"/>
    </xf>
    <xf numFmtId="180" fontId="28" fillId="0" borderId="2" xfId="0" applyNumberFormat="1" applyFont="1" applyFill="1" applyBorder="1" applyAlignment="1">
      <alignment horizontal="right"/>
    </xf>
    <xf numFmtId="0" fontId="0" fillId="0" borderId="6" xfId="0" applyFill="1" applyBorder="1"/>
    <xf numFmtId="0" fontId="0" fillId="0" borderId="4" xfId="0" applyFill="1" applyBorder="1"/>
    <xf numFmtId="181" fontId="28" fillId="0" borderId="0" xfId="0" applyNumberFormat="1" applyFont="1" applyAlignment="1">
      <alignment horizontal="right"/>
    </xf>
    <xf numFmtId="172" fontId="0" fillId="0" borderId="0" xfId="5" applyNumberFormat="1" applyFont="1"/>
    <xf numFmtId="0" fontId="68" fillId="19" borderId="0" xfId="0" applyFont="1" applyFill="1" applyBorder="1" applyAlignment="1">
      <alignment horizontal="left"/>
    </xf>
    <xf numFmtId="180" fontId="69" fillId="19" borderId="0" xfId="0" applyNumberFormat="1" applyFont="1" applyFill="1" applyBorder="1" applyAlignment="1">
      <alignment horizontal="right"/>
    </xf>
    <xf numFmtId="0" fontId="69" fillId="17" borderId="0" xfId="3" applyFont="1" applyFill="1" applyProtection="1"/>
    <xf numFmtId="180" fontId="69" fillId="17" borderId="0" xfId="0" applyNumberFormat="1" applyFont="1" applyFill="1" applyBorder="1" applyAlignment="1">
      <alignment horizontal="right"/>
    </xf>
    <xf numFmtId="0" fontId="69" fillId="20" borderId="0" xfId="3" applyFont="1" applyFill="1" applyProtection="1"/>
    <xf numFmtId="180" fontId="69" fillId="20" borderId="0" xfId="0" applyNumberFormat="1" applyFont="1" applyFill="1" applyBorder="1" applyAlignment="1">
      <alignment horizontal="right"/>
    </xf>
    <xf numFmtId="8" fontId="0" fillId="0" borderId="0" xfId="0" applyNumberFormat="1"/>
    <xf numFmtId="182" fontId="56" fillId="0" borderId="0" xfId="0" applyNumberFormat="1" applyFont="1" applyBorder="1"/>
    <xf numFmtId="181" fontId="72" fillId="0" borderId="0" xfId="0" applyNumberFormat="1" applyFont="1" applyAlignment="1">
      <alignment horizontal="right"/>
    </xf>
    <xf numFmtId="0" fontId="73" fillId="0" borderId="0" xfId="0" applyFont="1" applyAlignment="1">
      <alignment horizontal="center"/>
    </xf>
    <xf numFmtId="172" fontId="0" fillId="0" borderId="0" xfId="5" applyNumberFormat="1" applyFont="1" applyBorder="1"/>
    <xf numFmtId="182" fontId="0" fillId="0" borderId="0" xfId="0" applyNumberFormat="1" applyBorder="1"/>
    <xf numFmtId="180" fontId="0" fillId="0" borderId="0" xfId="0" applyNumberFormat="1"/>
    <xf numFmtId="0" fontId="73" fillId="0" borderId="0" xfId="0" applyFont="1"/>
    <xf numFmtId="0" fontId="0" fillId="0" borderId="14" xfId="0" applyBorder="1"/>
    <xf numFmtId="7" fontId="0" fillId="0" borderId="14" xfId="1" applyNumberFormat="1" applyFont="1" applyBorder="1"/>
    <xf numFmtId="0" fontId="0" fillId="17" borderId="0" xfId="0" applyFill="1"/>
    <xf numFmtId="180" fontId="28" fillId="17" borderId="0" xfId="0" applyNumberFormat="1" applyFont="1" applyFill="1" applyAlignment="1">
      <alignment horizontal="right"/>
    </xf>
    <xf numFmtId="0" fontId="0" fillId="17" borderId="0" xfId="0" applyFont="1" applyFill="1"/>
    <xf numFmtId="0" fontId="74" fillId="21" borderId="0" xfId="0" applyFont="1" applyFill="1" applyAlignment="1">
      <alignment horizontal="centerContinuous"/>
    </xf>
    <xf numFmtId="0" fontId="69" fillId="20" borderId="0" xfId="0" applyFont="1" applyFill="1" applyAlignment="1">
      <alignment horizontal="centerContinuous"/>
    </xf>
    <xf numFmtId="0" fontId="0" fillId="20" borderId="0" xfId="0" applyFill="1" applyBorder="1"/>
    <xf numFmtId="7" fontId="0" fillId="20" borderId="0" xfId="1" applyNumberFormat="1" applyFont="1" applyFill="1" applyBorder="1"/>
    <xf numFmtId="7" fontId="0" fillId="20" borderId="0" xfId="0" applyNumberFormat="1" applyFill="1" applyBorder="1"/>
    <xf numFmtId="182" fontId="0" fillId="20" borderId="0" xfId="0" applyNumberFormat="1" applyFill="1" applyBorder="1"/>
    <xf numFmtId="0" fontId="0" fillId="17" borderId="6" xfId="0" applyFill="1" applyBorder="1"/>
    <xf numFmtId="0" fontId="0" fillId="0" borderId="15" xfId="0" applyBorder="1"/>
    <xf numFmtId="176" fontId="0" fillId="0" borderId="15" xfId="2" applyNumberFormat="1" applyFont="1" applyBorder="1"/>
    <xf numFmtId="0" fontId="0" fillId="0" borderId="0" xfId="0" applyFill="1" applyBorder="1"/>
    <xf numFmtId="7" fontId="56" fillId="20" borderId="0" xfId="0" applyNumberFormat="1" applyFont="1" applyFill="1" applyBorder="1"/>
    <xf numFmtId="7" fontId="56" fillId="0" borderId="0" xfId="1" applyNumberFormat="1" applyFont="1" applyBorder="1"/>
    <xf numFmtId="0" fontId="75" fillId="0" borderId="0" xfId="6" applyFont="1"/>
    <xf numFmtId="0" fontId="24" fillId="0" borderId="0" xfId="6"/>
    <xf numFmtId="183" fontId="76" fillId="0" borderId="0" xfId="7" applyNumberFormat="1" applyFont="1"/>
    <xf numFmtId="183" fontId="77" fillId="0" borderId="0" xfId="7" applyNumberFormat="1" applyFont="1"/>
    <xf numFmtId="0" fontId="25" fillId="0" borderId="0" xfId="6" applyFont="1"/>
    <xf numFmtId="0" fontId="25" fillId="0" borderId="0" xfId="6" applyFont="1" applyAlignment="1">
      <alignment horizontal="center"/>
    </xf>
    <xf numFmtId="0" fontId="75" fillId="0" borderId="0" xfId="6" applyFont="1" applyAlignment="1">
      <alignment horizontal="center"/>
    </xf>
    <xf numFmtId="0" fontId="73" fillId="0" borderId="0" xfId="6" applyFont="1" applyAlignment="1">
      <alignment horizontal="center"/>
    </xf>
    <xf numFmtId="184" fontId="76" fillId="0" borderId="0" xfId="7" applyNumberFormat="1" applyFont="1"/>
    <xf numFmtId="185" fontId="69" fillId="0" borderId="0" xfId="8" applyNumberFormat="1" applyFont="1" applyAlignment="1">
      <alignment horizontal="right"/>
    </xf>
    <xf numFmtId="43" fontId="0" fillId="0" borderId="0" xfId="9" applyFont="1"/>
    <xf numFmtId="9" fontId="76" fillId="0" borderId="0" xfId="8" applyFont="1" applyAlignment="1"/>
    <xf numFmtId="184" fontId="77" fillId="0" borderId="0" xfId="7" applyNumberFormat="1" applyFont="1"/>
    <xf numFmtId="186" fontId="69" fillId="0" borderId="0" xfId="8" applyNumberFormat="1" applyFont="1" applyAlignment="1">
      <alignment horizontal="right"/>
    </xf>
    <xf numFmtId="0" fontId="78" fillId="0" borderId="0" xfId="6" applyFont="1" applyAlignment="1">
      <alignment horizontal="right"/>
    </xf>
    <xf numFmtId="9" fontId="78" fillId="0" borderId="0" xfId="8" applyFont="1"/>
    <xf numFmtId="184" fontId="76" fillId="0" borderId="0" xfId="7" applyNumberFormat="1" applyFont="1" applyAlignment="1">
      <alignment horizontal="right"/>
    </xf>
    <xf numFmtId="187" fontId="69" fillId="0" borderId="0" xfId="8" applyNumberFormat="1" applyFont="1" applyAlignment="1">
      <alignment horizontal="right"/>
    </xf>
    <xf numFmtId="188" fontId="76" fillId="0" borderId="0" xfId="7" applyNumberFormat="1" applyFont="1"/>
    <xf numFmtId="9" fontId="78" fillId="0" borderId="0" xfId="8" applyFont="1" applyAlignment="1">
      <alignment horizontal="right"/>
    </xf>
    <xf numFmtId="183" fontId="79" fillId="0" borderId="0" xfId="7" applyNumberFormat="1" applyFont="1"/>
    <xf numFmtId="37" fontId="76" fillId="0" borderId="0" xfId="7" applyNumberFormat="1" applyFont="1"/>
    <xf numFmtId="187" fontId="80" fillId="0" borderId="0" xfId="8" applyNumberFormat="1" applyFont="1" applyAlignment="1">
      <alignment horizontal="right"/>
    </xf>
    <xf numFmtId="188" fontId="69" fillId="0" borderId="0" xfId="8" applyNumberFormat="1" applyFont="1" applyAlignment="1">
      <alignment horizontal="right"/>
    </xf>
    <xf numFmtId="188" fontId="80" fillId="0" borderId="0" xfId="8" applyNumberFormat="1" applyFont="1" applyAlignment="1">
      <alignment horizontal="right"/>
    </xf>
    <xf numFmtId="9" fontId="14" fillId="3" borderId="0" xfId="2" applyFont="1" applyFill="1"/>
    <xf numFmtId="0" fontId="11" fillId="7" borderId="0" xfId="0" applyFont="1" applyFill="1" applyAlignment="1">
      <alignment horizontal="right" vertical="center" wrapText="1"/>
    </xf>
    <xf numFmtId="0" fontId="81" fillId="7" borderId="0" xfId="0" applyFont="1" applyFill="1" applyAlignment="1">
      <alignment horizontal="right" vertical="top" wrapText="1"/>
    </xf>
    <xf numFmtId="0" fontId="81" fillId="7" borderId="0" xfId="0" applyFont="1" applyFill="1" applyAlignment="1">
      <alignment horizontal="right" vertical="top"/>
    </xf>
    <xf numFmtId="3" fontId="11" fillId="17" borderId="0" xfId="0" applyNumberFormat="1" applyFont="1" applyFill="1" applyAlignment="1">
      <alignment horizontal="right" vertical="center" wrapText="1"/>
    </xf>
    <xf numFmtId="0" fontId="11" fillId="17" borderId="0" xfId="0" applyFont="1" applyFill="1" applyAlignment="1">
      <alignment vertical="center"/>
    </xf>
    <xf numFmtId="0" fontId="75" fillId="0" borderId="0" xfId="6" applyFont="1" applyFill="1"/>
    <xf numFmtId="43" fontId="0" fillId="0" borderId="0" xfId="5" applyFont="1"/>
    <xf numFmtId="183" fontId="76" fillId="0" borderId="0" xfId="7" applyNumberFormat="1" applyFont="1" applyAlignment="1">
      <alignment horizontal="right"/>
    </xf>
    <xf numFmtId="0" fontId="7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89" fontId="28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72" fillId="0" borderId="0" xfId="0" applyFont="1" applyAlignment="1">
      <alignment vertical="center"/>
    </xf>
    <xf numFmtId="189" fontId="72" fillId="0" borderId="0" xfId="0" applyNumberFormat="1" applyFont="1" applyAlignment="1">
      <alignment vertical="center"/>
    </xf>
    <xf numFmtId="0" fontId="48" fillId="0" borderId="0" xfId="0" applyFont="1"/>
    <xf numFmtId="0" fontId="48" fillId="0" borderId="0" xfId="0" applyFont="1" applyAlignment="1">
      <alignment horizontal="left"/>
    </xf>
    <xf numFmtId="9" fontId="82" fillId="0" borderId="0" xfId="2" applyFont="1" applyAlignment="1">
      <alignment horizontal="right"/>
    </xf>
    <xf numFmtId="189" fontId="72" fillId="0" borderId="0" xfId="5" applyNumberFormat="1" applyFont="1" applyAlignment="1">
      <alignment vertical="center"/>
    </xf>
    <xf numFmtId="189" fontId="72" fillId="0" borderId="2" xfId="0" applyNumberFormat="1" applyFont="1" applyBorder="1" applyAlignment="1">
      <alignment vertical="center"/>
    </xf>
    <xf numFmtId="189" fontId="18" fillId="3" borderId="0" xfId="5" applyNumberFormat="1" applyFont="1" applyFill="1" applyAlignment="1">
      <alignment horizontal="right"/>
    </xf>
    <xf numFmtId="189" fontId="21" fillId="3" borderId="0" xfId="5" applyNumberFormat="1" applyFont="1" applyFill="1" applyAlignment="1">
      <alignment horizontal="right"/>
    </xf>
    <xf numFmtId="189" fontId="0" fillId="0" borderId="0" xfId="0" applyNumberFormat="1"/>
    <xf numFmtId="189" fontId="82" fillId="0" borderId="0" xfId="0" applyNumberFormat="1" applyFont="1" applyAlignment="1">
      <alignment vertical="center"/>
    </xf>
    <xf numFmtId="189" fontId="83" fillId="0" borderId="0" xfId="0" applyNumberFormat="1" applyFont="1"/>
    <xf numFmtId="0" fontId="83" fillId="0" borderId="0" xfId="0" applyFont="1"/>
    <xf numFmtId="0" fontId="72" fillId="22" borderId="0" xfId="0" applyFont="1" applyFill="1" applyAlignment="1">
      <alignment vertical="center"/>
    </xf>
    <xf numFmtId="0" fontId="28" fillId="22" borderId="0" xfId="0" applyFont="1" applyFill="1" applyAlignment="1">
      <alignment vertical="center"/>
    </xf>
    <xf numFmtId="189" fontId="72" fillId="22" borderId="2" xfId="0" applyNumberFormat="1" applyFont="1" applyFill="1" applyBorder="1" applyAlignment="1">
      <alignment vertical="center"/>
    </xf>
    <xf numFmtId="9" fontId="6" fillId="7" borderId="0" xfId="2" applyFont="1" applyFill="1" applyAlignment="1">
      <alignment horizontal="right" vertical="top"/>
    </xf>
    <xf numFmtId="5" fontId="0" fillId="0" borderId="0" xfId="0" applyNumberFormat="1"/>
    <xf numFmtId="7" fontId="0" fillId="0" borderId="0" xfId="0" applyNumberFormat="1"/>
    <xf numFmtId="180" fontId="73" fillId="0" borderId="0" xfId="0" applyNumberFormat="1" applyFont="1"/>
    <xf numFmtId="181" fontId="73" fillId="0" borderId="0" xfId="0" applyNumberFormat="1" applyFont="1"/>
    <xf numFmtId="43" fontId="0" fillId="0" borderId="0" xfId="5" applyNumberFormat="1" applyFont="1"/>
    <xf numFmtId="8" fontId="25" fillId="0" borderId="0" xfId="0" applyNumberFormat="1" applyFont="1"/>
    <xf numFmtId="0" fontId="75" fillId="0" borderId="0" xfId="0" applyFont="1"/>
    <xf numFmtId="0" fontId="25" fillId="17" borderId="0" xfId="0" applyFont="1" applyFill="1"/>
    <xf numFmtId="180" fontId="72" fillId="17" borderId="0" xfId="0" applyNumberFormat="1" applyFont="1" applyFill="1" applyAlignment="1">
      <alignment horizontal="right"/>
    </xf>
    <xf numFmtId="9" fontId="0" fillId="0" borderId="0" xfId="2" applyFont="1"/>
    <xf numFmtId="9" fontId="25" fillId="0" borderId="0" xfId="2" applyFont="1"/>
    <xf numFmtId="17" fontId="75" fillId="0" borderId="0" xfId="0" applyNumberFormat="1" applyFont="1"/>
    <xf numFmtId="0" fontId="25" fillId="0" borderId="0" xfId="0" applyFont="1" applyAlignment="1">
      <alignment horizontal="right"/>
    </xf>
    <xf numFmtId="0" fontId="84" fillId="0" borderId="0" xfId="0" applyFont="1"/>
    <xf numFmtId="0" fontId="85" fillId="0" borderId="0" xfId="0" applyFont="1"/>
    <xf numFmtId="9" fontId="3" fillId="3" borderId="0" xfId="2" applyFont="1" applyFill="1" applyBorder="1" applyAlignment="1">
      <alignment horizontal="right" vertical="top" wrapText="1"/>
    </xf>
    <xf numFmtId="180" fontId="24" fillId="0" borderId="0" xfId="0" applyNumberFormat="1" applyFont="1"/>
    <xf numFmtId="9" fontId="24" fillId="0" borderId="0" xfId="2" applyFont="1"/>
    <xf numFmtId="180" fontId="25" fillId="0" borderId="0" xfId="0" applyNumberFormat="1" applyFont="1"/>
    <xf numFmtId="0" fontId="0" fillId="0" borderId="0" xfId="0" applyFont="1" applyAlignment="1">
      <alignment horizontal="left" indent="2"/>
    </xf>
    <xf numFmtId="0" fontId="24" fillId="0" borderId="0" xfId="0" applyFont="1" applyAlignment="1">
      <alignment horizontal="left" indent="2"/>
    </xf>
    <xf numFmtId="9" fontId="56" fillId="17" borderId="0" xfId="2" applyFont="1" applyFill="1"/>
    <xf numFmtId="0" fontId="86" fillId="0" borderId="0" xfId="0" applyFont="1" applyAlignment="1">
      <alignment horizontal="center" vertical="top"/>
    </xf>
    <xf numFmtId="180" fontId="56" fillId="17" borderId="0" xfId="0" applyNumberFormat="1" applyFont="1" applyFill="1"/>
    <xf numFmtId="0" fontId="0" fillId="0" borderId="0" xfId="6" applyFont="1"/>
    <xf numFmtId="9" fontId="76" fillId="0" borderId="0" xfId="2" applyFont="1"/>
    <xf numFmtId="9" fontId="77" fillId="0" borderId="0" xfId="2" applyFont="1"/>
    <xf numFmtId="0" fontId="68" fillId="0" borderId="0" xfId="6" applyFont="1"/>
    <xf numFmtId="0" fontId="67" fillId="0" borderId="0" xfId="6" applyFont="1"/>
    <xf numFmtId="0" fontId="25" fillId="0" borderId="11" xfId="6" applyFont="1" applyBorder="1"/>
    <xf numFmtId="9" fontId="87" fillId="0" borderId="0" xfId="2" applyFont="1"/>
    <xf numFmtId="0" fontId="88" fillId="0" borderId="0" xfId="6" applyFont="1"/>
    <xf numFmtId="183" fontId="24" fillId="0" borderId="0" xfId="6" applyNumberFormat="1"/>
    <xf numFmtId="183" fontId="24" fillId="0" borderId="11" xfId="6" applyNumberFormat="1" applyBorder="1"/>
    <xf numFmtId="184" fontId="87" fillId="0" borderId="0" xfId="7" applyNumberFormat="1" applyFont="1"/>
    <xf numFmtId="190" fontId="88" fillId="0" borderId="0" xfId="5" applyNumberFormat="1" applyFont="1"/>
    <xf numFmtId="184" fontId="87" fillId="0" borderId="0" xfId="7" applyNumberFormat="1" applyFont="1" applyAlignment="1">
      <alignment horizontal="right"/>
    </xf>
    <xf numFmtId="0" fontId="24" fillId="0" borderId="0" xfId="6" applyFont="1"/>
    <xf numFmtId="9" fontId="87" fillId="0" borderId="0" xfId="2" applyFont="1" applyAlignment="1">
      <alignment horizontal="right"/>
    </xf>
    <xf numFmtId="176" fontId="87" fillId="0" borderId="0" xfId="2" applyNumberFormat="1" applyFont="1"/>
    <xf numFmtId="183" fontId="77" fillId="0" borderId="0" xfId="7" applyNumberFormat="1" applyFont="1" applyBorder="1"/>
    <xf numFmtId="183" fontId="76" fillId="0" borderId="16" xfId="7" applyNumberFormat="1" applyFont="1" applyBorder="1"/>
    <xf numFmtId="0" fontId="89" fillId="0" borderId="0" xfId="6" applyFont="1"/>
    <xf numFmtId="0" fontId="68" fillId="0" borderId="11" xfId="6" applyFont="1" applyBorder="1"/>
    <xf numFmtId="0" fontId="54" fillId="0" borderId="0" xfId="0" applyFont="1" applyAlignment="1">
      <alignment horizontal="center"/>
    </xf>
    <xf numFmtId="0" fontId="25" fillId="0" borderId="11" xfId="0" applyFont="1" applyBorder="1"/>
    <xf numFmtId="0" fontId="0" fillId="0" borderId="11" xfId="0" applyBorder="1"/>
    <xf numFmtId="0" fontId="25" fillId="0" borderId="11" xfId="0" applyFont="1" applyBorder="1" applyAlignment="1">
      <alignment horizontal="center"/>
    </xf>
    <xf numFmtId="181" fontId="28" fillId="0" borderId="11" xfId="0" applyNumberFormat="1" applyFont="1" applyBorder="1" applyAlignment="1">
      <alignment horizontal="right"/>
    </xf>
    <xf numFmtId="5" fontId="0" fillId="0" borderId="11" xfId="0" applyNumberFormat="1" applyBorder="1"/>
    <xf numFmtId="8" fontId="0" fillId="0" borderId="11" xfId="0" applyNumberFormat="1" applyBorder="1"/>
    <xf numFmtId="9" fontId="24" fillId="0" borderId="0" xfId="0" applyNumberFormat="1" applyFont="1"/>
    <xf numFmtId="172" fontId="24" fillId="0" borderId="0" xfId="5" applyNumberFormat="1" applyFont="1"/>
    <xf numFmtId="180" fontId="45" fillId="17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176" fontId="37" fillId="0" borderId="0" xfId="3" applyNumberFormat="1" applyFont="1" applyAlignment="1" applyProtection="1">
      <alignment horizontal="center"/>
      <protection locked="0"/>
    </xf>
    <xf numFmtId="0" fontId="35" fillId="0" borderId="0" xfId="3" applyFont="1" applyAlignment="1" applyProtection="1">
      <alignment horizontal="center"/>
    </xf>
    <xf numFmtId="0" fontId="34" fillId="0" borderId="0" xfId="3" applyFont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wrapText="1"/>
    </xf>
  </cellXfs>
  <cellStyles count="10">
    <cellStyle name="Millares" xfId="5" builtinId="3"/>
    <cellStyle name="Millares 4" xfId="9" xr:uid="{C8EAF141-77EF-4D34-99ED-CB8FB4FB1BCD}"/>
    <cellStyle name="Moneda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2 3" xfId="7" xr:uid="{20619982-1B46-441F-A871-9EF936D4038E}"/>
    <cellStyle name="Normal 4" xfId="6" xr:uid="{F283EA76-2532-4F19-A481-3C1F53246995}"/>
    <cellStyle name="Porcentaje" xfId="2" builtinId="5"/>
    <cellStyle name="Porcentaje 4" xfId="8" xr:uid="{C92C48C3-D551-42C4-8771-6FE01E90B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-AV/UTDT/MFIN/2020%20MFIN/Curso%20FC/5-IPO/Clase/Facebook%20IPO_ana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  <sheetName val="Ex3 "/>
      <sheetName val="Ex4"/>
      <sheetName val="Ex5"/>
      <sheetName val="Ex6"/>
      <sheetName val="Shareholders (Ex8)"/>
      <sheetName val="Ex9"/>
      <sheetName val="Ex10"/>
      <sheetName val="DCF (Ex11)"/>
      <sheetName val="Comps (Ex12)"/>
      <sheetName val="Financials (Ex2)"/>
      <sheetName val="Model"/>
      <sheetName val="DCF"/>
      <sheetName val="WACC"/>
      <sheetName val="AVP"/>
      <sheetName val="Anex I. IPO terms"/>
      <sheetName val="Anex II. Prospectus--&gt;"/>
      <sheetName val="IPO Cash Flow"/>
      <sheetName val="IPO P&amp;L"/>
      <sheetName val="IPO Bce Sheet"/>
      <sheetName val="IPO 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250">
          <cell r="E250">
            <v>0.39880952380952384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view="pageLayout" topLeftCell="A25" zoomScaleNormal="100" workbookViewId="0">
      <selection activeCell="D42" sqref="D42"/>
    </sheetView>
  </sheetViews>
  <sheetFormatPr baseColWidth="10" defaultColWidth="8.83984375" defaultRowHeight="14.4" x14ac:dyDescent="0.55000000000000004"/>
  <cols>
    <col min="1" max="1" width="36.68359375" style="10" bestFit="1" customWidth="1"/>
    <col min="2" max="4" width="13.68359375" style="10" customWidth="1"/>
  </cols>
  <sheetData>
    <row r="1" spans="1:4" x14ac:dyDescent="0.55000000000000004">
      <c r="A1" s="1" t="s">
        <v>0</v>
      </c>
      <c r="B1" s="1"/>
      <c r="C1" s="1"/>
      <c r="D1" s="1"/>
    </row>
    <row r="2" spans="1:4" x14ac:dyDescent="0.55000000000000004">
      <c r="A2" s="11" t="s">
        <v>1</v>
      </c>
      <c r="B2" s="12" t="s">
        <v>2</v>
      </c>
      <c r="C2" s="12" t="s">
        <v>3</v>
      </c>
      <c r="D2" s="12" t="s">
        <v>4</v>
      </c>
    </row>
    <row r="3" spans="1:4" x14ac:dyDescent="0.55000000000000004">
      <c r="A3" s="2" t="s">
        <v>5</v>
      </c>
      <c r="B3" s="3"/>
      <c r="C3" s="3"/>
      <c r="D3" s="3"/>
    </row>
    <row r="4" spans="1:4" x14ac:dyDescent="0.55000000000000004">
      <c r="A4" s="3" t="s">
        <v>6</v>
      </c>
      <c r="B4" s="4">
        <v>11261</v>
      </c>
      <c r="C4" s="4">
        <v>9815</v>
      </c>
      <c r="D4" s="4">
        <v>10746</v>
      </c>
    </row>
    <row r="5" spans="1:4" x14ac:dyDescent="0.55000000000000004">
      <c r="A5" s="3" t="s">
        <v>7</v>
      </c>
      <c r="B5" s="4">
        <v>14359</v>
      </c>
      <c r="C5" s="4">
        <v>16137</v>
      </c>
      <c r="D5" s="4">
        <v>18383</v>
      </c>
    </row>
    <row r="6" spans="1:4" x14ac:dyDescent="0.55000000000000004">
      <c r="A6" s="3" t="s">
        <v>8</v>
      </c>
      <c r="B6" s="4" t="s">
        <v>9</v>
      </c>
      <c r="C6" s="4" t="s">
        <v>9</v>
      </c>
      <c r="D6" s="4" t="s">
        <v>9</v>
      </c>
    </row>
    <row r="7" spans="1:4" x14ac:dyDescent="0.55000000000000004">
      <c r="A7" s="2" t="s">
        <v>10</v>
      </c>
      <c r="B7" s="5">
        <v>25620</v>
      </c>
      <c r="C7" s="5">
        <v>25952</v>
      </c>
      <c r="D7" s="5">
        <v>29129</v>
      </c>
    </row>
    <row r="8" spans="1:4" x14ac:dyDescent="0.55000000000000004">
      <c r="A8" s="3"/>
      <c r="B8" s="3"/>
      <c r="C8" s="3"/>
      <c r="D8" s="3"/>
    </row>
    <row r="9" spans="1:4" x14ac:dyDescent="0.55000000000000004">
      <c r="A9" s="3" t="s">
        <v>11</v>
      </c>
      <c r="B9" s="4">
        <v>5510</v>
      </c>
      <c r="C9" s="4">
        <v>5369</v>
      </c>
      <c r="D9" s="4">
        <v>10930</v>
      </c>
    </row>
    <row r="10" spans="1:4" x14ac:dyDescent="0.55000000000000004">
      <c r="A10" s="3" t="s">
        <v>12</v>
      </c>
      <c r="B10" s="4">
        <v>4414</v>
      </c>
      <c r="C10" s="4">
        <v>6348</v>
      </c>
      <c r="D10" s="4">
        <v>7762</v>
      </c>
    </row>
    <row r="11" spans="1:4" x14ac:dyDescent="0.55000000000000004">
      <c r="A11" s="2" t="s">
        <v>13</v>
      </c>
      <c r="B11" s="5">
        <v>9924</v>
      </c>
      <c r="C11" s="5">
        <v>11717</v>
      </c>
      <c r="D11" s="5">
        <v>18692</v>
      </c>
    </row>
    <row r="12" spans="1:4" x14ac:dyDescent="0.55000000000000004">
      <c r="A12" s="3"/>
      <c r="B12" s="3"/>
      <c r="C12" s="3"/>
      <c r="D12" s="3"/>
    </row>
    <row r="13" spans="1:4" x14ac:dyDescent="0.55000000000000004">
      <c r="A13" s="3" t="s">
        <v>14</v>
      </c>
      <c r="B13" s="4">
        <v>1051</v>
      </c>
      <c r="C13" s="4">
        <v>776</v>
      </c>
      <c r="D13" s="4">
        <v>791</v>
      </c>
    </row>
    <row r="14" spans="1:4" x14ac:dyDescent="0.55000000000000004">
      <c r="A14" s="3" t="s">
        <v>15</v>
      </c>
      <c r="B14" s="4">
        <v>1636</v>
      </c>
      <c r="C14" s="4">
        <v>2014</v>
      </c>
      <c r="D14" s="4">
        <v>2583</v>
      </c>
    </row>
    <row r="15" spans="1:4" x14ac:dyDescent="0.55000000000000004">
      <c r="A15" s="3" t="s">
        <v>16</v>
      </c>
      <c r="B15" s="4">
        <v>445</v>
      </c>
      <c r="C15" s="4">
        <v>0</v>
      </c>
      <c r="D15" s="4">
        <v>278</v>
      </c>
    </row>
    <row r="16" spans="1:4" x14ac:dyDescent="0.55000000000000004">
      <c r="A16" s="3" t="s">
        <v>17</v>
      </c>
      <c r="B16" s="4">
        <v>3002</v>
      </c>
      <c r="C16" s="4">
        <v>4529</v>
      </c>
      <c r="D16" s="4">
        <v>6180</v>
      </c>
    </row>
    <row r="17" spans="1:4" x14ac:dyDescent="0.55000000000000004">
      <c r="A17" s="2" t="s">
        <v>18</v>
      </c>
      <c r="B17" s="5">
        <v>41678</v>
      </c>
      <c r="C17" s="5">
        <v>44988</v>
      </c>
      <c r="D17" s="5">
        <v>57653</v>
      </c>
    </row>
    <row r="18" spans="1:4" x14ac:dyDescent="0.55000000000000004">
      <c r="A18" s="3"/>
      <c r="B18" s="3"/>
      <c r="C18" s="3"/>
      <c r="D18" s="3"/>
    </row>
    <row r="19" spans="1:4" x14ac:dyDescent="0.55000000000000004">
      <c r="A19" s="2" t="s">
        <v>19</v>
      </c>
      <c r="B19" s="6">
        <v>4768</v>
      </c>
      <c r="C19" s="6">
        <v>7777</v>
      </c>
      <c r="D19" s="6">
        <v>15452</v>
      </c>
    </row>
    <row r="20" spans="1:4" x14ac:dyDescent="0.55000000000000004">
      <c r="A20" s="3"/>
      <c r="B20" s="3"/>
      <c r="C20" s="3"/>
      <c r="D20" s="3"/>
    </row>
    <row r="21" spans="1:4" x14ac:dyDescent="0.55000000000000004">
      <c r="A21" s="3" t="s">
        <v>20</v>
      </c>
      <c r="B21" s="4">
        <v>25391</v>
      </c>
      <c r="C21" s="4">
        <v>55618</v>
      </c>
      <c r="D21" s="4">
        <v>92122</v>
      </c>
    </row>
    <row r="22" spans="1:4" x14ac:dyDescent="0.55000000000000004">
      <c r="A22" s="3" t="s">
        <v>21</v>
      </c>
      <c r="B22" s="4">
        <v>741</v>
      </c>
      <c r="C22" s="4">
        <v>896</v>
      </c>
      <c r="D22" s="4">
        <v>1135</v>
      </c>
    </row>
    <row r="23" spans="1:4" x14ac:dyDescent="0.55000000000000004">
      <c r="A23" s="3" t="s">
        <v>22</v>
      </c>
      <c r="B23" s="4">
        <v>342</v>
      </c>
      <c r="C23" s="4">
        <v>3536</v>
      </c>
      <c r="D23" s="4">
        <v>4224</v>
      </c>
    </row>
    <row r="24" spans="1:4" x14ac:dyDescent="0.55000000000000004">
      <c r="A24" s="3" t="s">
        <v>23</v>
      </c>
      <c r="B24" s="4">
        <v>2263</v>
      </c>
      <c r="C24" s="4">
        <v>3556</v>
      </c>
      <c r="D24" s="4">
        <v>5478</v>
      </c>
    </row>
    <row r="25" spans="1:4" x14ac:dyDescent="0.55000000000000004">
      <c r="A25" s="2" t="s">
        <v>24</v>
      </c>
      <c r="B25" s="7">
        <v>75183</v>
      </c>
      <c r="C25" s="7">
        <v>116371</v>
      </c>
      <c r="D25" s="7">
        <v>176064</v>
      </c>
    </row>
    <row r="26" spans="1:4" x14ac:dyDescent="0.55000000000000004">
      <c r="A26" s="3"/>
      <c r="B26" s="3"/>
      <c r="C26" s="3"/>
      <c r="D26" s="3"/>
    </row>
    <row r="27" spans="1:4" x14ac:dyDescent="0.55000000000000004">
      <c r="A27" s="2" t="s">
        <v>25</v>
      </c>
      <c r="B27" s="3"/>
      <c r="C27" s="3"/>
      <c r="D27" s="3"/>
    </row>
    <row r="28" spans="1:4" x14ac:dyDescent="0.55000000000000004">
      <c r="A28" s="3" t="s">
        <v>26</v>
      </c>
      <c r="B28" s="4">
        <v>12015</v>
      </c>
      <c r="C28" s="4">
        <v>14632</v>
      </c>
      <c r="D28" s="4">
        <v>21175</v>
      </c>
    </row>
    <row r="29" spans="1:4" x14ac:dyDescent="0.55000000000000004">
      <c r="A29" s="3" t="s">
        <v>27</v>
      </c>
      <c r="B29" s="4">
        <v>3641</v>
      </c>
      <c r="C29" s="4">
        <v>4829</v>
      </c>
      <c r="D29" s="4">
        <v>6749</v>
      </c>
    </row>
    <row r="30" spans="1:4" x14ac:dyDescent="0.55000000000000004">
      <c r="A30" s="3" t="s">
        <v>28</v>
      </c>
      <c r="B30" s="4">
        <v>658</v>
      </c>
      <c r="C30" s="4">
        <v>1140</v>
      </c>
      <c r="D30" s="4">
        <v>1535</v>
      </c>
    </row>
    <row r="31" spans="1:4" x14ac:dyDescent="0.55000000000000004">
      <c r="A31" s="3" t="s">
        <v>29</v>
      </c>
      <c r="B31" s="4">
        <v>3647</v>
      </c>
      <c r="C31" s="4">
        <v>6129</v>
      </c>
      <c r="D31" s="4">
        <v>7445</v>
      </c>
    </row>
    <row r="32" spans="1:4" x14ac:dyDescent="0.55000000000000004">
      <c r="A32" s="3" t="s">
        <v>30</v>
      </c>
      <c r="B32" s="4">
        <v>761</v>
      </c>
      <c r="C32" s="4">
        <v>1240</v>
      </c>
      <c r="D32" s="4">
        <v>1638</v>
      </c>
    </row>
    <row r="33" spans="1:4" x14ac:dyDescent="0.55000000000000004">
      <c r="A33" s="2" t="s">
        <v>31</v>
      </c>
      <c r="B33" s="5">
        <v>20722</v>
      </c>
      <c r="C33" s="5">
        <v>27970</v>
      </c>
      <c r="D33" s="5">
        <v>38542</v>
      </c>
    </row>
    <row r="34" spans="1:4" x14ac:dyDescent="0.55000000000000004">
      <c r="A34" s="3"/>
      <c r="B34" s="3"/>
      <c r="C34" s="3"/>
      <c r="D34" s="3"/>
    </row>
    <row r="35" spans="1:4" x14ac:dyDescent="0.55000000000000004">
      <c r="A35" s="3" t="s">
        <v>32</v>
      </c>
      <c r="B35" s="4" t="s">
        <v>9</v>
      </c>
      <c r="C35" s="4" t="s">
        <v>9</v>
      </c>
      <c r="D35" s="4" t="s">
        <v>9</v>
      </c>
    </row>
    <row r="36" spans="1:4" x14ac:dyDescent="0.55000000000000004">
      <c r="A36" s="3" t="s">
        <v>33</v>
      </c>
      <c r="B36" s="4">
        <v>1139</v>
      </c>
      <c r="C36" s="4">
        <v>1686</v>
      </c>
      <c r="D36" s="4">
        <v>2648</v>
      </c>
    </row>
    <row r="37" spans="1:4" x14ac:dyDescent="0.55000000000000004">
      <c r="A37" s="3" t="s">
        <v>34</v>
      </c>
      <c r="B37" s="4">
        <v>4300</v>
      </c>
      <c r="C37" s="4">
        <v>8159</v>
      </c>
      <c r="D37" s="4">
        <v>13847</v>
      </c>
    </row>
    <row r="38" spans="1:4" x14ac:dyDescent="0.55000000000000004">
      <c r="A38" s="3" t="s">
        <v>35</v>
      </c>
      <c r="B38" s="4">
        <v>1231</v>
      </c>
      <c r="C38" s="4">
        <v>1941</v>
      </c>
      <c r="D38" s="4">
        <v>2817</v>
      </c>
    </row>
    <row r="39" spans="1:4" x14ac:dyDescent="0.55000000000000004">
      <c r="A39" s="2" t="s">
        <v>36</v>
      </c>
      <c r="B39" s="5">
        <v>27392</v>
      </c>
      <c r="C39" s="5">
        <v>39756</v>
      </c>
      <c r="D39" s="5">
        <v>57854</v>
      </c>
    </row>
    <row r="40" spans="1:4" x14ac:dyDescent="0.55000000000000004">
      <c r="A40" s="3"/>
      <c r="B40" s="3"/>
      <c r="C40" s="3"/>
      <c r="D40" s="3"/>
    </row>
    <row r="41" spans="1:4" x14ac:dyDescent="0.55000000000000004">
      <c r="A41" s="3" t="s">
        <v>37</v>
      </c>
      <c r="B41" s="4">
        <v>10668</v>
      </c>
      <c r="C41" s="4">
        <v>13331</v>
      </c>
      <c r="D41" s="4">
        <v>16422</v>
      </c>
    </row>
    <row r="42" spans="1:4" x14ac:dyDescent="0.55000000000000004">
      <c r="A42" s="3" t="s">
        <v>38</v>
      </c>
      <c r="B42" s="4">
        <v>37169</v>
      </c>
      <c r="C42" s="4">
        <v>62841</v>
      </c>
      <c r="D42" s="4">
        <v>101289</v>
      </c>
    </row>
    <row r="43" spans="1:4" x14ac:dyDescent="0.55000000000000004">
      <c r="A43" s="3" t="s">
        <v>39</v>
      </c>
      <c r="B43" s="4">
        <v>-46</v>
      </c>
      <c r="C43" s="4">
        <v>443</v>
      </c>
      <c r="D43" s="4">
        <v>499</v>
      </c>
    </row>
    <row r="44" spans="1:4" x14ac:dyDescent="0.55000000000000004">
      <c r="A44" s="2" t="s">
        <v>40</v>
      </c>
      <c r="B44" s="5">
        <v>47791</v>
      </c>
      <c r="C44" s="5">
        <v>76615</v>
      </c>
      <c r="D44" s="5">
        <v>118210</v>
      </c>
    </row>
    <row r="45" spans="1:4" x14ac:dyDescent="0.55000000000000004">
      <c r="A45" s="3"/>
      <c r="B45" s="3"/>
      <c r="C45" s="3"/>
      <c r="D45" s="3"/>
    </row>
    <row r="46" spans="1:4" x14ac:dyDescent="0.55000000000000004">
      <c r="A46" s="2" t="s">
        <v>41</v>
      </c>
      <c r="B46" s="8">
        <v>75183</v>
      </c>
      <c r="C46" s="8">
        <v>116371</v>
      </c>
      <c r="D46" s="8">
        <v>176064</v>
      </c>
    </row>
    <row r="47" spans="1:4" x14ac:dyDescent="0.55000000000000004">
      <c r="A47" s="11"/>
      <c r="B47" s="11"/>
      <c r="C47" s="11"/>
      <c r="D47" s="11"/>
    </row>
    <row r="48" spans="1:4" x14ac:dyDescent="0.55000000000000004">
      <c r="A48" s="1"/>
      <c r="B48" s="1"/>
      <c r="C48" s="1"/>
      <c r="D48" s="1"/>
    </row>
    <row r="49" spans="1:4" x14ac:dyDescent="0.55000000000000004">
      <c r="A49" s="9"/>
      <c r="B49" s="9"/>
      <c r="C49" s="9"/>
      <c r="D49" s="9"/>
    </row>
    <row r="50" spans="1:4" x14ac:dyDescent="0.55000000000000004">
      <c r="A50" s="9"/>
      <c r="B50" s="9"/>
      <c r="C50" s="9"/>
      <c r="D50" s="9"/>
    </row>
    <row r="51" spans="1:4" x14ac:dyDescent="0.55000000000000004">
      <c r="A51" s="9"/>
      <c r="B51" s="9"/>
      <c r="C51" s="9"/>
      <c r="D51" s="9"/>
    </row>
    <row r="52" spans="1:4" x14ac:dyDescent="0.55000000000000004">
      <c r="A52" s="9"/>
      <c r="B52" s="9"/>
      <c r="C52" s="9"/>
      <c r="D52" s="9"/>
    </row>
    <row r="53" spans="1:4" x14ac:dyDescent="0.55000000000000004">
      <c r="A53" s="9"/>
      <c r="B53" s="9"/>
      <c r="C53" s="9"/>
      <c r="D53" s="9"/>
    </row>
  </sheetData>
  <pageMargins left="0.7" right="0.7" top="0.5" bottom="0.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F63A-A2F4-4759-AB6E-474CF37956D4}">
  <dimension ref="B2:K61"/>
  <sheetViews>
    <sheetView showGridLines="0" zoomScale="86" zoomScaleNormal="86" workbookViewId="0">
      <selection activeCell="E45" sqref="E45"/>
    </sheetView>
  </sheetViews>
  <sheetFormatPr baseColWidth="10" defaultRowHeight="14.4" outlineLevelRow="1" x14ac:dyDescent="0.55000000000000004"/>
  <cols>
    <col min="1" max="1" width="6.26171875" style="342" customWidth="1"/>
    <col min="2" max="2" width="32.83984375" style="342" bestFit="1" customWidth="1"/>
    <col min="3" max="10" width="10.41796875" style="342" customWidth="1"/>
    <col min="11" max="16384" width="10.9453125" style="342"/>
  </cols>
  <sheetData>
    <row r="2" spans="2:10" ht="15.9" thickBot="1" x14ac:dyDescent="0.65">
      <c r="C2" s="439">
        <v>2012</v>
      </c>
      <c r="D2" s="439">
        <f t="shared" ref="D2:J2" si="0">C2+1</f>
        <v>2013</v>
      </c>
      <c r="E2" s="439">
        <f t="shared" si="0"/>
        <v>2014</v>
      </c>
      <c r="F2" s="439">
        <f t="shared" si="0"/>
        <v>2015</v>
      </c>
      <c r="G2" s="439">
        <f t="shared" si="0"/>
        <v>2016</v>
      </c>
      <c r="H2" s="439">
        <f t="shared" si="0"/>
        <v>2017</v>
      </c>
      <c r="I2" s="439">
        <f t="shared" si="0"/>
        <v>2018</v>
      </c>
      <c r="J2" s="439">
        <f t="shared" si="0"/>
        <v>2019</v>
      </c>
    </row>
    <row r="3" spans="2:10" ht="12.6" customHeight="1" thickTop="1" x14ac:dyDescent="0.65">
      <c r="B3" s="438" t="s">
        <v>515</v>
      </c>
    </row>
    <row r="4" spans="2:10" ht="13.5" customHeight="1" x14ac:dyDescent="0.6">
      <c r="B4" s="423" t="s">
        <v>44</v>
      </c>
      <c r="C4" s="343">
        <v>156508</v>
      </c>
      <c r="D4" s="343">
        <v>170910</v>
      </c>
      <c r="E4" s="343">
        <v>182795</v>
      </c>
      <c r="F4" s="343">
        <v>233715</v>
      </c>
      <c r="G4" s="343">
        <v>215639</v>
      </c>
      <c r="H4" s="343">
        <v>229234</v>
      </c>
      <c r="I4" s="343">
        <v>265595</v>
      </c>
      <c r="J4" s="343">
        <v>260174</v>
      </c>
    </row>
    <row r="5" spans="2:10" ht="13" customHeight="1" x14ac:dyDescent="0.6">
      <c r="B5" s="427" t="s">
        <v>509</v>
      </c>
      <c r="C5" s="426">
        <f>C4/Charts!C12-1</f>
        <v>0.44581474193756976</v>
      </c>
      <c r="D5" s="426">
        <f t="shared" ref="D5:J5" si="1">D4/C4-1</f>
        <v>9.2020855163953197E-2</v>
      </c>
      <c r="E5" s="426">
        <f t="shared" si="1"/>
        <v>6.9539523725937524E-2</v>
      </c>
      <c r="F5" s="426">
        <f t="shared" si="1"/>
        <v>0.27856341803659834</v>
      </c>
      <c r="G5" s="426">
        <f t="shared" si="1"/>
        <v>-7.7342061913013738E-2</v>
      </c>
      <c r="H5" s="426">
        <f t="shared" si="1"/>
        <v>6.304518199398057E-2</v>
      </c>
      <c r="I5" s="426">
        <f t="shared" si="1"/>
        <v>0.15861957650261305</v>
      </c>
      <c r="J5" s="426">
        <f t="shared" si="1"/>
        <v>-2.04107758052674E-2</v>
      </c>
    </row>
    <row r="6" spans="2:10" ht="13.5" customHeight="1" x14ac:dyDescent="0.6">
      <c r="B6" s="423" t="s">
        <v>133</v>
      </c>
      <c r="C6" s="343">
        <v>55241</v>
      </c>
      <c r="D6" s="343">
        <v>48999</v>
      </c>
      <c r="E6" s="343">
        <v>52503</v>
      </c>
      <c r="F6" s="343">
        <v>71230</v>
      </c>
      <c r="G6" s="343">
        <v>60024</v>
      </c>
      <c r="H6" s="343">
        <v>61344</v>
      </c>
      <c r="I6" s="343">
        <v>70898</v>
      </c>
      <c r="J6" s="343">
        <v>63930</v>
      </c>
    </row>
    <row r="7" spans="2:10" ht="13" customHeight="1" x14ac:dyDescent="0.6">
      <c r="B7" s="427" t="s">
        <v>508</v>
      </c>
      <c r="C7" s="426">
        <f t="shared" ref="C7:J7" si="2">C6/C$4</f>
        <v>0.35295959311984054</v>
      </c>
      <c r="D7" s="426">
        <f t="shared" si="2"/>
        <v>0.28669475162366159</v>
      </c>
      <c r="E7" s="426">
        <f t="shared" si="2"/>
        <v>0.28722339232473537</v>
      </c>
      <c r="F7" s="426">
        <f t="shared" si="2"/>
        <v>0.30477290717326661</v>
      </c>
      <c r="G7" s="426">
        <f t="shared" si="2"/>
        <v>0.27835410106706115</v>
      </c>
      <c r="H7" s="426">
        <f t="shared" si="2"/>
        <v>0.26760428208729942</v>
      </c>
      <c r="I7" s="426">
        <f t="shared" si="2"/>
        <v>0.26694026619477024</v>
      </c>
      <c r="J7" s="426">
        <f t="shared" si="2"/>
        <v>0.24572017188496928</v>
      </c>
    </row>
    <row r="8" spans="2:10" ht="16.2" hidden="1" customHeight="1" outlineLevel="1" x14ac:dyDescent="0.6">
      <c r="B8" s="423" t="s">
        <v>453</v>
      </c>
      <c r="C8" s="343">
        <v>3277</v>
      </c>
      <c r="D8" s="343">
        <v>6757</v>
      </c>
      <c r="E8" s="343">
        <v>7946</v>
      </c>
      <c r="F8" s="343">
        <v>11257</v>
      </c>
      <c r="G8" s="343">
        <v>10505</v>
      </c>
      <c r="H8" s="343">
        <v>10157</v>
      </c>
      <c r="I8" s="343">
        <v>10903</v>
      </c>
      <c r="J8" s="343">
        <v>12547</v>
      </c>
    </row>
    <row r="9" spans="2:10" ht="16.2" hidden="1" customHeight="1" outlineLevel="1" x14ac:dyDescent="0.6">
      <c r="B9" s="423" t="s">
        <v>66</v>
      </c>
      <c r="C9" s="343">
        <f t="shared" ref="C9:J9" si="3">C6+C8</f>
        <v>58518</v>
      </c>
      <c r="D9" s="343">
        <f t="shared" si="3"/>
        <v>55756</v>
      </c>
      <c r="E9" s="343">
        <f t="shared" si="3"/>
        <v>60449</v>
      </c>
      <c r="F9" s="343">
        <f t="shared" si="3"/>
        <v>82487</v>
      </c>
      <c r="G9" s="343">
        <f t="shared" si="3"/>
        <v>70529</v>
      </c>
      <c r="H9" s="343">
        <f t="shared" si="3"/>
        <v>71501</v>
      </c>
      <c r="I9" s="343">
        <f t="shared" si="3"/>
        <v>81801</v>
      </c>
      <c r="J9" s="343">
        <f t="shared" si="3"/>
        <v>76477</v>
      </c>
    </row>
    <row r="10" spans="2:10" ht="14.05" hidden="1" customHeight="1" outlineLevel="1" x14ac:dyDescent="0.6">
      <c r="B10" s="427" t="s">
        <v>507</v>
      </c>
      <c r="C10" s="426">
        <f t="shared" ref="C10:J10" si="4">C9/C$4</f>
        <v>0.37389781991974852</v>
      </c>
      <c r="D10" s="426">
        <f t="shared" si="4"/>
        <v>0.32623017962670409</v>
      </c>
      <c r="E10" s="426">
        <f t="shared" si="4"/>
        <v>0.3306928526491425</v>
      </c>
      <c r="F10" s="426">
        <f t="shared" si="4"/>
        <v>0.35293840788995146</v>
      </c>
      <c r="G10" s="426">
        <f t="shared" si="4"/>
        <v>0.32706977865784947</v>
      </c>
      <c r="H10" s="426">
        <f t="shared" si="4"/>
        <v>0.31191271800867237</v>
      </c>
      <c r="I10" s="426">
        <f t="shared" si="4"/>
        <v>0.30799149080366722</v>
      </c>
      <c r="J10" s="426">
        <f t="shared" si="4"/>
        <v>0.29394559025882677</v>
      </c>
    </row>
    <row r="11" spans="2:10" ht="14.05" hidden="1" customHeight="1" outlineLevel="1" x14ac:dyDescent="0.6">
      <c r="B11" s="424" t="s">
        <v>506</v>
      </c>
      <c r="C11" s="344">
        <v>0</v>
      </c>
      <c r="D11" s="344">
        <v>136</v>
      </c>
      <c r="E11" s="344">
        <v>384</v>
      </c>
      <c r="F11" s="344">
        <v>733</v>
      </c>
      <c r="G11" s="344">
        <v>1456</v>
      </c>
      <c r="H11" s="344">
        <v>2323</v>
      </c>
      <c r="I11" s="344">
        <v>3240</v>
      </c>
      <c r="J11" s="344">
        <v>3576</v>
      </c>
    </row>
    <row r="12" spans="2:10" ht="13.5" customHeight="1" collapsed="1" x14ac:dyDescent="0.6">
      <c r="B12" s="423" t="s">
        <v>58</v>
      </c>
      <c r="C12" s="343">
        <v>41733</v>
      </c>
      <c r="D12" s="343">
        <v>37037</v>
      </c>
      <c r="E12" s="343">
        <v>39510</v>
      </c>
      <c r="F12" s="343">
        <v>53394</v>
      </c>
      <c r="G12" s="343">
        <v>45687</v>
      </c>
      <c r="H12" s="343">
        <v>48351</v>
      </c>
      <c r="I12" s="343">
        <v>59531</v>
      </c>
      <c r="J12" s="343">
        <v>55256</v>
      </c>
    </row>
    <row r="13" spans="2:10" ht="13" customHeight="1" x14ac:dyDescent="0.6">
      <c r="B13" s="427" t="s">
        <v>510</v>
      </c>
      <c r="C13" s="426">
        <f t="shared" ref="C13:J13" si="5">C12/C$4</f>
        <v>0.26665090602397323</v>
      </c>
      <c r="D13" s="426">
        <f t="shared" si="5"/>
        <v>0.21670469837926393</v>
      </c>
      <c r="E13" s="426">
        <f t="shared" si="5"/>
        <v>0.21614376760852322</v>
      </c>
      <c r="F13" s="426">
        <f t="shared" si="5"/>
        <v>0.22845773698735639</v>
      </c>
      <c r="G13" s="426">
        <f t="shared" si="5"/>
        <v>0.211867983064288</v>
      </c>
      <c r="H13" s="426">
        <f t="shared" si="5"/>
        <v>0.21092420845075338</v>
      </c>
      <c r="I13" s="426">
        <f t="shared" si="5"/>
        <v>0.22414202074587247</v>
      </c>
      <c r="J13" s="426">
        <f t="shared" si="5"/>
        <v>0.21238094505984456</v>
      </c>
    </row>
    <row r="14" spans="2:10" ht="2.4" customHeight="1" x14ac:dyDescent="0.6">
      <c r="B14" s="427"/>
      <c r="C14" s="426"/>
      <c r="D14" s="426"/>
      <c r="E14" s="426"/>
      <c r="F14" s="426"/>
      <c r="G14" s="426"/>
      <c r="H14" s="426"/>
      <c r="I14" s="426"/>
      <c r="J14" s="426"/>
    </row>
    <row r="15" spans="2:10" ht="12.6" customHeight="1" x14ac:dyDescent="0.65">
      <c r="B15" s="438" t="s">
        <v>70</v>
      </c>
    </row>
    <row r="16" spans="2:10" ht="14.05" customHeight="1" x14ac:dyDescent="0.55000000000000004">
      <c r="B16" s="420" t="s">
        <v>58</v>
      </c>
      <c r="C16" s="428">
        <f>C12</f>
        <v>41733</v>
      </c>
      <c r="D16" s="428">
        <f t="shared" ref="D16:J16" si="6">D12</f>
        <v>37037</v>
      </c>
      <c r="E16" s="428">
        <f t="shared" si="6"/>
        <v>39510</v>
      </c>
      <c r="F16" s="428">
        <f t="shared" si="6"/>
        <v>53394</v>
      </c>
      <c r="G16" s="428">
        <f t="shared" si="6"/>
        <v>45687</v>
      </c>
      <c r="H16" s="428">
        <f t="shared" si="6"/>
        <v>48351</v>
      </c>
      <c r="I16" s="428">
        <f t="shared" si="6"/>
        <v>59531</v>
      </c>
      <c r="J16" s="428">
        <f t="shared" si="6"/>
        <v>55256</v>
      </c>
    </row>
    <row r="17" spans="2:10" ht="13" customHeight="1" x14ac:dyDescent="0.55000000000000004">
      <c r="B17" s="420" t="s">
        <v>513</v>
      </c>
      <c r="C17" s="428">
        <f>C8</f>
        <v>3277</v>
      </c>
      <c r="D17" s="428">
        <f t="shared" ref="D17:J17" si="7">D8</f>
        <v>6757</v>
      </c>
      <c r="E17" s="428">
        <f t="shared" si="7"/>
        <v>7946</v>
      </c>
      <c r="F17" s="428">
        <f t="shared" si="7"/>
        <v>11257</v>
      </c>
      <c r="G17" s="428">
        <f t="shared" si="7"/>
        <v>10505</v>
      </c>
      <c r="H17" s="428">
        <f t="shared" si="7"/>
        <v>10157</v>
      </c>
      <c r="I17" s="428">
        <f t="shared" si="7"/>
        <v>10903</v>
      </c>
      <c r="J17" s="428">
        <f t="shared" si="7"/>
        <v>12547</v>
      </c>
    </row>
    <row r="18" spans="2:10" ht="13" customHeight="1" x14ac:dyDescent="0.55000000000000004">
      <c r="B18" s="420" t="s">
        <v>514</v>
      </c>
      <c r="C18" s="428">
        <v>1740</v>
      </c>
      <c r="D18" s="428">
        <v>2253</v>
      </c>
      <c r="E18" s="428">
        <v>2863</v>
      </c>
      <c r="F18" s="428">
        <v>3586</v>
      </c>
      <c r="G18" s="428">
        <v>4210</v>
      </c>
      <c r="H18" s="428">
        <v>4840</v>
      </c>
      <c r="I18" s="428">
        <v>5340</v>
      </c>
      <c r="J18" s="428">
        <v>6068</v>
      </c>
    </row>
    <row r="19" spans="2:10" ht="13" customHeight="1" thickBot="1" x14ac:dyDescent="0.6">
      <c r="B19" s="420" t="s">
        <v>463</v>
      </c>
      <c r="C19" s="429">
        <f>C20-C16-C17-C18</f>
        <v>4106</v>
      </c>
      <c r="D19" s="429">
        <f t="shared" ref="D19:J19" si="8">D20-D16-D17-D18</f>
        <v>7619</v>
      </c>
      <c r="E19" s="429">
        <f t="shared" si="8"/>
        <v>9394</v>
      </c>
      <c r="F19" s="429">
        <f t="shared" si="8"/>
        <v>13029</v>
      </c>
      <c r="G19" s="429">
        <f t="shared" si="8"/>
        <v>5422</v>
      </c>
      <c r="H19" s="429">
        <f t="shared" si="8"/>
        <v>877</v>
      </c>
      <c r="I19" s="429">
        <f t="shared" si="8"/>
        <v>1660</v>
      </c>
      <c r="J19" s="429">
        <f t="shared" si="8"/>
        <v>-4480</v>
      </c>
    </row>
    <row r="20" spans="2:10" ht="16" customHeight="1" thickTop="1" x14ac:dyDescent="0.6">
      <c r="B20" s="345" t="s">
        <v>512</v>
      </c>
      <c r="C20" s="343">
        <v>50856</v>
      </c>
      <c r="D20" s="343">
        <v>53666</v>
      </c>
      <c r="E20" s="343">
        <v>59713</v>
      </c>
      <c r="F20" s="343">
        <v>81266</v>
      </c>
      <c r="G20" s="343">
        <v>65824</v>
      </c>
      <c r="H20" s="343">
        <v>64225</v>
      </c>
      <c r="I20" s="343">
        <v>77434</v>
      </c>
      <c r="J20" s="343">
        <v>69391</v>
      </c>
    </row>
    <row r="21" spans="2:10" ht="13" customHeight="1" x14ac:dyDescent="0.6">
      <c r="B21" s="420" t="s">
        <v>270</v>
      </c>
      <c r="C21" s="344">
        <v>-8295</v>
      </c>
      <c r="D21" s="344">
        <v>-8165</v>
      </c>
      <c r="E21" s="344">
        <v>-9571</v>
      </c>
      <c r="F21" s="344">
        <v>-11247</v>
      </c>
      <c r="G21" s="344">
        <v>-12734</v>
      </c>
      <c r="H21" s="344">
        <v>-12451</v>
      </c>
      <c r="I21" s="344">
        <v>-13313</v>
      </c>
      <c r="J21" s="344">
        <v>-10495</v>
      </c>
    </row>
    <row r="22" spans="2:10" ht="13" customHeight="1" thickBot="1" x14ac:dyDescent="0.65">
      <c r="B22" s="420" t="s">
        <v>457</v>
      </c>
      <c r="C22" s="344">
        <f>-350-1107</f>
        <v>-1457</v>
      </c>
      <c r="D22" s="344">
        <f>-496-911</f>
        <v>-1407</v>
      </c>
      <c r="E22" s="344">
        <f>-3765-242-10</f>
        <v>-4017</v>
      </c>
      <c r="F22" s="344">
        <f>-343-241</f>
        <v>-584</v>
      </c>
      <c r="G22" s="344">
        <f>-297-814-1388</f>
        <v>-2499</v>
      </c>
      <c r="H22" s="344">
        <v>-329</v>
      </c>
      <c r="I22" s="344">
        <v>-721</v>
      </c>
      <c r="J22" s="344">
        <v>-624</v>
      </c>
    </row>
    <row r="23" spans="2:10" ht="14.05" hidden="1" customHeight="1" outlineLevel="1" thickBot="1" x14ac:dyDescent="0.65">
      <c r="B23" s="420" t="s">
        <v>204</v>
      </c>
      <c r="C23" s="436">
        <v>-48</v>
      </c>
      <c r="D23" s="436">
        <v>-160</v>
      </c>
      <c r="E23" s="436">
        <v>26</v>
      </c>
      <c r="F23" s="436">
        <v>-26</v>
      </c>
      <c r="G23" s="436">
        <v>-110</v>
      </c>
      <c r="H23" s="436">
        <v>-124</v>
      </c>
      <c r="I23" s="436">
        <v>-745</v>
      </c>
      <c r="J23" s="436">
        <v>-1078</v>
      </c>
    </row>
    <row r="24" spans="2:10" ht="15" customHeight="1" collapsed="1" x14ac:dyDescent="0.6">
      <c r="B24" s="345" t="s">
        <v>499</v>
      </c>
      <c r="C24" s="437">
        <f t="shared" ref="C24:J24" si="9">C20+C21+C22+C23</f>
        <v>41056</v>
      </c>
      <c r="D24" s="437">
        <f t="shared" si="9"/>
        <v>43934</v>
      </c>
      <c r="E24" s="437">
        <f t="shared" si="9"/>
        <v>46151</v>
      </c>
      <c r="F24" s="437">
        <f t="shared" si="9"/>
        <v>69409</v>
      </c>
      <c r="G24" s="437">
        <f t="shared" si="9"/>
        <v>50481</v>
      </c>
      <c r="H24" s="437">
        <f t="shared" si="9"/>
        <v>51321</v>
      </c>
      <c r="I24" s="437">
        <f t="shared" si="9"/>
        <v>62655</v>
      </c>
      <c r="J24" s="437">
        <f t="shared" si="9"/>
        <v>57194</v>
      </c>
    </row>
    <row r="25" spans="2:10" ht="16.2" customHeight="1" x14ac:dyDescent="0.6">
      <c r="B25" s="427" t="s">
        <v>507</v>
      </c>
      <c r="C25" s="426">
        <f t="shared" ref="C25:J25" si="10">C24/C$4</f>
        <v>0.26232524854959494</v>
      </c>
      <c r="D25" s="426">
        <f t="shared" si="10"/>
        <v>0.25705927096132469</v>
      </c>
      <c r="E25" s="426">
        <f t="shared" si="10"/>
        <v>0.25247408298914081</v>
      </c>
      <c r="F25" s="426">
        <f t="shared" si="10"/>
        <v>0.29698136619386861</v>
      </c>
      <c r="G25" s="426">
        <f t="shared" si="10"/>
        <v>0.23409958309953208</v>
      </c>
      <c r="H25" s="426">
        <f t="shared" si="10"/>
        <v>0.22388040168561382</v>
      </c>
      <c r="I25" s="426">
        <f t="shared" si="10"/>
        <v>0.23590429036691202</v>
      </c>
      <c r="J25" s="426">
        <f t="shared" si="10"/>
        <v>0.21982980620661557</v>
      </c>
    </row>
    <row r="26" spans="2:10" ht="3.9" customHeight="1" x14ac:dyDescent="0.6">
      <c r="B26" s="427"/>
      <c r="C26" s="426"/>
      <c r="D26" s="426"/>
      <c r="E26" s="426"/>
      <c r="F26" s="426"/>
      <c r="G26" s="426"/>
      <c r="H26" s="426"/>
      <c r="I26" s="426"/>
      <c r="J26" s="426"/>
    </row>
    <row r="27" spans="2:10" ht="13" customHeight="1" x14ac:dyDescent="0.55000000000000004">
      <c r="B27" s="433" t="s">
        <v>517</v>
      </c>
      <c r="C27" s="428">
        <v>-2488</v>
      </c>
      <c r="D27" s="428">
        <v>-10564</v>
      </c>
      <c r="E27" s="428">
        <v>-11126</v>
      </c>
      <c r="F27" s="428">
        <v>-11561</v>
      </c>
      <c r="G27" s="428">
        <v>-12150</v>
      </c>
      <c r="H27" s="428">
        <v>-12769</v>
      </c>
      <c r="I27" s="428">
        <v>-13712</v>
      </c>
      <c r="J27" s="428">
        <v>-14119</v>
      </c>
    </row>
    <row r="28" spans="2:10" ht="13" customHeight="1" thickBot="1" x14ac:dyDescent="0.65">
      <c r="B28" s="424" t="s">
        <v>519</v>
      </c>
      <c r="C28" s="429">
        <v>0</v>
      </c>
      <c r="D28" s="429">
        <v>-22860</v>
      </c>
      <c r="E28" s="429">
        <v>-45000</v>
      </c>
      <c r="F28" s="429">
        <v>-35253</v>
      </c>
      <c r="G28" s="429">
        <v>-29722</v>
      </c>
      <c r="H28" s="429">
        <v>-32900</v>
      </c>
      <c r="I28" s="429">
        <v>-72738</v>
      </c>
      <c r="J28" s="429">
        <v>-66897</v>
      </c>
    </row>
    <row r="29" spans="2:10" ht="15" customHeight="1" thickTop="1" x14ac:dyDescent="0.6">
      <c r="B29" s="423" t="s">
        <v>518</v>
      </c>
      <c r="C29" s="343">
        <f>C27+C28</f>
        <v>-2488</v>
      </c>
      <c r="D29" s="343">
        <f t="shared" ref="D29:J29" si="11">D27+D28</f>
        <v>-33424</v>
      </c>
      <c r="E29" s="343">
        <f t="shared" si="11"/>
        <v>-56126</v>
      </c>
      <c r="F29" s="343">
        <f t="shared" si="11"/>
        <v>-46814</v>
      </c>
      <c r="G29" s="343">
        <f t="shared" si="11"/>
        <v>-41872</v>
      </c>
      <c r="H29" s="343">
        <f t="shared" si="11"/>
        <v>-45669</v>
      </c>
      <c r="I29" s="343">
        <f t="shared" si="11"/>
        <v>-86450</v>
      </c>
      <c r="J29" s="343">
        <f t="shared" si="11"/>
        <v>-81016</v>
      </c>
    </row>
    <row r="30" spans="2:10" ht="2.4" customHeight="1" x14ac:dyDescent="0.55000000000000004"/>
    <row r="31" spans="2:10" ht="12.6" customHeight="1" x14ac:dyDescent="0.65">
      <c r="B31" s="438" t="s">
        <v>0</v>
      </c>
    </row>
    <row r="32" spans="2:10" ht="13.5" customHeight="1" x14ac:dyDescent="0.6">
      <c r="B32" s="423" t="s">
        <v>444</v>
      </c>
      <c r="C32" s="343">
        <v>176064</v>
      </c>
      <c r="D32" s="343">
        <v>207000</v>
      </c>
      <c r="E32" s="343">
        <v>231839</v>
      </c>
      <c r="F32" s="343">
        <v>290345</v>
      </c>
      <c r="G32" s="343">
        <v>321686</v>
      </c>
      <c r="H32" s="343">
        <v>375319</v>
      </c>
      <c r="I32" s="343">
        <v>365725</v>
      </c>
      <c r="J32" s="343">
        <v>338516</v>
      </c>
    </row>
    <row r="33" spans="2:11" ht="13.5" customHeight="1" x14ac:dyDescent="0.6">
      <c r="B33" s="423" t="s">
        <v>503</v>
      </c>
      <c r="C33" s="343">
        <f>10746+18383+92122</f>
        <v>121251</v>
      </c>
      <c r="D33" s="343">
        <f>14259+26287+106215</f>
        <v>146761</v>
      </c>
      <c r="E33" s="343">
        <f>13844+11233+130162</f>
        <v>155239</v>
      </c>
      <c r="F33" s="343">
        <f>21120+20481+164065</f>
        <v>205666</v>
      </c>
      <c r="G33" s="343">
        <v>237585</v>
      </c>
      <c r="H33" s="343">
        <v>268895</v>
      </c>
      <c r="I33" s="343">
        <v>237100</v>
      </c>
      <c r="J33" s="343">
        <v>205898</v>
      </c>
    </row>
    <row r="34" spans="2:11" ht="13.5" customHeight="1" x14ac:dyDescent="0.6">
      <c r="B34" s="423" t="s">
        <v>220</v>
      </c>
      <c r="C34" s="343">
        <v>0</v>
      </c>
      <c r="D34" s="343">
        <v>16960</v>
      </c>
      <c r="E34" s="343">
        <f>28987+6308</f>
        <v>35295</v>
      </c>
      <c r="F34" s="343">
        <f>53329+2500+8499</f>
        <v>64328</v>
      </c>
      <c r="G34" s="343">
        <f>75427+3500+8105</f>
        <v>87032</v>
      </c>
      <c r="H34" s="343">
        <f>97207+6496+11977</f>
        <v>115680</v>
      </c>
      <c r="I34" s="343">
        <f>93735+8784+11964</f>
        <v>114483</v>
      </c>
      <c r="J34" s="343">
        <f>91807+10260+5980</f>
        <v>108047</v>
      </c>
    </row>
    <row r="35" spans="2:11" ht="13.5" customHeight="1" x14ac:dyDescent="0.6">
      <c r="B35" s="423" t="s">
        <v>159</v>
      </c>
      <c r="C35" s="343">
        <v>118210</v>
      </c>
      <c r="D35" s="343">
        <v>123549</v>
      </c>
      <c r="E35" s="343">
        <v>111547</v>
      </c>
      <c r="F35" s="343">
        <v>119355</v>
      </c>
      <c r="G35" s="343">
        <v>128249</v>
      </c>
      <c r="H35" s="343">
        <v>134047</v>
      </c>
      <c r="I35" s="343">
        <v>107147</v>
      </c>
      <c r="J35" s="343">
        <v>90488</v>
      </c>
    </row>
    <row r="36" spans="2:11" ht="6.9" customHeight="1" x14ac:dyDescent="0.6">
      <c r="B36" s="355"/>
      <c r="C36" s="353"/>
      <c r="F36" s="359"/>
      <c r="G36" s="359"/>
    </row>
    <row r="37" spans="2:11" ht="12" customHeight="1" x14ac:dyDescent="0.65">
      <c r="B37" s="438" t="s">
        <v>516</v>
      </c>
    </row>
    <row r="38" spans="2:11" ht="13" customHeight="1" x14ac:dyDescent="0.6">
      <c r="B38" s="430" t="s">
        <v>447</v>
      </c>
      <c r="C38" s="426">
        <f>Charts!J27</f>
        <v>0.37780019491510936</v>
      </c>
      <c r="D38" s="426">
        <f t="shared" ref="D38:J38" si="12">D6/((C32+D32)/2)</f>
        <v>0.25582670258755719</v>
      </c>
      <c r="E38" s="426">
        <f t="shared" si="12"/>
        <v>0.23928137654128279</v>
      </c>
      <c r="F38" s="426">
        <f t="shared" si="12"/>
        <v>0.27281571246916797</v>
      </c>
      <c r="G38" s="426">
        <f t="shared" si="12"/>
        <v>0.19614692719813212</v>
      </c>
      <c r="H38" s="426">
        <f t="shared" si="12"/>
        <v>0.17602169281425528</v>
      </c>
      <c r="I38" s="426">
        <f t="shared" si="12"/>
        <v>0.19134626283999331</v>
      </c>
      <c r="J38" s="426">
        <f t="shared" si="12"/>
        <v>0.18155716579977593</v>
      </c>
    </row>
    <row r="39" spans="2:11" ht="13" customHeight="1" x14ac:dyDescent="0.6">
      <c r="B39" s="430" t="s">
        <v>521</v>
      </c>
      <c r="C39" s="434" t="s">
        <v>102</v>
      </c>
      <c r="D39" s="435">
        <f t="shared" ref="D39:J40" si="13">D11/((C34+D34)/2)</f>
        <v>1.6037735849056604E-2</v>
      </c>
      <c r="E39" s="435">
        <f t="shared" si="13"/>
        <v>1.4697158166682614E-2</v>
      </c>
      <c r="F39" s="435">
        <f t="shared" si="13"/>
        <v>1.4715477349608022E-2</v>
      </c>
      <c r="G39" s="435">
        <f t="shared" si="13"/>
        <v>1.9238900634249472E-2</v>
      </c>
      <c r="H39" s="435">
        <f t="shared" si="13"/>
        <v>2.2919215438651882E-2</v>
      </c>
      <c r="I39" s="435">
        <f t="shared" si="13"/>
        <v>2.8153960454112954E-2</v>
      </c>
      <c r="J39" s="435">
        <f t="shared" si="13"/>
        <v>3.2139486810767087E-2</v>
      </c>
    </row>
    <row r="40" spans="2:11" ht="13" hidden="1" customHeight="1" outlineLevel="1" x14ac:dyDescent="0.6">
      <c r="B40" s="430" t="s">
        <v>415</v>
      </c>
      <c r="C40" s="426">
        <f>Charts!K27</f>
        <v>0.42841524445014756</v>
      </c>
      <c r="D40" s="426">
        <f t="shared" si="13"/>
        <v>0.30639603903060486</v>
      </c>
      <c r="E40" s="426">
        <f t="shared" si="13"/>
        <v>0.33611801136556979</v>
      </c>
      <c r="F40" s="426">
        <f t="shared" si="13"/>
        <v>0.46248191873608718</v>
      </c>
      <c r="G40" s="426">
        <f t="shared" si="13"/>
        <v>0.36903281045540459</v>
      </c>
      <c r="H40" s="426">
        <f t="shared" si="13"/>
        <v>0.36867508463720378</v>
      </c>
      <c r="I40" s="426">
        <f t="shared" si="13"/>
        <v>0.49363582842027581</v>
      </c>
      <c r="J40" s="426">
        <f t="shared" si="13"/>
        <v>0.55917221139980267</v>
      </c>
    </row>
    <row r="41" spans="2:11" ht="13" customHeight="1" collapsed="1" x14ac:dyDescent="0.6">
      <c r="B41" s="427" t="s">
        <v>505</v>
      </c>
      <c r="C41" s="426">
        <f t="shared" ref="C41:J41" si="14">C34/(C34+C35)</f>
        <v>0</v>
      </c>
      <c r="D41" s="426">
        <f t="shared" si="14"/>
        <v>0.12070401184265776</v>
      </c>
      <c r="E41" s="426">
        <f t="shared" si="14"/>
        <v>0.24036038735511639</v>
      </c>
      <c r="F41" s="426">
        <f t="shared" si="14"/>
        <v>0.35021205010806661</v>
      </c>
      <c r="G41" s="426">
        <f t="shared" si="14"/>
        <v>0.40427162638597924</v>
      </c>
      <c r="H41" s="426">
        <f t="shared" si="14"/>
        <v>0.46322584262014121</v>
      </c>
      <c r="I41" s="426">
        <f t="shared" si="14"/>
        <v>0.51655010603257678</v>
      </c>
      <c r="J41" s="426">
        <f t="shared" si="14"/>
        <v>0.54422142191553124</v>
      </c>
    </row>
    <row r="42" spans="2:11" ht="13" customHeight="1" x14ac:dyDescent="0.6">
      <c r="B42" s="427" t="s">
        <v>449</v>
      </c>
      <c r="C42" s="431">
        <f t="shared" ref="C42:J42" si="15">C34/C9</f>
        <v>0</v>
      </c>
      <c r="D42" s="431">
        <f t="shared" si="15"/>
        <v>0.30418250950570341</v>
      </c>
      <c r="E42" s="431">
        <f t="shared" si="15"/>
        <v>0.5838806266439478</v>
      </c>
      <c r="F42" s="431">
        <f t="shared" si="15"/>
        <v>0.77985621976796349</v>
      </c>
      <c r="G42" s="431">
        <f t="shared" si="15"/>
        <v>1.2339888556480314</v>
      </c>
      <c r="H42" s="431">
        <f t="shared" si="15"/>
        <v>1.6178794702171997</v>
      </c>
      <c r="I42" s="431">
        <f t="shared" si="15"/>
        <v>1.3995305680859647</v>
      </c>
      <c r="J42" s="431">
        <f t="shared" si="15"/>
        <v>1.4128038495233861</v>
      </c>
    </row>
    <row r="43" spans="2:11" ht="13" customHeight="1" x14ac:dyDescent="0.6">
      <c r="B43" s="430" t="s">
        <v>448</v>
      </c>
      <c r="C43" s="432" t="s">
        <v>300</v>
      </c>
      <c r="D43" s="431">
        <f t="shared" ref="D43:J43" si="16">D9/D11</f>
        <v>409.97058823529414</v>
      </c>
      <c r="E43" s="431">
        <f t="shared" si="16"/>
        <v>157.41927083333334</v>
      </c>
      <c r="F43" s="431">
        <f t="shared" si="16"/>
        <v>112.53342428376534</v>
      </c>
      <c r="G43" s="431">
        <f t="shared" si="16"/>
        <v>48.440247252747255</v>
      </c>
      <c r="H43" s="431">
        <f t="shared" si="16"/>
        <v>30.779595350839433</v>
      </c>
      <c r="I43" s="431">
        <f t="shared" si="16"/>
        <v>25.247222222222224</v>
      </c>
      <c r="J43" s="431">
        <f t="shared" si="16"/>
        <v>21.386185682326623</v>
      </c>
    </row>
    <row r="44" spans="2:11" ht="13" customHeight="1" x14ac:dyDescent="0.6">
      <c r="B44" s="353" t="s">
        <v>424</v>
      </c>
      <c r="C44" s="426">
        <f t="shared" ref="C44:J44" si="17">-C27/C$12</f>
        <v>5.961708959336736E-2</v>
      </c>
      <c r="D44" s="426">
        <f t="shared" si="17"/>
        <v>0.28522828522828525</v>
      </c>
      <c r="E44" s="426">
        <f t="shared" si="17"/>
        <v>0.2815995950392306</v>
      </c>
      <c r="F44" s="426">
        <f t="shared" si="17"/>
        <v>0.2165224557066337</v>
      </c>
      <c r="G44" s="426">
        <f t="shared" si="17"/>
        <v>0.26593998292730975</v>
      </c>
      <c r="H44" s="426">
        <f t="shared" si="17"/>
        <v>0.264089677566131</v>
      </c>
      <c r="I44" s="426">
        <f t="shared" si="17"/>
        <v>0.23033377567989788</v>
      </c>
      <c r="J44" s="426">
        <f t="shared" si="17"/>
        <v>0.25551976255972203</v>
      </c>
    </row>
    <row r="45" spans="2:11" ht="13" customHeight="1" x14ac:dyDescent="0.6">
      <c r="B45" s="353" t="s">
        <v>520</v>
      </c>
      <c r="C45" s="426">
        <f t="shared" ref="C45:J45" si="18">-C29/C33</f>
        <v>2.0519418396549308E-2</v>
      </c>
      <c r="D45" s="426">
        <f t="shared" si="18"/>
        <v>0.22774442801561723</v>
      </c>
      <c r="E45" s="426">
        <f t="shared" si="18"/>
        <v>0.36154574559228031</v>
      </c>
      <c r="F45" s="426">
        <f t="shared" si="18"/>
        <v>0.22762148337595908</v>
      </c>
      <c r="G45" s="426">
        <f t="shared" si="18"/>
        <v>0.17624008249679063</v>
      </c>
      <c r="H45" s="426">
        <f t="shared" si="18"/>
        <v>0.16983952844046932</v>
      </c>
      <c r="I45" s="426">
        <f t="shared" si="18"/>
        <v>0.36461408688317165</v>
      </c>
      <c r="J45" s="426">
        <f t="shared" si="18"/>
        <v>0.39347638150929098</v>
      </c>
    </row>
    <row r="46" spans="2:11" x14ac:dyDescent="0.55000000000000004">
      <c r="D46" s="346"/>
    </row>
    <row r="47" spans="2:11" ht="15.6" x14ac:dyDescent="0.6">
      <c r="C47" s="348"/>
      <c r="D47" s="347"/>
      <c r="G47" s="349"/>
      <c r="H47" s="349"/>
      <c r="I47" s="349"/>
    </row>
    <row r="48" spans="2:11" ht="15.6" x14ac:dyDescent="0.6">
      <c r="B48" s="420" t="s">
        <v>541</v>
      </c>
      <c r="C48" s="422">
        <f>C27/C29</f>
        <v>1</v>
      </c>
      <c r="D48" s="422">
        <f t="shared" ref="D48:J48" si="19">D27/D29</f>
        <v>0.31606031594064143</v>
      </c>
      <c r="E48" s="422">
        <f t="shared" si="19"/>
        <v>0.19823254819513239</v>
      </c>
      <c r="F48" s="422">
        <f t="shared" si="19"/>
        <v>0.24695603879181441</v>
      </c>
      <c r="G48" s="422">
        <f t="shared" si="19"/>
        <v>0.29017004203286206</v>
      </c>
      <c r="H48" s="422">
        <f t="shared" si="19"/>
        <v>0.27959885261337014</v>
      </c>
      <c r="I48" s="422">
        <f t="shared" si="19"/>
        <v>0.15861191440138808</v>
      </c>
      <c r="J48" s="422">
        <f t="shared" si="19"/>
        <v>0.17427421743853067</v>
      </c>
      <c r="K48" s="422">
        <f>SUM(C27:J27)/SUM(C29:J29)</f>
        <v>0.22467177340114103</v>
      </c>
    </row>
    <row r="49" spans="2:9" ht="15.6" x14ac:dyDescent="0.6">
      <c r="C49" s="353"/>
      <c r="D49" s="352"/>
      <c r="G49" s="349"/>
      <c r="H49" s="349"/>
      <c r="I49" s="349"/>
    </row>
    <row r="50" spans="2:9" ht="15.6" x14ac:dyDescent="0.6">
      <c r="C50" s="353"/>
      <c r="D50" s="352"/>
      <c r="G50" s="349"/>
      <c r="H50" s="349"/>
      <c r="I50" s="349"/>
    </row>
    <row r="51" spans="2:9" ht="15.6" x14ac:dyDescent="0.6">
      <c r="C51" s="353"/>
      <c r="D51" s="352"/>
      <c r="G51" s="349"/>
      <c r="H51" s="349"/>
      <c r="I51" s="349"/>
    </row>
    <row r="52" spans="2:9" ht="15.6" x14ac:dyDescent="0.6">
      <c r="C52" s="353"/>
      <c r="D52" s="352"/>
    </row>
    <row r="56" spans="2:9" ht="15.6" x14ac:dyDescent="0.6">
      <c r="B56" s="358"/>
      <c r="C56" s="358"/>
      <c r="D56" s="358"/>
      <c r="E56" s="364"/>
      <c r="F56" s="365"/>
    </row>
    <row r="57" spans="2:9" ht="15.6" x14ac:dyDescent="0.6">
      <c r="B57" s="358"/>
      <c r="C57" s="358"/>
      <c r="D57" s="358"/>
      <c r="E57" s="364"/>
      <c r="F57" s="364"/>
    </row>
    <row r="58" spans="2:9" ht="15.6" x14ac:dyDescent="0.6">
      <c r="B58" s="358"/>
      <c r="C58" s="358"/>
      <c r="D58" s="358"/>
      <c r="E58" s="364"/>
      <c r="F58" s="364"/>
    </row>
    <row r="59" spans="2:9" ht="15.6" x14ac:dyDescent="0.6">
      <c r="B59" s="358"/>
      <c r="C59" s="358"/>
      <c r="D59" s="358"/>
      <c r="E59" s="364"/>
      <c r="F59" s="364"/>
    </row>
    <row r="60" spans="2:9" ht="15.6" x14ac:dyDescent="0.6">
      <c r="B60" s="358"/>
      <c r="C60" s="358"/>
      <c r="D60" s="358"/>
      <c r="E60" s="364"/>
      <c r="F60" s="364"/>
    </row>
    <row r="61" spans="2:9" ht="15.6" x14ac:dyDescent="0.6">
      <c r="B61" s="358"/>
      <c r="C61" s="358"/>
      <c r="D61" s="358"/>
      <c r="E61" s="364"/>
      <c r="F61" s="36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8"/>
  <sheetViews>
    <sheetView topLeftCell="A33" zoomScaleNormal="100" workbookViewId="0">
      <selection activeCell="C53" sqref="C53"/>
    </sheetView>
  </sheetViews>
  <sheetFormatPr baseColWidth="10" defaultColWidth="8.83984375" defaultRowHeight="14.4" x14ac:dyDescent="0.55000000000000004"/>
  <cols>
    <col min="1" max="1" width="24.68359375" bestFit="1" customWidth="1"/>
    <col min="2" max="7" width="7.83984375" bestFit="1" customWidth="1"/>
    <col min="8" max="8" width="7.83984375" customWidth="1"/>
    <col min="9" max="12" width="7.83984375" bestFit="1" customWidth="1"/>
    <col min="13" max="14" width="8.9453125" customWidth="1"/>
  </cols>
  <sheetData>
    <row r="1" spans="1:14" x14ac:dyDescent="0.55000000000000004">
      <c r="A1" s="25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4.5" customHeight="1" x14ac:dyDescent="0.55000000000000004">
      <c r="A2" s="28" t="s">
        <v>109</v>
      </c>
      <c r="B2" s="29">
        <v>36799</v>
      </c>
      <c r="C2" s="29">
        <v>37163</v>
      </c>
      <c r="D2" s="29">
        <v>37527</v>
      </c>
      <c r="E2" s="29">
        <v>37891</v>
      </c>
      <c r="F2" s="29">
        <v>38255</v>
      </c>
      <c r="G2" s="29">
        <v>38619</v>
      </c>
      <c r="H2" s="29">
        <v>38990</v>
      </c>
      <c r="I2" s="29">
        <v>39354</v>
      </c>
      <c r="J2" s="29">
        <v>39718</v>
      </c>
      <c r="K2" s="29">
        <v>40082</v>
      </c>
      <c r="L2" s="29">
        <v>40446</v>
      </c>
      <c r="M2" s="29">
        <v>40810</v>
      </c>
      <c r="N2" s="29">
        <v>41181</v>
      </c>
    </row>
    <row r="3" spans="1:14" x14ac:dyDescent="0.55000000000000004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x14ac:dyDescent="0.55000000000000004">
      <c r="A4" s="30" t="s">
        <v>131</v>
      </c>
      <c r="B4" s="32">
        <v>7983</v>
      </c>
      <c r="C4" s="32">
        <v>5363</v>
      </c>
      <c r="D4" s="32">
        <v>5742</v>
      </c>
      <c r="E4" s="32">
        <v>6207</v>
      </c>
      <c r="F4" s="32">
        <v>8279</v>
      </c>
      <c r="G4" s="32">
        <v>13931</v>
      </c>
      <c r="H4" s="32">
        <v>19315</v>
      </c>
      <c r="I4" s="32">
        <v>24578</v>
      </c>
      <c r="J4" s="32">
        <v>37491</v>
      </c>
      <c r="K4" s="32">
        <v>42905</v>
      </c>
      <c r="L4" s="32">
        <v>65225</v>
      </c>
      <c r="M4" s="32">
        <v>108249</v>
      </c>
      <c r="N4" s="32">
        <v>156508</v>
      </c>
    </row>
    <row r="5" spans="1:14" x14ac:dyDescent="0.55000000000000004">
      <c r="A5" s="30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x14ac:dyDescent="0.55000000000000004">
      <c r="A6" s="30" t="s">
        <v>45</v>
      </c>
      <c r="B6" s="54">
        <v>5817</v>
      </c>
      <c r="C6" s="54">
        <v>4128</v>
      </c>
      <c r="D6" s="54">
        <v>4139</v>
      </c>
      <c r="E6" s="54">
        <v>4499</v>
      </c>
      <c r="F6" s="54">
        <v>6022</v>
      </c>
      <c r="G6" s="54">
        <v>9889</v>
      </c>
      <c r="H6" s="54">
        <v>13717</v>
      </c>
      <c r="I6" s="54">
        <v>16426</v>
      </c>
      <c r="J6" s="54">
        <v>24294</v>
      </c>
      <c r="K6" s="54">
        <v>25683</v>
      </c>
      <c r="L6" s="54">
        <v>39541</v>
      </c>
      <c r="M6" s="54">
        <v>64431</v>
      </c>
      <c r="N6" s="54">
        <v>87846</v>
      </c>
    </row>
    <row r="7" spans="1:14" x14ac:dyDescent="0.55000000000000004">
      <c r="A7" s="30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 x14ac:dyDescent="0.55000000000000004">
      <c r="A8" s="30" t="s">
        <v>132</v>
      </c>
      <c r="B8" s="54">
        <v>1256</v>
      </c>
      <c r="C8" s="54">
        <v>1138</v>
      </c>
      <c r="D8" s="54">
        <v>1109</v>
      </c>
      <c r="E8" s="54">
        <v>1212</v>
      </c>
      <c r="F8" s="54">
        <v>1430</v>
      </c>
      <c r="G8" s="54">
        <v>1864</v>
      </c>
      <c r="H8" s="54">
        <v>2433</v>
      </c>
      <c r="I8" s="54">
        <v>2963</v>
      </c>
      <c r="J8" s="54">
        <v>3761</v>
      </c>
      <c r="K8" s="54">
        <v>4149</v>
      </c>
      <c r="L8" s="54">
        <v>5517</v>
      </c>
      <c r="M8" s="54">
        <v>7599</v>
      </c>
      <c r="N8" s="54">
        <v>10040</v>
      </c>
    </row>
    <row r="9" spans="1:14" x14ac:dyDescent="0.55000000000000004">
      <c r="A9" s="30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x14ac:dyDescent="0.55000000000000004">
      <c r="A10" s="30" t="s">
        <v>46</v>
      </c>
      <c r="B10" s="32">
        <v>2166</v>
      </c>
      <c r="C10" s="32">
        <v>1235</v>
      </c>
      <c r="D10" s="32">
        <v>1603</v>
      </c>
      <c r="E10" s="32">
        <v>1708</v>
      </c>
      <c r="F10" s="32">
        <v>2257</v>
      </c>
      <c r="G10" s="32">
        <v>4042</v>
      </c>
      <c r="H10" s="32">
        <v>5598</v>
      </c>
      <c r="I10" s="32">
        <v>8152</v>
      </c>
      <c r="J10" s="32">
        <v>13197</v>
      </c>
      <c r="K10" s="32">
        <v>17222</v>
      </c>
      <c r="L10" s="32">
        <v>25684</v>
      </c>
      <c r="M10" s="32">
        <v>43818</v>
      </c>
      <c r="N10" s="32">
        <v>68662</v>
      </c>
    </row>
    <row r="11" spans="1:14" x14ac:dyDescent="0.55000000000000004">
      <c r="A11" s="30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 x14ac:dyDescent="0.55000000000000004">
      <c r="A12" s="30" t="s">
        <v>133</v>
      </c>
      <c r="B12" s="57">
        <v>530</v>
      </c>
      <c r="C12" s="57">
        <v>-333</v>
      </c>
      <c r="D12" s="57">
        <v>48</v>
      </c>
      <c r="E12" s="57">
        <v>25</v>
      </c>
      <c r="F12" s="57">
        <v>336</v>
      </c>
      <c r="G12" s="32">
        <v>1643</v>
      </c>
      <c r="H12" s="32">
        <v>2453</v>
      </c>
      <c r="I12" s="32">
        <v>4407</v>
      </c>
      <c r="J12" s="32">
        <v>8327</v>
      </c>
      <c r="K12" s="32">
        <v>11740</v>
      </c>
      <c r="L12" s="32">
        <v>18385</v>
      </c>
      <c r="M12" s="32">
        <v>33790</v>
      </c>
      <c r="N12" s="32">
        <v>55241</v>
      </c>
    </row>
    <row r="13" spans="1:14" x14ac:dyDescent="0.55000000000000004">
      <c r="A13" s="34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14" x14ac:dyDescent="0.55000000000000004">
      <c r="A14" s="30" t="s">
        <v>58</v>
      </c>
      <c r="B14" s="57">
        <v>786</v>
      </c>
      <c r="C14" s="57">
        <v>-25</v>
      </c>
      <c r="D14" s="57">
        <v>65</v>
      </c>
      <c r="E14" s="57">
        <v>69</v>
      </c>
      <c r="F14" s="57">
        <v>266</v>
      </c>
      <c r="G14" s="32">
        <v>1328</v>
      </c>
      <c r="H14" s="32">
        <v>1989</v>
      </c>
      <c r="I14" s="32">
        <v>3495</v>
      </c>
      <c r="J14" s="32">
        <v>6119</v>
      </c>
      <c r="K14" s="32">
        <v>8235</v>
      </c>
      <c r="L14" s="32">
        <v>14013</v>
      </c>
      <c r="M14" s="32">
        <v>25922</v>
      </c>
      <c r="N14" s="32">
        <v>41733</v>
      </c>
    </row>
    <row r="15" spans="1:14" x14ac:dyDescent="0.55000000000000004">
      <c r="A15" s="371" t="s">
        <v>454</v>
      </c>
      <c r="B15" s="367"/>
      <c r="C15" s="370">
        <f t="shared" ref="C15:K15" si="0">C62+C63</f>
        <v>102</v>
      </c>
      <c r="D15" s="370">
        <f t="shared" si="0"/>
        <v>119</v>
      </c>
      <c r="E15" s="370">
        <f t="shared" si="0"/>
        <v>129</v>
      </c>
      <c r="F15" s="370">
        <f t="shared" si="0"/>
        <v>196</v>
      </c>
      <c r="G15" s="370">
        <f t="shared" si="0"/>
        <v>228</v>
      </c>
      <c r="H15" s="370">
        <f t="shared" si="0"/>
        <v>388</v>
      </c>
      <c r="I15" s="370">
        <f t="shared" si="0"/>
        <v>559</v>
      </c>
      <c r="J15" s="370">
        <f t="shared" si="0"/>
        <v>1012</v>
      </c>
      <c r="K15" s="370">
        <f t="shared" si="0"/>
        <v>1444</v>
      </c>
      <c r="L15" s="370">
        <f>'Cash Flow'!B4+'Cash Flow'!B5+'Cash Flow'!B7</f>
        <v>1906</v>
      </c>
      <c r="M15" s="370">
        <f>'Cash Flow'!C4+'Cash Flow'!C5+'Cash Flow'!C7</f>
        <v>2982</v>
      </c>
      <c r="N15" s="370">
        <f>'Cash Flow'!D4+'Cash Flow'!D5+'Cash Flow'!D7</f>
        <v>5017</v>
      </c>
    </row>
    <row r="16" spans="1:14" x14ac:dyDescent="0.55000000000000004">
      <c r="A16" s="371" t="s">
        <v>455</v>
      </c>
      <c r="B16" s="368"/>
      <c r="C16" s="370">
        <f t="shared" ref="C16:N16" si="1">C14+C15</f>
        <v>77</v>
      </c>
      <c r="D16" s="370">
        <f t="shared" si="1"/>
        <v>184</v>
      </c>
      <c r="E16" s="370">
        <f t="shared" si="1"/>
        <v>198</v>
      </c>
      <c r="F16" s="370">
        <f t="shared" si="1"/>
        <v>462</v>
      </c>
      <c r="G16" s="370">
        <f t="shared" si="1"/>
        <v>1556</v>
      </c>
      <c r="H16" s="370">
        <f t="shared" si="1"/>
        <v>2377</v>
      </c>
      <c r="I16" s="370">
        <f t="shared" si="1"/>
        <v>4054</v>
      </c>
      <c r="J16" s="370">
        <f t="shared" si="1"/>
        <v>7131</v>
      </c>
      <c r="K16" s="370">
        <f t="shared" si="1"/>
        <v>9679</v>
      </c>
      <c r="L16" s="370">
        <f t="shared" si="1"/>
        <v>15919</v>
      </c>
      <c r="M16" s="370">
        <f t="shared" si="1"/>
        <v>28904</v>
      </c>
      <c r="N16" s="370">
        <f t="shared" si="1"/>
        <v>46750</v>
      </c>
    </row>
    <row r="17" spans="1:14" x14ac:dyDescent="0.55000000000000004">
      <c r="A17" s="30" t="s">
        <v>70</v>
      </c>
      <c r="B17" s="57">
        <v>868</v>
      </c>
      <c r="C17" s="57">
        <v>185</v>
      </c>
      <c r="D17" s="57">
        <v>89</v>
      </c>
      <c r="E17" s="57">
        <v>289</v>
      </c>
      <c r="F17" s="57">
        <v>934</v>
      </c>
      <c r="G17" s="32">
        <v>2535</v>
      </c>
      <c r="H17" s="32">
        <v>2220</v>
      </c>
      <c r="I17" s="32">
        <v>5470</v>
      </c>
      <c r="J17" s="32">
        <v>9596</v>
      </c>
      <c r="K17" s="32">
        <v>10159</v>
      </c>
      <c r="L17" s="32">
        <v>18595</v>
      </c>
      <c r="M17" s="32">
        <v>37529</v>
      </c>
      <c r="N17" s="32">
        <v>50856</v>
      </c>
    </row>
    <row r="18" spans="1:14" x14ac:dyDescent="0.55000000000000004">
      <c r="A18" s="371" t="s">
        <v>452</v>
      </c>
      <c r="B18" s="369"/>
      <c r="C18" s="369"/>
      <c r="D18" s="369"/>
      <c r="E18" s="370">
        <f t="shared" ref="E18:K18" si="2">E17-E65-E66-E67-E68</f>
        <v>158</v>
      </c>
      <c r="F18" s="370">
        <f t="shared" si="2"/>
        <v>769</v>
      </c>
      <c r="G18" s="370">
        <f t="shared" si="2"/>
        <v>2254</v>
      </c>
      <c r="H18" s="370">
        <f t="shared" si="2"/>
        <v>1545</v>
      </c>
      <c r="I18" s="370">
        <f t="shared" si="2"/>
        <v>4533</v>
      </c>
      <c r="J18" s="370">
        <f t="shared" si="2"/>
        <v>8167</v>
      </c>
      <c r="K18" s="370">
        <f t="shared" si="2"/>
        <v>8872</v>
      </c>
      <c r="L18" s="370">
        <f>'Cash Flow'!B14+'Cash Flow'!B15+'Cash Flow'!B16+'Cash Flow'!B18+'Cash Flow'!B21</f>
        <v>15816</v>
      </c>
      <c r="M18" s="370">
        <f>'Cash Flow'!C14+'Cash Flow'!C15+'Cash Flow'!C16+'Cash Flow'!C18+'Cash Flow'!C21</f>
        <v>29574</v>
      </c>
      <c r="N18" s="370">
        <f>'Cash Flow'!D14+'Cash Flow'!D15+'Cash Flow'!D16+'Cash Flow'!D18+'Cash Flow'!D21</f>
        <v>41056</v>
      </c>
    </row>
    <row r="19" spans="1:14" x14ac:dyDescent="0.55000000000000004">
      <c r="A19" s="30" t="s">
        <v>134</v>
      </c>
      <c r="B19" s="32">
        <v>4027</v>
      </c>
      <c r="C19" s="32">
        <v>4336</v>
      </c>
      <c r="D19" s="32">
        <v>4337</v>
      </c>
      <c r="E19" s="32">
        <v>4566</v>
      </c>
      <c r="F19" s="32">
        <v>5464</v>
      </c>
      <c r="G19" s="32">
        <v>8261</v>
      </c>
      <c r="H19" s="32">
        <v>10110</v>
      </c>
      <c r="I19" s="32">
        <v>15386</v>
      </c>
      <c r="J19" s="32">
        <v>24490</v>
      </c>
      <c r="K19" s="32">
        <v>33992</v>
      </c>
      <c r="L19" s="32">
        <v>51011</v>
      </c>
      <c r="M19" s="32">
        <v>81570</v>
      </c>
      <c r="N19" s="32">
        <v>121251</v>
      </c>
    </row>
    <row r="20" spans="1:14" x14ac:dyDescent="0.55000000000000004">
      <c r="A20" s="30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x14ac:dyDescent="0.55000000000000004">
      <c r="A21" s="30" t="s">
        <v>11</v>
      </c>
      <c r="B21" s="57">
        <v>953</v>
      </c>
      <c r="C21" s="57">
        <v>466</v>
      </c>
      <c r="D21" s="57">
        <v>565</v>
      </c>
      <c r="E21" s="57">
        <v>766</v>
      </c>
      <c r="F21" s="57">
        <v>774</v>
      </c>
      <c r="G21" s="57">
        <v>895</v>
      </c>
      <c r="H21" s="32">
        <v>1252</v>
      </c>
      <c r="I21" s="32">
        <v>1637</v>
      </c>
      <c r="J21" s="32">
        <v>2422</v>
      </c>
      <c r="K21" s="32">
        <v>3361</v>
      </c>
      <c r="L21" s="32">
        <v>5510</v>
      </c>
      <c r="M21" s="32">
        <v>5369</v>
      </c>
      <c r="N21" s="32">
        <v>10930</v>
      </c>
    </row>
    <row r="22" spans="1:14" x14ac:dyDescent="0.55000000000000004">
      <c r="A22" s="30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 x14ac:dyDescent="0.55000000000000004">
      <c r="A23" s="30" t="s">
        <v>14</v>
      </c>
      <c r="B23" s="57">
        <v>33</v>
      </c>
      <c r="C23" s="57">
        <v>11</v>
      </c>
      <c r="D23" s="57">
        <v>45</v>
      </c>
      <c r="E23" s="57">
        <v>56</v>
      </c>
      <c r="F23" s="57">
        <v>101</v>
      </c>
      <c r="G23" s="57">
        <v>165</v>
      </c>
      <c r="H23" s="57">
        <v>270</v>
      </c>
      <c r="I23" s="57">
        <v>346</v>
      </c>
      <c r="J23" s="57">
        <v>509</v>
      </c>
      <c r="K23" s="57">
        <v>455</v>
      </c>
      <c r="L23" s="32">
        <v>1051</v>
      </c>
      <c r="M23" s="57">
        <v>776</v>
      </c>
      <c r="N23" s="57">
        <v>791</v>
      </c>
    </row>
    <row r="24" spans="1:14" x14ac:dyDescent="0.55000000000000004">
      <c r="A24" s="30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 x14ac:dyDescent="0.55000000000000004">
      <c r="A25" s="30" t="s">
        <v>24</v>
      </c>
      <c r="B25" s="32">
        <v>6803</v>
      </c>
      <c r="C25" s="32">
        <v>6021</v>
      </c>
      <c r="D25" s="32">
        <v>6298</v>
      </c>
      <c r="E25" s="32">
        <v>6815</v>
      </c>
      <c r="F25" s="32">
        <v>8050</v>
      </c>
      <c r="G25" s="32">
        <v>11516</v>
      </c>
      <c r="H25" s="32">
        <v>17205</v>
      </c>
      <c r="I25" s="32">
        <v>25347</v>
      </c>
      <c r="J25" s="32">
        <v>36171</v>
      </c>
      <c r="K25" s="32">
        <v>47501</v>
      </c>
      <c r="L25" s="32">
        <v>75183</v>
      </c>
      <c r="M25" s="32">
        <v>116371</v>
      </c>
      <c r="N25" s="32">
        <v>176064</v>
      </c>
    </row>
    <row r="26" spans="1:14" x14ac:dyDescent="0.55000000000000004">
      <c r="A26" s="30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 x14ac:dyDescent="0.55000000000000004">
      <c r="A27" s="30" t="s">
        <v>26</v>
      </c>
      <c r="B27" s="32">
        <v>1157</v>
      </c>
      <c r="C27" s="57">
        <v>801</v>
      </c>
      <c r="D27" s="57">
        <v>911</v>
      </c>
      <c r="E27" s="32">
        <v>1154</v>
      </c>
      <c r="F27" s="32">
        <v>1451</v>
      </c>
      <c r="G27" s="32">
        <v>1779</v>
      </c>
      <c r="H27" s="32">
        <v>3390</v>
      </c>
      <c r="I27" s="32">
        <v>4970</v>
      </c>
      <c r="J27" s="32">
        <v>5520</v>
      </c>
      <c r="K27" s="32">
        <v>5601</v>
      </c>
      <c r="L27" s="32">
        <v>12015</v>
      </c>
      <c r="M27" s="32">
        <v>14632</v>
      </c>
      <c r="N27" s="32">
        <v>21175</v>
      </c>
    </row>
    <row r="28" spans="1:14" x14ac:dyDescent="0.55000000000000004">
      <c r="A28" s="30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x14ac:dyDescent="0.55000000000000004">
      <c r="A29" s="30" t="s">
        <v>135</v>
      </c>
      <c r="B29" s="57">
        <v>300</v>
      </c>
      <c r="C29" s="57">
        <v>317</v>
      </c>
      <c r="D29" s="57">
        <v>316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</row>
    <row r="30" spans="1:14" x14ac:dyDescent="0.55000000000000004">
      <c r="A30" s="3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55000000000000004">
      <c r="A31" s="30" t="s">
        <v>112</v>
      </c>
      <c r="B31" s="32">
        <v>4107</v>
      </c>
      <c r="C31" s="32">
        <v>3920</v>
      </c>
      <c r="D31" s="32">
        <v>4095</v>
      </c>
      <c r="E31" s="32">
        <v>4223</v>
      </c>
      <c r="F31" s="32">
        <v>5076</v>
      </c>
      <c r="G31" s="32">
        <v>7428</v>
      </c>
      <c r="H31" s="32">
        <v>9984</v>
      </c>
      <c r="I31" s="32">
        <v>14532</v>
      </c>
      <c r="J31" s="32">
        <v>22297</v>
      </c>
      <c r="K31" s="32">
        <v>31640</v>
      </c>
      <c r="L31" s="32">
        <v>47791</v>
      </c>
      <c r="M31" s="32">
        <v>76615</v>
      </c>
      <c r="N31" s="32">
        <v>118210</v>
      </c>
    </row>
    <row r="32" spans="1:14" x14ac:dyDescent="0.55000000000000004">
      <c r="A32" s="30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55000000000000004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1:14" x14ac:dyDescent="0.55000000000000004">
      <c r="A34" s="39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6" spans="1:14" x14ac:dyDescent="0.55000000000000004">
      <c r="C36" s="29">
        <v>37163</v>
      </c>
      <c r="D36" s="29">
        <v>37527</v>
      </c>
      <c r="E36" s="29">
        <v>37891</v>
      </c>
      <c r="F36" s="29">
        <v>38255</v>
      </c>
      <c r="G36" s="29">
        <v>38619</v>
      </c>
      <c r="H36" s="29">
        <v>38990</v>
      </c>
      <c r="I36" s="29">
        <v>39354</v>
      </c>
      <c r="J36" s="29">
        <v>39718</v>
      </c>
      <c r="K36" s="29">
        <v>40082</v>
      </c>
      <c r="L36" s="29">
        <v>40446</v>
      </c>
      <c r="M36" s="29">
        <v>40810</v>
      </c>
      <c r="N36" s="29">
        <v>41181</v>
      </c>
    </row>
    <row r="37" spans="1:14" x14ac:dyDescent="0.55000000000000004">
      <c r="A37" s="45" t="s">
        <v>447</v>
      </c>
      <c r="B37" s="45"/>
      <c r="C37" s="366">
        <f>C12/((B25+C25)/2)</f>
        <v>-5.1933873986275733E-2</v>
      </c>
      <c r="D37" s="366">
        <f>D12/((C25+D25)/2)</f>
        <v>7.7928403279486974E-3</v>
      </c>
      <c r="E37" s="366">
        <f t="shared" ref="E37:N37" si="3">E12/((D25+E25)/2)</f>
        <v>3.8130099900861741E-3</v>
      </c>
      <c r="F37" s="366">
        <f t="shared" si="3"/>
        <v>4.520686175580222E-2</v>
      </c>
      <c r="G37" s="366">
        <f t="shared" si="3"/>
        <v>0.1679443933353777</v>
      </c>
      <c r="H37" s="366">
        <f t="shared" si="3"/>
        <v>0.17081577939486786</v>
      </c>
      <c r="I37" s="366">
        <f t="shared" si="3"/>
        <v>0.2071347997743937</v>
      </c>
      <c r="J37" s="366">
        <f t="shared" si="3"/>
        <v>0.27071751357326312</v>
      </c>
      <c r="K37" s="366">
        <f t="shared" si="3"/>
        <v>0.28061956209962713</v>
      </c>
      <c r="L37" s="366">
        <f t="shared" si="3"/>
        <v>0.29971308402073621</v>
      </c>
      <c r="M37" s="366">
        <f t="shared" si="3"/>
        <v>0.35279868862044123</v>
      </c>
      <c r="N37" s="366">
        <f t="shared" si="3"/>
        <v>0.37780019491510936</v>
      </c>
    </row>
    <row r="38" spans="1:14" x14ac:dyDescent="0.55000000000000004">
      <c r="A38" s="45" t="s">
        <v>415</v>
      </c>
      <c r="C38" s="366">
        <f>C14/((B31+C31)/2)</f>
        <v>-6.2289772019434413E-3</v>
      </c>
      <c r="D38" s="366">
        <f t="shared" ref="D38:N38" si="4">D14/((C31+D31)/2)</f>
        <v>1.6219588271990017E-2</v>
      </c>
      <c r="E38" s="366">
        <f t="shared" si="4"/>
        <v>1.6590526568886751E-2</v>
      </c>
      <c r="F38" s="366">
        <f t="shared" si="4"/>
        <v>5.7210452736853427E-2</v>
      </c>
      <c r="G38" s="366">
        <f t="shared" si="4"/>
        <v>0.21241202815099169</v>
      </c>
      <c r="H38" s="366">
        <f t="shared" si="4"/>
        <v>0.22846312887663681</v>
      </c>
      <c r="I38" s="366">
        <f t="shared" si="4"/>
        <v>0.28511992168379835</v>
      </c>
      <c r="J38" s="366">
        <f t="shared" si="4"/>
        <v>0.33229248689891117</v>
      </c>
      <c r="K38" s="366">
        <f t="shared" si="4"/>
        <v>0.30535624895711666</v>
      </c>
      <c r="L38" s="366">
        <f t="shared" si="4"/>
        <v>0.3528345356347018</v>
      </c>
      <c r="M38" s="366">
        <f t="shared" si="4"/>
        <v>0.41673231194636917</v>
      </c>
      <c r="N38" s="366">
        <f t="shared" si="4"/>
        <v>0.42841524445014756</v>
      </c>
    </row>
    <row r="40" spans="1:14" x14ac:dyDescent="0.55000000000000004">
      <c r="A40" s="375" t="s">
        <v>308</v>
      </c>
      <c r="B40" s="375"/>
      <c r="C40" s="375"/>
    </row>
    <row r="41" spans="1:14" x14ac:dyDescent="0.55000000000000004">
      <c r="A41" s="376" t="s">
        <v>11</v>
      </c>
      <c r="B41" s="376"/>
      <c r="C41" s="377">
        <f t="shared" ref="C41:N41" si="5">C21</f>
        <v>466</v>
      </c>
      <c r="D41" s="377">
        <f t="shared" si="5"/>
        <v>565</v>
      </c>
      <c r="E41" s="377">
        <f t="shared" si="5"/>
        <v>766</v>
      </c>
      <c r="F41" s="377">
        <f t="shared" si="5"/>
        <v>774</v>
      </c>
      <c r="G41" s="377">
        <f t="shared" si="5"/>
        <v>895</v>
      </c>
      <c r="H41" s="377">
        <f t="shared" si="5"/>
        <v>1252</v>
      </c>
      <c r="I41" s="377">
        <f t="shared" si="5"/>
        <v>1637</v>
      </c>
      <c r="J41" s="377">
        <f t="shared" si="5"/>
        <v>2422</v>
      </c>
      <c r="K41" s="377">
        <f t="shared" si="5"/>
        <v>3361</v>
      </c>
      <c r="L41" s="377">
        <f t="shared" si="5"/>
        <v>5510</v>
      </c>
      <c r="M41" s="377">
        <f t="shared" si="5"/>
        <v>5369</v>
      </c>
      <c r="N41" s="377">
        <f t="shared" si="5"/>
        <v>10930</v>
      </c>
    </row>
    <row r="42" spans="1:14" x14ac:dyDescent="0.55000000000000004">
      <c r="A42" s="376" t="s">
        <v>310</v>
      </c>
      <c r="B42" s="376"/>
      <c r="C42" s="377">
        <f t="shared" ref="C42:N42" si="6">C4</f>
        <v>5363</v>
      </c>
      <c r="D42" s="377">
        <f t="shared" si="6"/>
        <v>5742</v>
      </c>
      <c r="E42" s="377">
        <f t="shared" si="6"/>
        <v>6207</v>
      </c>
      <c r="F42" s="377">
        <f t="shared" si="6"/>
        <v>8279</v>
      </c>
      <c r="G42" s="377">
        <f t="shared" si="6"/>
        <v>13931</v>
      </c>
      <c r="H42" s="377">
        <f t="shared" si="6"/>
        <v>19315</v>
      </c>
      <c r="I42" s="377">
        <f t="shared" si="6"/>
        <v>24578</v>
      </c>
      <c r="J42" s="377">
        <f t="shared" si="6"/>
        <v>37491</v>
      </c>
      <c r="K42" s="377">
        <f t="shared" si="6"/>
        <v>42905</v>
      </c>
      <c r="L42" s="377">
        <f t="shared" si="6"/>
        <v>65225</v>
      </c>
      <c r="M42" s="377">
        <f t="shared" si="6"/>
        <v>108249</v>
      </c>
      <c r="N42" s="377">
        <f t="shared" si="6"/>
        <v>156508</v>
      </c>
    </row>
    <row r="43" spans="1:14" x14ac:dyDescent="0.55000000000000004">
      <c r="A43" s="378" t="s">
        <v>309</v>
      </c>
      <c r="B43" s="378"/>
      <c r="C43" s="384">
        <f t="shared" ref="C43:N43" si="7">C41/(C42/365)</f>
        <v>31.71545776617565</v>
      </c>
      <c r="D43" s="384">
        <f t="shared" si="7"/>
        <v>35.915186346220828</v>
      </c>
      <c r="E43" s="384">
        <f t="shared" si="7"/>
        <v>45.044304817141942</v>
      </c>
      <c r="F43" s="384">
        <f t="shared" si="7"/>
        <v>34.123686435559854</v>
      </c>
      <c r="G43" s="384">
        <f t="shared" si="7"/>
        <v>23.449501112626518</v>
      </c>
      <c r="H43" s="384">
        <f t="shared" si="7"/>
        <v>23.659332125291222</v>
      </c>
      <c r="I43" s="384">
        <f t="shared" si="7"/>
        <v>24.310562291480185</v>
      </c>
      <c r="J43" s="384">
        <f t="shared" si="7"/>
        <v>23.579792483529381</v>
      </c>
      <c r="K43" s="384">
        <f t="shared" si="7"/>
        <v>28.59258827642466</v>
      </c>
      <c r="L43" s="384">
        <f t="shared" si="7"/>
        <v>30.834036029129933</v>
      </c>
      <c r="M43" s="384">
        <f t="shared" si="7"/>
        <v>18.103492872913375</v>
      </c>
      <c r="N43" s="384">
        <f t="shared" si="7"/>
        <v>25.490390267590154</v>
      </c>
    </row>
    <row r="44" spans="1:14" x14ac:dyDescent="0.55000000000000004">
      <c r="A44" s="376"/>
      <c r="B44" s="376"/>
      <c r="C44" s="376"/>
      <c r="D44" s="376"/>
      <c r="E44" s="376"/>
      <c r="F44" s="376"/>
      <c r="G44" s="376"/>
      <c r="H44" s="376"/>
      <c r="I44" s="376"/>
      <c r="J44" s="376"/>
      <c r="K44" s="376"/>
      <c r="L44" s="376"/>
      <c r="M44" s="376"/>
      <c r="N44" s="376"/>
    </row>
    <row r="45" spans="1:14" x14ac:dyDescent="0.55000000000000004">
      <c r="A45" s="376" t="s">
        <v>170</v>
      </c>
      <c r="B45" s="376"/>
      <c r="C45" s="377">
        <f t="shared" ref="C45:N45" si="8">C23</f>
        <v>11</v>
      </c>
      <c r="D45" s="377">
        <f t="shared" si="8"/>
        <v>45</v>
      </c>
      <c r="E45" s="377">
        <f t="shared" si="8"/>
        <v>56</v>
      </c>
      <c r="F45" s="377">
        <f t="shared" si="8"/>
        <v>101</v>
      </c>
      <c r="G45" s="377">
        <f t="shared" si="8"/>
        <v>165</v>
      </c>
      <c r="H45" s="377">
        <f t="shared" si="8"/>
        <v>270</v>
      </c>
      <c r="I45" s="377">
        <f t="shared" si="8"/>
        <v>346</v>
      </c>
      <c r="J45" s="377">
        <f t="shared" si="8"/>
        <v>509</v>
      </c>
      <c r="K45" s="377">
        <f t="shared" si="8"/>
        <v>455</v>
      </c>
      <c r="L45" s="377">
        <f t="shared" si="8"/>
        <v>1051</v>
      </c>
      <c r="M45" s="377">
        <f t="shared" si="8"/>
        <v>776</v>
      </c>
      <c r="N45" s="377">
        <f t="shared" si="8"/>
        <v>791</v>
      </c>
    </row>
    <row r="46" spans="1:14" x14ac:dyDescent="0.55000000000000004">
      <c r="A46" s="376" t="s">
        <v>461</v>
      </c>
      <c r="B46" s="376"/>
      <c r="C46" s="377">
        <f t="shared" ref="C46:N46" si="9">C6</f>
        <v>4128</v>
      </c>
      <c r="D46" s="377">
        <f t="shared" si="9"/>
        <v>4139</v>
      </c>
      <c r="E46" s="377">
        <f t="shared" si="9"/>
        <v>4499</v>
      </c>
      <c r="F46" s="377">
        <f t="shared" si="9"/>
        <v>6022</v>
      </c>
      <c r="G46" s="377">
        <f t="shared" si="9"/>
        <v>9889</v>
      </c>
      <c r="H46" s="377">
        <f t="shared" si="9"/>
        <v>13717</v>
      </c>
      <c r="I46" s="377">
        <f t="shared" si="9"/>
        <v>16426</v>
      </c>
      <c r="J46" s="377">
        <f t="shared" si="9"/>
        <v>24294</v>
      </c>
      <c r="K46" s="377">
        <f t="shared" si="9"/>
        <v>25683</v>
      </c>
      <c r="L46" s="377">
        <f t="shared" si="9"/>
        <v>39541</v>
      </c>
      <c r="M46" s="377">
        <f t="shared" si="9"/>
        <v>64431</v>
      </c>
      <c r="N46" s="377">
        <f t="shared" si="9"/>
        <v>87846</v>
      </c>
    </row>
    <row r="47" spans="1:14" x14ac:dyDescent="0.55000000000000004">
      <c r="A47" s="378" t="s">
        <v>311</v>
      </c>
      <c r="B47" s="378"/>
      <c r="C47" s="384">
        <f t="shared" ref="C47:N47" si="10">C45/(C46/365)</f>
        <v>0.97262596899224807</v>
      </c>
      <c r="D47" s="384">
        <f t="shared" si="10"/>
        <v>3.9683498429572359</v>
      </c>
      <c r="E47" s="384">
        <f t="shared" si="10"/>
        <v>4.543231829295399</v>
      </c>
      <c r="F47" s="384">
        <f t="shared" si="10"/>
        <v>6.121720358684823</v>
      </c>
      <c r="G47" s="384">
        <f t="shared" si="10"/>
        <v>6.0901001112347046</v>
      </c>
      <c r="H47" s="384">
        <f t="shared" si="10"/>
        <v>7.1845155646278336</v>
      </c>
      <c r="I47" s="384">
        <f t="shared" si="10"/>
        <v>7.6884207962985505</v>
      </c>
      <c r="J47" s="384">
        <f t="shared" si="10"/>
        <v>7.6473614884333587</v>
      </c>
      <c r="K47" s="384">
        <f t="shared" si="10"/>
        <v>6.4663396020714092</v>
      </c>
      <c r="L47" s="384">
        <f t="shared" si="10"/>
        <v>9.7017020308034709</v>
      </c>
      <c r="M47" s="384">
        <f t="shared" si="10"/>
        <v>4.3960205491145565</v>
      </c>
      <c r="N47" s="384">
        <f t="shared" si="10"/>
        <v>3.2866038294287732</v>
      </c>
    </row>
    <row r="48" spans="1:14" x14ac:dyDescent="0.55000000000000004">
      <c r="A48" s="376"/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</row>
    <row r="49" spans="1:14" x14ac:dyDescent="0.55000000000000004">
      <c r="A49" s="376" t="s">
        <v>26</v>
      </c>
      <c r="B49" s="376"/>
      <c r="C49" s="377">
        <f t="shared" ref="C49:N49" si="11">C27</f>
        <v>801</v>
      </c>
      <c r="D49" s="377">
        <f t="shared" si="11"/>
        <v>911</v>
      </c>
      <c r="E49" s="377">
        <f t="shared" si="11"/>
        <v>1154</v>
      </c>
      <c r="F49" s="377">
        <f t="shared" si="11"/>
        <v>1451</v>
      </c>
      <c r="G49" s="377">
        <f t="shared" si="11"/>
        <v>1779</v>
      </c>
      <c r="H49" s="377">
        <f t="shared" si="11"/>
        <v>3390</v>
      </c>
      <c r="I49" s="377">
        <f t="shared" si="11"/>
        <v>4970</v>
      </c>
      <c r="J49" s="377">
        <f t="shared" si="11"/>
        <v>5520</v>
      </c>
      <c r="K49" s="377">
        <f t="shared" si="11"/>
        <v>5601</v>
      </c>
      <c r="L49" s="377">
        <f t="shared" si="11"/>
        <v>12015</v>
      </c>
      <c r="M49" s="377">
        <f t="shared" si="11"/>
        <v>14632</v>
      </c>
      <c r="N49" s="377">
        <f t="shared" si="11"/>
        <v>21175</v>
      </c>
    </row>
    <row r="50" spans="1:14" x14ac:dyDescent="0.55000000000000004">
      <c r="A50" s="376" t="s">
        <v>462</v>
      </c>
      <c r="B50" s="376"/>
      <c r="C50" s="377">
        <f t="shared" ref="C50:N50" si="12">C6+C8-C15</f>
        <v>5164</v>
      </c>
      <c r="D50" s="377">
        <f t="shared" si="12"/>
        <v>5129</v>
      </c>
      <c r="E50" s="377">
        <f t="shared" si="12"/>
        <v>5582</v>
      </c>
      <c r="F50" s="377">
        <f t="shared" si="12"/>
        <v>7256</v>
      </c>
      <c r="G50" s="377">
        <f t="shared" si="12"/>
        <v>11525</v>
      </c>
      <c r="H50" s="377">
        <f t="shared" si="12"/>
        <v>15762</v>
      </c>
      <c r="I50" s="377">
        <f t="shared" si="12"/>
        <v>18830</v>
      </c>
      <c r="J50" s="377">
        <f t="shared" si="12"/>
        <v>27043</v>
      </c>
      <c r="K50" s="377">
        <f t="shared" si="12"/>
        <v>28388</v>
      </c>
      <c r="L50" s="377">
        <f t="shared" si="12"/>
        <v>43152</v>
      </c>
      <c r="M50" s="377">
        <f t="shared" si="12"/>
        <v>69048</v>
      </c>
      <c r="N50" s="377">
        <f t="shared" si="12"/>
        <v>92869</v>
      </c>
    </row>
    <row r="51" spans="1:14" x14ac:dyDescent="0.55000000000000004">
      <c r="A51" s="378" t="s">
        <v>313</v>
      </c>
      <c r="B51" s="378"/>
      <c r="C51" s="384">
        <f t="shared" ref="C51:N51" si="13">C49/(C50/365)</f>
        <v>56.615995352439967</v>
      </c>
      <c r="D51" s="384">
        <f t="shared" si="13"/>
        <v>64.830376291674796</v>
      </c>
      <c r="E51" s="384">
        <f t="shared" si="13"/>
        <v>75.458616983160155</v>
      </c>
      <c r="F51" s="384">
        <f t="shared" si="13"/>
        <v>72.98993936052922</v>
      </c>
      <c r="G51" s="384">
        <f t="shared" si="13"/>
        <v>56.341431670281992</v>
      </c>
      <c r="H51" s="384">
        <f t="shared" si="13"/>
        <v>78.502093642938718</v>
      </c>
      <c r="I51" s="384">
        <f t="shared" si="13"/>
        <v>96.338289962825286</v>
      </c>
      <c r="J51" s="384">
        <f t="shared" si="13"/>
        <v>74.503568391080861</v>
      </c>
      <c r="K51" s="384">
        <f t="shared" si="13"/>
        <v>72.015112019163027</v>
      </c>
      <c r="L51" s="384">
        <f t="shared" si="13"/>
        <v>101.62854560622914</v>
      </c>
      <c r="M51" s="384">
        <f t="shared" si="13"/>
        <v>77.34735256633067</v>
      </c>
      <c r="N51" s="384">
        <f t="shared" si="13"/>
        <v>83.223411472073565</v>
      </c>
    </row>
    <row r="52" spans="1:14" x14ac:dyDescent="0.55000000000000004">
      <c r="A52" s="392" t="s">
        <v>128</v>
      </c>
      <c r="B52" s="393"/>
      <c r="C52" s="394"/>
      <c r="D52" s="394"/>
      <c r="E52" s="394">
        <f t="shared" ref="E52:N52" si="14">E43+E47-E51</f>
        <v>-25.871080336722812</v>
      </c>
      <c r="F52" s="394">
        <f t="shared" si="14"/>
        <v>-32.744532566284541</v>
      </c>
      <c r="G52" s="394">
        <f t="shared" si="14"/>
        <v>-26.80183044642077</v>
      </c>
      <c r="H52" s="394">
        <f t="shared" si="14"/>
        <v>-47.658245953019659</v>
      </c>
      <c r="I52" s="394">
        <f t="shared" si="14"/>
        <v>-64.339306875046546</v>
      </c>
      <c r="J52" s="394">
        <f t="shared" si="14"/>
        <v>-43.276414419118126</v>
      </c>
      <c r="K52" s="394">
        <f t="shared" si="14"/>
        <v>-36.956184140666956</v>
      </c>
      <c r="L52" s="394">
        <f t="shared" si="14"/>
        <v>-61.092807546295731</v>
      </c>
      <c r="M52" s="394">
        <f t="shared" si="14"/>
        <v>-54.847839144302739</v>
      </c>
      <c r="N52" s="394">
        <f t="shared" si="14"/>
        <v>-54.446417375054637</v>
      </c>
    </row>
    <row r="53" spans="1:14" x14ac:dyDescent="0.55000000000000004">
      <c r="A53" s="379" t="s">
        <v>308</v>
      </c>
      <c r="B53" s="379"/>
      <c r="C53" s="385">
        <f t="shared" ref="C53:N53" si="15">C41+C45-C49</f>
        <v>-324</v>
      </c>
      <c r="D53" s="385">
        <f t="shared" si="15"/>
        <v>-301</v>
      </c>
      <c r="E53" s="385">
        <f t="shared" si="15"/>
        <v>-332</v>
      </c>
      <c r="F53" s="385">
        <f t="shared" si="15"/>
        <v>-576</v>
      </c>
      <c r="G53" s="385">
        <f t="shared" si="15"/>
        <v>-719</v>
      </c>
      <c r="H53" s="385">
        <f t="shared" si="15"/>
        <v>-1868</v>
      </c>
      <c r="I53" s="385">
        <f t="shared" si="15"/>
        <v>-2987</v>
      </c>
      <c r="J53" s="385">
        <f t="shared" si="15"/>
        <v>-2589</v>
      </c>
      <c r="K53" s="385">
        <f t="shared" si="15"/>
        <v>-1785</v>
      </c>
      <c r="L53" s="385">
        <f t="shared" si="15"/>
        <v>-5454</v>
      </c>
      <c r="M53" s="385">
        <f t="shared" si="15"/>
        <v>-8487</v>
      </c>
      <c r="N53" s="385">
        <f t="shared" si="15"/>
        <v>-9454</v>
      </c>
    </row>
    <row r="54" spans="1:14" x14ac:dyDescent="0.55000000000000004">
      <c r="A54" s="379" t="s">
        <v>463</v>
      </c>
      <c r="B54" s="379"/>
      <c r="C54" s="380"/>
      <c r="D54" s="380">
        <f t="shared" ref="D54:N54" si="16">C53-D53</f>
        <v>-23</v>
      </c>
      <c r="E54" s="380">
        <f t="shared" si="16"/>
        <v>31</v>
      </c>
      <c r="F54" s="380">
        <f t="shared" si="16"/>
        <v>244</v>
      </c>
      <c r="G54" s="380">
        <f t="shared" si="16"/>
        <v>143</v>
      </c>
      <c r="H54" s="380">
        <f t="shared" si="16"/>
        <v>1149</v>
      </c>
      <c r="I54" s="380">
        <f t="shared" si="16"/>
        <v>1119</v>
      </c>
      <c r="J54" s="380">
        <f t="shared" si="16"/>
        <v>-398</v>
      </c>
      <c r="K54" s="380">
        <f t="shared" si="16"/>
        <v>-804</v>
      </c>
      <c r="L54" s="380">
        <f t="shared" si="16"/>
        <v>3669</v>
      </c>
      <c r="M54" s="380">
        <f t="shared" si="16"/>
        <v>3033</v>
      </c>
      <c r="N54" s="380">
        <f t="shared" si="16"/>
        <v>967</v>
      </c>
    </row>
    <row r="55" spans="1:14" x14ac:dyDescent="0.55000000000000004">
      <c r="A55" s="381" t="s">
        <v>464</v>
      </c>
      <c r="B55" s="382"/>
      <c r="C55" s="383"/>
      <c r="D55" s="383">
        <f t="shared" ref="D55:N55" si="17">D54/D$4</f>
        <v>-4.0055729710902124E-3</v>
      </c>
      <c r="E55" s="383">
        <f t="shared" si="17"/>
        <v>4.9943612050910259E-3</v>
      </c>
      <c r="F55" s="383">
        <f t="shared" si="17"/>
        <v>2.9472158473245563E-2</v>
      </c>
      <c r="G55" s="383">
        <f t="shared" si="17"/>
        <v>1.0264876893259637E-2</v>
      </c>
      <c r="H55" s="383">
        <f t="shared" si="17"/>
        <v>5.9487444990939685E-2</v>
      </c>
      <c r="I55" s="383">
        <f t="shared" si="17"/>
        <v>4.5528521441939945E-2</v>
      </c>
      <c r="J55" s="383">
        <f t="shared" si="17"/>
        <v>-1.0615881144808088E-2</v>
      </c>
      <c r="K55" s="383">
        <f t="shared" si="17"/>
        <v>-1.8739074699918423E-2</v>
      </c>
      <c r="L55" s="383">
        <f t="shared" si="17"/>
        <v>5.6251437332311229E-2</v>
      </c>
      <c r="M55" s="383">
        <f t="shared" si="17"/>
        <v>2.8018734584153202E-2</v>
      </c>
      <c r="N55" s="383">
        <f t="shared" si="17"/>
        <v>6.1785978991489255E-3</v>
      </c>
    </row>
    <row r="56" spans="1:14" x14ac:dyDescent="0.55000000000000004">
      <c r="A56" s="391" t="s">
        <v>465</v>
      </c>
      <c r="D56" s="389">
        <f t="shared" ref="D56:N56" si="18">C41-D41</f>
        <v>-99</v>
      </c>
      <c r="E56" s="389">
        <f t="shared" si="18"/>
        <v>-201</v>
      </c>
      <c r="F56" s="389">
        <f t="shared" si="18"/>
        <v>-8</v>
      </c>
      <c r="G56" s="389">
        <f t="shared" si="18"/>
        <v>-121</v>
      </c>
      <c r="H56" s="389">
        <f t="shared" si="18"/>
        <v>-357</v>
      </c>
      <c r="I56" s="389">
        <f t="shared" si="18"/>
        <v>-385</v>
      </c>
      <c r="J56" s="389">
        <f t="shared" si="18"/>
        <v>-785</v>
      </c>
      <c r="K56" s="389">
        <f t="shared" si="18"/>
        <v>-939</v>
      </c>
      <c r="L56" s="389">
        <f t="shared" si="18"/>
        <v>-2149</v>
      </c>
      <c r="M56" s="389">
        <f t="shared" si="18"/>
        <v>141</v>
      </c>
      <c r="N56" s="389">
        <f t="shared" si="18"/>
        <v>-5561</v>
      </c>
    </row>
    <row r="57" spans="1:14" x14ac:dyDescent="0.55000000000000004">
      <c r="A57" s="391" t="s">
        <v>466</v>
      </c>
      <c r="D57" s="390">
        <f t="shared" ref="D57:N57" si="19">C45-D45</f>
        <v>-34</v>
      </c>
      <c r="E57" s="390">
        <f t="shared" si="19"/>
        <v>-11</v>
      </c>
      <c r="F57" s="390">
        <f t="shared" si="19"/>
        <v>-45</v>
      </c>
      <c r="G57" s="390">
        <f t="shared" si="19"/>
        <v>-64</v>
      </c>
      <c r="H57" s="390">
        <f t="shared" si="19"/>
        <v>-105</v>
      </c>
      <c r="I57" s="390">
        <f t="shared" si="19"/>
        <v>-76</v>
      </c>
      <c r="J57" s="390">
        <f t="shared" si="19"/>
        <v>-163</v>
      </c>
      <c r="K57" s="390">
        <f t="shared" si="19"/>
        <v>54</v>
      </c>
      <c r="L57" s="390">
        <f t="shared" si="19"/>
        <v>-596</v>
      </c>
      <c r="M57" s="390">
        <f t="shared" si="19"/>
        <v>275</v>
      </c>
      <c r="N57" s="390">
        <f t="shared" si="19"/>
        <v>-15</v>
      </c>
    </row>
    <row r="58" spans="1:14" x14ac:dyDescent="0.55000000000000004">
      <c r="A58" s="391" t="s">
        <v>467</v>
      </c>
      <c r="D58" s="390">
        <f t="shared" ref="D58:N58" si="20">D49-C49</f>
        <v>110</v>
      </c>
      <c r="E58" s="390">
        <f t="shared" si="20"/>
        <v>243</v>
      </c>
      <c r="F58" s="390">
        <f t="shared" si="20"/>
        <v>297</v>
      </c>
      <c r="G58" s="390">
        <f t="shared" si="20"/>
        <v>328</v>
      </c>
      <c r="H58" s="390">
        <f t="shared" si="20"/>
        <v>1611</v>
      </c>
      <c r="I58" s="390">
        <f t="shared" si="20"/>
        <v>1580</v>
      </c>
      <c r="J58" s="390">
        <f t="shared" si="20"/>
        <v>550</v>
      </c>
      <c r="K58" s="390">
        <f t="shared" si="20"/>
        <v>81</v>
      </c>
      <c r="L58" s="390">
        <f t="shared" si="20"/>
        <v>6414</v>
      </c>
      <c r="M58" s="390">
        <f t="shared" si="20"/>
        <v>2617</v>
      </c>
      <c r="N58" s="390">
        <f t="shared" si="20"/>
        <v>6543</v>
      </c>
    </row>
    <row r="59" spans="1:14" x14ac:dyDescent="0.55000000000000004">
      <c r="D59" s="388">
        <f t="shared" ref="D59:N59" si="21">D54-D56-D57-D58</f>
        <v>0</v>
      </c>
      <c r="E59" s="388">
        <f t="shared" si="21"/>
        <v>0</v>
      </c>
      <c r="F59" s="388">
        <f t="shared" si="21"/>
        <v>0</v>
      </c>
      <c r="G59" s="388">
        <f t="shared" si="21"/>
        <v>0</v>
      </c>
      <c r="H59" s="388">
        <f t="shared" si="21"/>
        <v>0</v>
      </c>
      <c r="I59" s="388">
        <f t="shared" si="21"/>
        <v>0</v>
      </c>
      <c r="J59" s="388">
        <f t="shared" si="21"/>
        <v>0</v>
      </c>
      <c r="K59" s="388">
        <f t="shared" si="21"/>
        <v>0</v>
      </c>
      <c r="L59" s="388">
        <f t="shared" si="21"/>
        <v>0</v>
      </c>
      <c r="M59" s="388">
        <f t="shared" si="21"/>
        <v>0</v>
      </c>
      <c r="N59" s="388">
        <f t="shared" si="21"/>
        <v>0</v>
      </c>
    </row>
    <row r="61" spans="1:14" x14ac:dyDescent="0.55000000000000004">
      <c r="A61" s="323" t="s">
        <v>460</v>
      </c>
    </row>
    <row r="62" spans="1:14" x14ac:dyDescent="0.55000000000000004">
      <c r="A62" t="s">
        <v>453</v>
      </c>
      <c r="C62">
        <v>100</v>
      </c>
      <c r="D62">
        <v>114</v>
      </c>
      <c r="E62">
        <v>113</v>
      </c>
      <c r="F62">
        <v>150</v>
      </c>
      <c r="G62">
        <v>179</v>
      </c>
      <c r="H62">
        <v>225</v>
      </c>
      <c r="I62">
        <v>317</v>
      </c>
      <c r="J62">
        <v>496</v>
      </c>
      <c r="K62">
        <v>734</v>
      </c>
    </row>
    <row r="63" spans="1:14" x14ac:dyDescent="0.55000000000000004">
      <c r="A63" t="s">
        <v>456</v>
      </c>
      <c r="C63">
        <v>2</v>
      </c>
      <c r="D63">
        <v>5</v>
      </c>
      <c r="E63">
        <v>16</v>
      </c>
      <c r="F63">
        <v>46</v>
      </c>
      <c r="G63">
        <v>49</v>
      </c>
      <c r="H63">
        <v>163</v>
      </c>
      <c r="I63">
        <v>242</v>
      </c>
      <c r="J63">
        <v>516</v>
      </c>
      <c r="K63">
        <v>710</v>
      </c>
    </row>
    <row r="65" spans="1:11" x14ac:dyDescent="0.55000000000000004">
      <c r="A65" t="s">
        <v>270</v>
      </c>
      <c r="C65">
        <v>232</v>
      </c>
      <c r="D65">
        <v>174</v>
      </c>
      <c r="E65">
        <v>164</v>
      </c>
      <c r="F65">
        <v>176</v>
      </c>
      <c r="G65">
        <v>260</v>
      </c>
      <c r="H65">
        <v>657</v>
      </c>
      <c r="I65">
        <v>735</v>
      </c>
      <c r="J65">
        <v>1091</v>
      </c>
      <c r="K65">
        <v>1144</v>
      </c>
    </row>
    <row r="66" spans="1:11" x14ac:dyDescent="0.55000000000000004">
      <c r="A66" t="s">
        <v>458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251</v>
      </c>
      <c r="J66">
        <v>108</v>
      </c>
      <c r="K66">
        <v>69</v>
      </c>
    </row>
    <row r="67" spans="1:11" x14ac:dyDescent="0.55000000000000004">
      <c r="A67" t="s">
        <v>457</v>
      </c>
      <c r="C67">
        <v>19</v>
      </c>
      <c r="D67">
        <v>52</v>
      </c>
      <c r="E67">
        <v>0</v>
      </c>
      <c r="F67">
        <v>0</v>
      </c>
      <c r="G67">
        <v>0</v>
      </c>
      <c r="H67">
        <v>0</v>
      </c>
      <c r="I67">
        <v>0</v>
      </c>
      <c r="J67">
        <v>220</v>
      </c>
      <c r="K67">
        <v>0</v>
      </c>
    </row>
    <row r="68" spans="1:11" x14ac:dyDescent="0.55000000000000004">
      <c r="A68" t="s">
        <v>204</v>
      </c>
      <c r="C68">
        <v>18</v>
      </c>
      <c r="D68">
        <v>7</v>
      </c>
      <c r="E68">
        <v>-33</v>
      </c>
      <c r="F68">
        <v>-11</v>
      </c>
      <c r="G68">
        <v>21</v>
      </c>
      <c r="H68">
        <f>-40+58</f>
        <v>18</v>
      </c>
      <c r="I68">
        <v>-49</v>
      </c>
      <c r="J68">
        <v>10</v>
      </c>
      <c r="K68">
        <v>74</v>
      </c>
    </row>
  </sheetData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7"/>
  <sheetViews>
    <sheetView view="pageLayout" zoomScaleNormal="100" workbookViewId="0">
      <selection activeCell="K23" sqref="K23"/>
    </sheetView>
  </sheetViews>
  <sheetFormatPr baseColWidth="10" defaultColWidth="8.83984375" defaultRowHeight="11.4" x14ac:dyDescent="0.4"/>
  <cols>
    <col min="1" max="1" width="21.83984375" style="42" bestFit="1" customWidth="1"/>
    <col min="2" max="14" width="8.578125" style="42" customWidth="1"/>
    <col min="15" max="16384" width="8.83984375" style="42"/>
  </cols>
  <sheetData>
    <row r="1" spans="1:14" x14ac:dyDescent="0.4">
      <c r="A1" s="44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4.5" customHeight="1" x14ac:dyDescent="0.4">
      <c r="A2" s="52" t="s">
        <v>109</v>
      </c>
      <c r="B2" s="29">
        <v>36799</v>
      </c>
      <c r="C2" s="29">
        <v>37163</v>
      </c>
      <c r="D2" s="29">
        <v>37527</v>
      </c>
      <c r="E2" s="29">
        <v>37891</v>
      </c>
      <c r="F2" s="29">
        <v>38255</v>
      </c>
      <c r="G2" s="29">
        <v>38619</v>
      </c>
      <c r="H2" s="29">
        <v>38990</v>
      </c>
      <c r="I2" s="29">
        <v>39354</v>
      </c>
      <c r="J2" s="29">
        <v>39718</v>
      </c>
      <c r="K2" s="29">
        <v>40082</v>
      </c>
      <c r="L2" s="29">
        <v>40446</v>
      </c>
      <c r="M2" s="29">
        <v>40810</v>
      </c>
      <c r="N2" s="29">
        <v>41181</v>
      </c>
    </row>
    <row r="3" spans="1:14" ht="14.5" customHeight="1" x14ac:dyDescent="0.4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x14ac:dyDescent="0.4">
      <c r="A4" s="50" t="s">
        <v>137</v>
      </c>
      <c r="B4" s="58" t="s">
        <v>9</v>
      </c>
      <c r="C4" s="59">
        <f>('Annual Summary'!C4-'Annual Summary'!B4)/'Annual Summary'!B4</f>
        <v>-0.32819741951647252</v>
      </c>
      <c r="D4" s="59">
        <f>('Annual Summary'!D4-'Annual Summary'!C4)/'Annual Summary'!C4</f>
        <v>7.066940145440985E-2</v>
      </c>
      <c r="E4" s="59">
        <f>('Annual Summary'!E4-'Annual Summary'!D4)/'Annual Summary'!D4</f>
        <v>8.0982236154649945E-2</v>
      </c>
      <c r="F4" s="59">
        <f>('Annual Summary'!F4-'Annual Summary'!E4)/'Annual Summary'!E4</f>
        <v>0.33381665861124538</v>
      </c>
      <c r="G4" s="59">
        <f>('Annual Summary'!G4-'Annual Summary'!F4)/'Annual Summary'!F4</f>
        <v>0.68269114627370453</v>
      </c>
      <c r="H4" s="59">
        <f>('Annual Summary'!H4-'Annual Summary'!G4)/'Annual Summary'!G4</f>
        <v>0.38647620414902017</v>
      </c>
      <c r="I4" s="59">
        <f>('Annual Summary'!I4-'Annual Summary'!H4)/'Annual Summary'!H4</f>
        <v>0.27248252653378202</v>
      </c>
      <c r="J4" s="59">
        <f>('Annual Summary'!J4-'Annual Summary'!I4)/'Annual Summary'!I4</f>
        <v>0.52538855887378955</v>
      </c>
      <c r="K4" s="59">
        <f>('Annual Summary'!K4-'Annual Summary'!J4)/'Annual Summary'!J4</f>
        <v>0.14440799125123363</v>
      </c>
      <c r="L4" s="59">
        <f>('Annual Summary'!L4-'Annual Summary'!K4)/'Annual Summary'!K4</f>
        <v>0.52021908868430256</v>
      </c>
      <c r="M4" s="59">
        <f>('Annual Summary'!M4-'Annual Summary'!L4)/'Annual Summary'!L4</f>
        <v>0.65962437715599842</v>
      </c>
      <c r="N4" s="59">
        <f>('Annual Summary'!N4-'Annual Summary'!M4)/'Annual Summary'!M4</f>
        <v>0.44581474193756987</v>
      </c>
    </row>
    <row r="5" spans="1:14" x14ac:dyDescent="0.4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x14ac:dyDescent="0.4">
      <c r="A6" s="50" t="s">
        <v>110</v>
      </c>
      <c r="B6" s="60">
        <f>('Annual Summary'!B4-'Annual Summary'!B6)/'Annual Summary'!B4</f>
        <v>0.27132656895903795</v>
      </c>
      <c r="C6" s="60">
        <f>('Annual Summary'!C4-'Annual Summary'!C6)/'Annual Summary'!C4</f>
        <v>0.23028155882901361</v>
      </c>
      <c r="D6" s="60">
        <f>('Annual Summary'!D4-'Annual Summary'!D6)/'Annual Summary'!D4</f>
        <v>0.27917102055033088</v>
      </c>
      <c r="E6" s="60">
        <f>('Annual Summary'!E4-'Annual Summary'!E6)/'Annual Summary'!E4</f>
        <v>0.27517319155791847</v>
      </c>
      <c r="F6" s="60">
        <f>('Annual Summary'!F4-'Annual Summary'!F6)/'Annual Summary'!F4</f>
        <v>0.27261746587752145</v>
      </c>
      <c r="G6" s="60">
        <f>('Annual Summary'!G4-'Annual Summary'!G6)/'Annual Summary'!G4</f>
        <v>0.29014428253535279</v>
      </c>
      <c r="H6" s="60">
        <f>('Annual Summary'!H4-'Annual Summary'!H6)/'Annual Summary'!H4</f>
        <v>0.28982655966865128</v>
      </c>
      <c r="I6" s="60">
        <f>('Annual Summary'!I4-'Annual Summary'!I6)/'Annual Summary'!I4</f>
        <v>0.33167873708194318</v>
      </c>
      <c r="J6" s="60">
        <f>('Annual Summary'!J4-'Annual Summary'!J6)/'Annual Summary'!J4</f>
        <v>0.35200448107545812</v>
      </c>
      <c r="K6" s="60">
        <f>('Annual Summary'!K4-'Annual Summary'!K6)/'Annual Summary'!K4</f>
        <v>0.40139843841044165</v>
      </c>
      <c r="L6" s="60">
        <f>('Annual Summary'!L4-'Annual Summary'!L6)/'Annual Summary'!L4</f>
        <v>0.39377539287083174</v>
      </c>
      <c r="M6" s="60">
        <f>('Annual Summary'!M4-'Annual Summary'!M6)/'Annual Summary'!M4</f>
        <v>0.40478895878945764</v>
      </c>
      <c r="N6" s="60">
        <f>('Annual Summary'!N4-'Annual Summary'!N6)/'Annual Summary'!N4</f>
        <v>0.43871239808827661</v>
      </c>
    </row>
    <row r="7" spans="1:14" x14ac:dyDescent="0.4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</row>
    <row r="8" spans="1:14" x14ac:dyDescent="0.4">
      <c r="A8" s="50" t="s">
        <v>111</v>
      </c>
      <c r="B8" s="59">
        <f>'Annual Summary'!B12/'Annual Summary'!B4</f>
        <v>6.6391081047225353E-2</v>
      </c>
      <c r="C8" s="59">
        <f>'Annual Summary'!C12/'Annual Summary'!C4</f>
        <v>-6.2092112623531606E-2</v>
      </c>
      <c r="D8" s="59">
        <f>'Annual Summary'!D12/'Annual Summary'!D4</f>
        <v>8.3594566353187051E-3</v>
      </c>
      <c r="E8" s="59">
        <f>'Annual Summary'!E12/'Annual Summary'!E4</f>
        <v>4.0277106492669565E-3</v>
      </c>
      <c r="F8" s="59">
        <f>'Annual Summary'!F12/'Annual Summary'!F4</f>
        <v>4.0584611668075851E-2</v>
      </c>
      <c r="G8" s="59">
        <f>'Annual Summary'!G12/'Annual Summary'!G4</f>
        <v>0.11793841073864045</v>
      </c>
      <c r="H8" s="59">
        <f>'Annual Summary'!H12/'Annual Summary'!H4</f>
        <v>0.1269997411338338</v>
      </c>
      <c r="I8" s="59">
        <f>'Annual Summary'!I12/'Annual Summary'!I4</f>
        <v>0.17930669704613883</v>
      </c>
      <c r="J8" s="59">
        <f>'Annual Summary'!J12/'Annual Summary'!J4</f>
        <v>0.22210663892667573</v>
      </c>
      <c r="K8" s="59">
        <f>'Annual Summary'!K12/'Annual Summary'!K4</f>
        <v>0.2736277823097541</v>
      </c>
      <c r="L8" s="59">
        <f>'Annual Summary'!L12/'Annual Summary'!L4</f>
        <v>0.28187044844768111</v>
      </c>
      <c r="M8" s="59">
        <f>'Annual Summary'!M12/'Annual Summary'!M4</f>
        <v>0.31215068961376086</v>
      </c>
      <c r="N8" s="59">
        <f>'Annual Summary'!N12/'Annual Summary'!N4</f>
        <v>0.35295959311984054</v>
      </c>
    </row>
    <row r="9" spans="1:14" x14ac:dyDescent="0.4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4" x14ac:dyDescent="0.4">
      <c r="A10" s="50" t="s">
        <v>139</v>
      </c>
      <c r="B10" s="59">
        <f>'Annual Summary'!B14/'Annual Summary'!B4</f>
        <v>9.8459225854941754E-2</v>
      </c>
      <c r="C10" s="59">
        <f>'Annual Summary'!C14/'Annual Summary'!C4</f>
        <v>-4.6615700167816519E-3</v>
      </c>
      <c r="D10" s="59">
        <f>'Annual Summary'!D14/'Annual Summary'!D4</f>
        <v>1.1320097526994078E-2</v>
      </c>
      <c r="E10" s="59">
        <f>'Annual Summary'!E14/'Annual Summary'!E4</f>
        <v>1.1116481391976801E-2</v>
      </c>
      <c r="F10" s="59">
        <f>'Annual Summary'!F14/'Annual Summary'!F4</f>
        <v>3.2129484237226717E-2</v>
      </c>
      <c r="G10" s="59">
        <f>'Annual Summary'!G14/'Annual Summary'!G4</f>
        <v>9.5326968631110467E-2</v>
      </c>
      <c r="H10" s="59">
        <f>'Annual Summary'!H14/'Annual Summary'!H4</f>
        <v>0.10297696091120891</v>
      </c>
      <c r="I10" s="59">
        <f>'Annual Summary'!I14/'Annual Summary'!I4</f>
        <v>0.14220034176906177</v>
      </c>
      <c r="J10" s="59">
        <f>'Annual Summary'!J14/'Annual Summary'!J4</f>
        <v>0.16321250433437359</v>
      </c>
      <c r="K10" s="59">
        <f>'Annual Summary'!K14/'Annual Summary'!K4</f>
        <v>0.19193567183311969</v>
      </c>
      <c r="L10" s="59">
        <f>'Annual Summary'!L14/'Annual Summary'!L4</f>
        <v>0.21484093522422384</v>
      </c>
      <c r="M10" s="59">
        <f>'Annual Summary'!M14/'Annual Summary'!M4</f>
        <v>0.2394664153941376</v>
      </c>
      <c r="N10" s="59">
        <f>'Annual Summary'!N14/'Annual Summary'!N4</f>
        <v>0.26665090602397323</v>
      </c>
    </row>
    <row r="11" spans="1:14" x14ac:dyDescent="0.4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4" x14ac:dyDescent="0.4">
      <c r="A12" s="50" t="s">
        <v>138</v>
      </c>
      <c r="B12" s="59">
        <f>'Annual Summary'!B17/'Annual Summary'!B4</f>
        <v>0.10873105348866341</v>
      </c>
      <c r="C12" s="59">
        <f>'Annual Summary'!C17/'Annual Summary'!C4</f>
        <v>3.4495618124184224E-2</v>
      </c>
      <c r="D12" s="59">
        <f>'Annual Summary'!D17/'Annual Summary'!D4</f>
        <v>1.5499825844653431E-2</v>
      </c>
      <c r="E12" s="59">
        <f>'Annual Summary'!E17/'Annual Summary'!E4</f>
        <v>4.656033510552602E-2</v>
      </c>
      <c r="F12" s="59">
        <f>'Annual Summary'!F17/'Annual Summary'!F4</f>
        <v>0.11281555743447276</v>
      </c>
      <c r="G12" s="59">
        <f>'Annual Summary'!G17/'Annual Summary'!G4</f>
        <v>0.18196827219869355</v>
      </c>
      <c r="H12" s="59">
        <f>'Annual Summary'!H17/'Annual Summary'!H4</f>
        <v>0.11493657778928294</v>
      </c>
      <c r="I12" s="59">
        <f>'Annual Summary'!I17/'Annual Summary'!I4</f>
        <v>0.22255675807632844</v>
      </c>
      <c r="J12" s="59">
        <f>'Annual Summary'!J17/'Annual Summary'!J4</f>
        <v>0.25595476247632765</v>
      </c>
      <c r="K12" s="59">
        <f>'Annual Summary'!K17/'Annual Summary'!K4</f>
        <v>0.23677893019461602</v>
      </c>
      <c r="L12" s="59">
        <f>'Annual Summary'!L17/'Annual Summary'!L4</f>
        <v>0.28509007282483712</v>
      </c>
      <c r="M12" s="59">
        <f>'Annual Summary'!M17/'Annual Summary'!M4</f>
        <v>0.3466914244011492</v>
      </c>
      <c r="N12" s="59">
        <f>'Annual Summary'!N17/'Annual Summary'!N4</f>
        <v>0.32494185600736064</v>
      </c>
    </row>
    <row r="13" spans="1:14" x14ac:dyDescent="0.4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x14ac:dyDescent="0.4">
      <c r="A14" s="50" t="s">
        <v>114</v>
      </c>
      <c r="B14" s="61">
        <f>'Annual Summary'!B4/'Annual Summary'!B25</f>
        <v>1.1734528884315742</v>
      </c>
      <c r="C14" s="61">
        <f>'Annual Summary'!C4/'Annual Summary'!C25</f>
        <v>0.89071582793555892</v>
      </c>
      <c r="D14" s="61">
        <f>'Annual Summary'!D4/'Annual Summary'!D25</f>
        <v>0.9117180057161004</v>
      </c>
      <c r="E14" s="61">
        <f>'Annual Summary'!E4/'Annual Summary'!E25</f>
        <v>0.91078503301540714</v>
      </c>
      <c r="F14" s="61">
        <f>'Annual Summary'!F4/'Annual Summary'!F25</f>
        <v>1.0284472049689442</v>
      </c>
      <c r="G14" s="61">
        <f>'Annual Summary'!G4/'Annual Summary'!G25</f>
        <v>1.2097082320250088</v>
      </c>
      <c r="H14" s="61">
        <f>'Annual Summary'!H4/'Annual Summary'!H25</f>
        <v>1.1226387678000582</v>
      </c>
      <c r="I14" s="61">
        <f>'Annual Summary'!I4/'Annual Summary'!I25</f>
        <v>0.96966110387817095</v>
      </c>
      <c r="J14" s="61">
        <f>'Annual Summary'!J4/'Annual Summary'!J25</f>
        <v>1.0364933233806088</v>
      </c>
      <c r="K14" s="61">
        <f>'Annual Summary'!K4/'Annual Summary'!K25</f>
        <v>0.90324414222858462</v>
      </c>
      <c r="L14" s="61">
        <f>'Annual Summary'!L4/'Annual Summary'!L25</f>
        <v>0.86754984504475741</v>
      </c>
      <c r="M14" s="61">
        <f>'Annual Summary'!M4/'Annual Summary'!M25</f>
        <v>0.93020597915288172</v>
      </c>
      <c r="N14" s="61">
        <f>'Annual Summary'!N4/'Annual Summary'!N25</f>
        <v>0.88892675390766995</v>
      </c>
    </row>
    <row r="15" spans="1:14" x14ac:dyDescent="0.4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x14ac:dyDescent="0.4">
      <c r="A16" s="50" t="s">
        <v>148</v>
      </c>
      <c r="B16" s="61">
        <f>'Annual Summary'!B29/'Annual Summary'!B31</f>
        <v>7.3046018991964931E-2</v>
      </c>
      <c r="C16" s="61">
        <f>'Annual Summary'!C29/'Annual Summary'!C31</f>
        <v>8.0867346938775508E-2</v>
      </c>
      <c r="D16" s="61">
        <f>'Annual Summary'!D29/'Annual Summary'!D31</f>
        <v>7.7167277167277171E-2</v>
      </c>
      <c r="E16" s="61">
        <f>'Annual Summary'!E29/'Annual Summary'!E31</f>
        <v>0</v>
      </c>
      <c r="F16" s="61">
        <f>'Annual Summary'!F29/'Annual Summary'!F31</f>
        <v>0</v>
      </c>
      <c r="G16" s="61">
        <f>'Annual Summary'!G29/'Annual Summary'!G31</f>
        <v>0</v>
      </c>
      <c r="H16" s="61">
        <f>'Annual Summary'!H29/'Annual Summary'!H31</f>
        <v>0</v>
      </c>
      <c r="I16" s="61">
        <f>'Annual Summary'!I29/'Annual Summary'!I31</f>
        <v>0</v>
      </c>
      <c r="J16" s="61">
        <f>'Annual Summary'!J29/'Annual Summary'!J31</f>
        <v>0</v>
      </c>
      <c r="K16" s="61">
        <f>'Annual Summary'!K29/'Annual Summary'!K31</f>
        <v>0</v>
      </c>
      <c r="L16" s="61">
        <f>'Annual Summary'!L29/'Annual Summary'!L31</f>
        <v>0</v>
      </c>
      <c r="M16" s="61">
        <f>'Annual Summary'!M29/'Annual Summary'!M31</f>
        <v>0</v>
      </c>
      <c r="N16" s="61">
        <f>'Annual Summary'!N29/'Annual Summary'!N31</f>
        <v>0</v>
      </c>
    </row>
    <row r="17" spans="1:14" x14ac:dyDescent="0.4">
      <c r="A17" s="5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x14ac:dyDescent="0.4">
      <c r="A18" s="50" t="s">
        <v>149</v>
      </c>
      <c r="B18" s="61">
        <f>('Annual Summary'!B29-'Annual Summary'!B19)/'Annual Summary'!B25</f>
        <v>-0.54784653829193009</v>
      </c>
      <c r="C18" s="61">
        <f>('Annual Summary'!C29-'Annual Summary'!C19)/'Annual Summary'!C25</f>
        <v>-0.66749709350606212</v>
      </c>
      <c r="D18" s="61">
        <f>('Annual Summary'!D29-'Annual Summary'!D19)/'Annual Summary'!D25</f>
        <v>-0.63845665290568432</v>
      </c>
      <c r="E18" s="61">
        <f>('Annual Summary'!E29-'Annual Summary'!E19)/'Annual Summary'!E25</f>
        <v>-0.66999266324284668</v>
      </c>
      <c r="F18" s="61">
        <f>('Annual Summary'!F29-'Annual Summary'!F19)/'Annual Summary'!F25</f>
        <v>-0.6787577639751553</v>
      </c>
      <c r="G18" s="61">
        <f>('Annual Summary'!G29-'Annual Summary'!G19)/'Annual Summary'!G25</f>
        <v>-0.71734977422716217</v>
      </c>
      <c r="H18" s="61">
        <f>('Annual Summary'!H29-'Annual Summary'!H19)/'Annual Summary'!H25</f>
        <v>-0.58761987794245862</v>
      </c>
      <c r="I18" s="61">
        <f>('Annual Summary'!I29-'Annual Summary'!I19)/'Annual Summary'!I25</f>
        <v>-0.60701463684065171</v>
      </c>
      <c r="J18" s="61">
        <f>('Annual Summary'!J29-'Annual Summary'!J19)/'Annual Summary'!J25</f>
        <v>-0.67706173453871887</v>
      </c>
      <c r="K18" s="61">
        <f>('Annual Summary'!K29-'Annual Summary'!K19)/'Annual Summary'!K25</f>
        <v>-0.7156059872423739</v>
      </c>
      <c r="L18" s="61">
        <f>('Annual Summary'!L29-'Annual Summary'!L19)/'Annual Summary'!L25</f>
        <v>-0.67849114826490031</v>
      </c>
      <c r="M18" s="61">
        <f>('Annual Summary'!M29-'Annual Summary'!M19)/'Annual Summary'!M25</f>
        <v>-0.70094783064509203</v>
      </c>
      <c r="N18" s="61">
        <f>('Annual Summary'!N29-'Annual Summary'!N19)/'Annual Summary'!N25</f>
        <v>-0.68867570883315155</v>
      </c>
    </row>
    <row r="19" spans="1:14" x14ac:dyDescent="0.4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 x14ac:dyDescent="0.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1:14" x14ac:dyDescent="0.4">
      <c r="A21" s="38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14" x14ac:dyDescent="0.4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x14ac:dyDescent="0.4"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ht="14.5" customHeight="1" x14ac:dyDescent="0.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x14ac:dyDescent="0.4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x14ac:dyDescent="0.4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4" x14ac:dyDescent="0.4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4" x14ac:dyDescent="0.4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1:14" x14ac:dyDescent="0.4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1:14" x14ac:dyDescent="0.4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x14ac:dyDescent="0.4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1:14" x14ac:dyDescent="0.4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spans="1:14" x14ac:dyDescent="0.4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spans="1:14" x14ac:dyDescent="0.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 x14ac:dyDescent="0.4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 x14ac:dyDescent="0.4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 x14ac:dyDescent="0.4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spans="1:14" x14ac:dyDescent="0.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 x14ac:dyDescent="0.4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4" x14ac:dyDescent="0.4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 x14ac:dyDescent="0.4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4" x14ac:dyDescent="0.4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 x14ac:dyDescent="0.4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 x14ac:dyDescent="0.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x14ac:dyDescent="0.4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</row>
    <row r="46" spans="1:14" x14ac:dyDescent="0.4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1:14" x14ac:dyDescent="0.4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4" x14ac:dyDescent="0.4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spans="1:14" x14ac:dyDescent="0.4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 x14ac:dyDescent="0.4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x14ac:dyDescent="0.4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4" x14ac:dyDescent="0.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 x14ac:dyDescent="0.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spans="1:14" x14ac:dyDescent="0.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</row>
    <row r="55" spans="1:14" x14ac:dyDescent="0.4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</row>
    <row r="56" spans="1:14" x14ac:dyDescent="0.4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</row>
    <row r="57" spans="1:14" x14ac:dyDescent="0.4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</row>
    <row r="58" spans="1:14" x14ac:dyDescent="0.4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</row>
    <row r="59" spans="1:14" x14ac:dyDescent="0.4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spans="1:14" x14ac:dyDescent="0.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1" spans="1:14" x14ac:dyDescent="0.4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</row>
    <row r="62" spans="1:14" x14ac:dyDescent="0.4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</row>
    <row r="63" spans="1:14" x14ac:dyDescent="0.4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</row>
    <row r="64" spans="1:14" x14ac:dyDescent="0.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 x14ac:dyDescent="0.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spans="1:14" x14ac:dyDescent="0.4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</row>
    <row r="67" spans="1:14" x14ac:dyDescent="0.4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</row>
    <row r="68" spans="1:14" x14ac:dyDescent="0.4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</row>
    <row r="69" spans="1:14" x14ac:dyDescent="0.4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</row>
    <row r="70" spans="1:14" x14ac:dyDescent="0.4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</row>
    <row r="71" spans="1:14" x14ac:dyDescent="0.4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</row>
    <row r="72" spans="1:14" x14ac:dyDescent="0.4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</row>
    <row r="73" spans="1:14" x14ac:dyDescent="0.4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</row>
    <row r="74" spans="1:14" x14ac:dyDescent="0.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</row>
    <row r="75" spans="1:14" x14ac:dyDescent="0.4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</row>
    <row r="76" spans="1:14" x14ac:dyDescent="0.4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</row>
    <row r="77" spans="1:14" x14ac:dyDescent="0.4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</row>
    <row r="78" spans="1:14" x14ac:dyDescent="0.4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</row>
    <row r="79" spans="1:14" x14ac:dyDescent="0.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 x14ac:dyDescent="0.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 x14ac:dyDescent="0.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 x14ac:dyDescent="0.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 x14ac:dyDescent="0.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 x14ac:dyDescent="0.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 x14ac:dyDescent="0.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spans="1:14" x14ac:dyDescent="0.4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4" x14ac:dyDescent="0.4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88" spans="1:14" x14ac:dyDescent="0.4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</row>
    <row r="89" spans="1:14" x14ac:dyDescent="0.4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</row>
    <row r="90" spans="1:14" x14ac:dyDescent="0.4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 x14ac:dyDescent="0.4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</row>
    <row r="92" spans="1:14" x14ac:dyDescent="0.4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</row>
    <row r="93" spans="1:14" x14ac:dyDescent="0.4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</row>
    <row r="94" spans="1:14" x14ac:dyDescent="0.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</row>
    <row r="95" spans="1:14" x14ac:dyDescent="0.4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</row>
    <row r="96" spans="1:14" x14ac:dyDescent="0.4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</row>
    <row r="97" spans="1:14" x14ac:dyDescent="0.4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</row>
    <row r="98" spans="1:14" x14ac:dyDescent="0.4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</row>
    <row r="99" spans="1:14" x14ac:dyDescent="0.4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</row>
    <row r="100" spans="1:14" x14ac:dyDescent="0.4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</row>
    <row r="101" spans="1:14" x14ac:dyDescent="0.4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</row>
    <row r="102" spans="1:14" x14ac:dyDescent="0.4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</row>
    <row r="103" spans="1:14" x14ac:dyDescent="0.4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</row>
    <row r="104" spans="1:14" x14ac:dyDescent="0.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</row>
    <row r="105" spans="1:14" x14ac:dyDescent="0.4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</row>
    <row r="106" spans="1:14" x14ac:dyDescent="0.4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</row>
    <row r="107" spans="1:14" x14ac:dyDescent="0.4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</row>
    <row r="108" spans="1:14" x14ac:dyDescent="0.4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</row>
    <row r="109" spans="1:14" x14ac:dyDescent="0.4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</row>
    <row r="110" spans="1:14" x14ac:dyDescent="0.4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</row>
    <row r="111" spans="1:14" x14ac:dyDescent="0.4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</row>
    <row r="112" spans="1:14" x14ac:dyDescent="0.4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</row>
    <row r="113" spans="1:14" x14ac:dyDescent="0.4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</row>
    <row r="114" spans="1:14" x14ac:dyDescent="0.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</row>
    <row r="115" spans="1:14" x14ac:dyDescent="0.4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</row>
    <row r="116" spans="1:14" x14ac:dyDescent="0.4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</row>
    <row r="117" spans="1:14" x14ac:dyDescent="0.4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</row>
    <row r="118" spans="1:14" x14ac:dyDescent="0.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</row>
    <row r="119" spans="1:14" x14ac:dyDescent="0.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</row>
    <row r="120" spans="1:14" x14ac:dyDescent="0.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</row>
    <row r="121" spans="1:14" x14ac:dyDescent="0.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</row>
    <row r="122" spans="1:14" x14ac:dyDescent="0.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</row>
    <row r="123" spans="1:14" x14ac:dyDescent="0.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</row>
    <row r="124" spans="1:14" x14ac:dyDescent="0.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</row>
    <row r="125" spans="1:14" x14ac:dyDescent="0.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</row>
    <row r="126" spans="1:14" x14ac:dyDescent="0.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</row>
    <row r="127" spans="1:14" x14ac:dyDescent="0.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</row>
    <row r="128" spans="1:14" x14ac:dyDescent="0.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</row>
    <row r="129" spans="1:14" x14ac:dyDescent="0.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</row>
    <row r="130" spans="1:14" x14ac:dyDescent="0.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</row>
    <row r="131" spans="1:14" x14ac:dyDescent="0.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</row>
    <row r="132" spans="1:14" x14ac:dyDescent="0.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</row>
    <row r="133" spans="1:14" x14ac:dyDescent="0.4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</row>
    <row r="134" spans="1:14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</row>
    <row r="135" spans="1:14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</row>
    <row r="136" spans="1:14" x14ac:dyDescent="0.4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</row>
    <row r="137" spans="1:14" x14ac:dyDescent="0.4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</row>
    <row r="138" spans="1:14" x14ac:dyDescent="0.4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</row>
    <row r="139" spans="1:14" x14ac:dyDescent="0.4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</row>
    <row r="140" spans="1:14" x14ac:dyDescent="0.4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</row>
    <row r="141" spans="1:14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</row>
    <row r="142" spans="1:14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</row>
    <row r="143" spans="1:14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</row>
    <row r="144" spans="1:14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</row>
    <row r="145" spans="1:14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</row>
    <row r="146" spans="1:14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</row>
    <row r="147" spans="1:14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</row>
    <row r="148" spans="1:14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</row>
    <row r="149" spans="1:14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</row>
    <row r="150" spans="1:14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</row>
    <row r="151" spans="1:14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</row>
    <row r="152" spans="1:14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</row>
    <row r="153" spans="1:14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</row>
    <row r="154" spans="1:14" x14ac:dyDescent="0.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</row>
    <row r="155" spans="1:14" x14ac:dyDescent="0.4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</row>
    <row r="156" spans="1:14" x14ac:dyDescent="0.4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</row>
    <row r="157" spans="1:14" x14ac:dyDescent="0.4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</row>
    <row r="158" spans="1:14" x14ac:dyDescent="0.4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</row>
    <row r="159" spans="1:14" x14ac:dyDescent="0.4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</row>
    <row r="160" spans="1:14" x14ac:dyDescent="0.4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</row>
    <row r="161" spans="1:14" x14ac:dyDescent="0.4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</row>
    <row r="162" spans="1:14" x14ac:dyDescent="0.4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</row>
    <row r="163" spans="1:14" x14ac:dyDescent="0.4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</row>
    <row r="164" spans="1:14" x14ac:dyDescent="0.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</row>
    <row r="165" spans="1:14" x14ac:dyDescent="0.4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</row>
    <row r="166" spans="1:14" x14ac:dyDescent="0.4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</row>
    <row r="167" spans="1:14" x14ac:dyDescent="0.4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</row>
    <row r="168" spans="1:14" x14ac:dyDescent="0.4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</row>
    <row r="169" spans="1:14" x14ac:dyDescent="0.4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</row>
    <row r="170" spans="1:14" x14ac:dyDescent="0.4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</row>
    <row r="171" spans="1:14" x14ac:dyDescent="0.4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</row>
    <row r="172" spans="1:14" x14ac:dyDescent="0.4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</row>
    <row r="173" spans="1:14" x14ac:dyDescent="0.4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</row>
    <row r="174" spans="1:14" x14ac:dyDescent="0.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</row>
    <row r="175" spans="1:14" x14ac:dyDescent="0.4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</row>
    <row r="176" spans="1:14" x14ac:dyDescent="0.4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</row>
    <row r="177" spans="1:14" x14ac:dyDescent="0.4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</row>
  </sheetData>
  <pageMargins left="0.25" right="0.25" top="0.75" bottom="0.75" header="0.3" footer="0.3"/>
  <pageSetup orientation="landscape" r:id="rId1"/>
  <headerFooter>
    <oddHeader>&amp;C&amp;20Annual Ratios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8"/>
  <sheetViews>
    <sheetView zoomScaleNormal="100" workbookViewId="0">
      <selection activeCell="G14" sqref="D14:G14"/>
    </sheetView>
  </sheetViews>
  <sheetFormatPr baseColWidth="10" defaultColWidth="8.83984375" defaultRowHeight="14.4" x14ac:dyDescent="0.55000000000000004"/>
  <cols>
    <col min="1" max="1" width="24.68359375" bestFit="1" customWidth="1"/>
    <col min="2" max="3" width="7.83984375" bestFit="1" customWidth="1"/>
    <col min="4" max="4" width="8.68359375" bestFit="1" customWidth="1"/>
    <col min="5" max="7" width="7.83984375" bestFit="1" customWidth="1"/>
    <col min="8" max="8" width="8.68359375" bestFit="1" customWidth="1"/>
  </cols>
  <sheetData>
    <row r="1" spans="1:8" x14ac:dyDescent="0.55000000000000004">
      <c r="A1" s="25"/>
      <c r="B1" s="26"/>
      <c r="C1" s="26"/>
      <c r="D1" s="26"/>
      <c r="E1" s="26"/>
      <c r="F1" s="26"/>
      <c r="G1" s="26"/>
      <c r="H1" s="26"/>
    </row>
    <row r="2" spans="1:8" ht="14.5" customHeight="1" x14ac:dyDescent="0.55000000000000004">
      <c r="A2" s="28" t="s">
        <v>136</v>
      </c>
      <c r="B2" s="29">
        <v>40719</v>
      </c>
      <c r="C2" s="29">
        <v>40810</v>
      </c>
      <c r="D2" s="29">
        <v>40908</v>
      </c>
      <c r="E2" s="29">
        <v>40999</v>
      </c>
      <c r="F2" s="29">
        <v>41090</v>
      </c>
      <c r="G2" s="29">
        <v>41181</v>
      </c>
      <c r="H2" s="29">
        <v>41272</v>
      </c>
    </row>
    <row r="3" spans="1:8" x14ac:dyDescent="0.55000000000000004">
      <c r="A3" s="30"/>
      <c r="B3" s="31"/>
      <c r="C3" s="31"/>
      <c r="D3" s="31"/>
      <c r="E3" s="31"/>
      <c r="F3" s="31"/>
      <c r="G3" s="31"/>
      <c r="H3" s="31"/>
    </row>
    <row r="4" spans="1:8" x14ac:dyDescent="0.55000000000000004">
      <c r="A4" s="30" t="s">
        <v>131</v>
      </c>
      <c r="B4" s="32">
        <v>28571</v>
      </c>
      <c r="C4" s="32">
        <v>28270</v>
      </c>
      <c r="D4" s="32">
        <v>46333</v>
      </c>
      <c r="E4" s="32">
        <v>39186</v>
      </c>
      <c r="F4" s="32">
        <v>35023</v>
      </c>
      <c r="G4" s="32">
        <v>35966</v>
      </c>
      <c r="H4" s="32">
        <v>54512</v>
      </c>
    </row>
    <row r="5" spans="1:8" x14ac:dyDescent="0.55000000000000004">
      <c r="A5" s="30"/>
      <c r="B5" s="53"/>
      <c r="C5" s="53"/>
      <c r="D5" s="53"/>
      <c r="E5" s="53"/>
      <c r="F5" s="395"/>
      <c r="G5" s="395">
        <f>G4/C4-1</f>
        <v>0.27223204810753443</v>
      </c>
      <c r="H5" s="395">
        <f>H4/D4-1</f>
        <v>0.17652644983057431</v>
      </c>
    </row>
    <row r="6" spans="1:8" x14ac:dyDescent="0.55000000000000004">
      <c r="A6" s="30" t="s">
        <v>45</v>
      </c>
      <c r="B6" s="54">
        <v>16649</v>
      </c>
      <c r="C6" s="54">
        <v>16890</v>
      </c>
      <c r="D6" s="54">
        <v>25630</v>
      </c>
      <c r="E6" s="54">
        <v>20622</v>
      </c>
      <c r="F6" s="54">
        <v>20029</v>
      </c>
      <c r="G6" s="54">
        <v>21565</v>
      </c>
      <c r="H6" s="54">
        <v>33452</v>
      </c>
    </row>
    <row r="7" spans="1:8" x14ac:dyDescent="0.55000000000000004">
      <c r="A7" s="30"/>
      <c r="B7" s="53"/>
      <c r="C7" s="53"/>
      <c r="D7" s="53"/>
      <c r="E7" s="53"/>
      <c r="F7" s="53"/>
      <c r="G7" s="53"/>
      <c r="H7" s="53"/>
    </row>
    <row r="8" spans="1:8" x14ac:dyDescent="0.55000000000000004">
      <c r="A8" s="30" t="s">
        <v>46</v>
      </c>
      <c r="B8" s="32">
        <v>11922</v>
      </c>
      <c r="C8" s="32">
        <v>11380</v>
      </c>
      <c r="D8" s="32">
        <v>20703</v>
      </c>
      <c r="E8" s="32">
        <v>18564</v>
      </c>
      <c r="F8" s="32">
        <v>14994</v>
      </c>
      <c r="G8" s="32">
        <v>14401</v>
      </c>
      <c r="H8" s="32">
        <v>21060</v>
      </c>
    </row>
    <row r="9" spans="1:8" x14ac:dyDescent="0.55000000000000004">
      <c r="A9" s="30"/>
      <c r="B9" s="53"/>
      <c r="C9" s="53"/>
      <c r="D9" s="53"/>
      <c r="E9" s="53"/>
      <c r="F9" s="53"/>
      <c r="G9" s="53"/>
      <c r="H9" s="53"/>
    </row>
    <row r="10" spans="1:8" x14ac:dyDescent="0.55000000000000004">
      <c r="A10" s="30" t="s">
        <v>132</v>
      </c>
      <c r="B10" s="54">
        <v>1915</v>
      </c>
      <c r="C10" s="54">
        <v>2025</v>
      </c>
      <c r="D10" s="54">
        <v>2605</v>
      </c>
      <c r="E10" s="54">
        <v>2339</v>
      </c>
      <c r="F10" s="54">
        <v>2545</v>
      </c>
      <c r="G10" s="54">
        <v>2551</v>
      </c>
      <c r="H10" s="54">
        <v>2840</v>
      </c>
    </row>
    <row r="11" spans="1:8" x14ac:dyDescent="0.55000000000000004">
      <c r="A11" s="30"/>
      <c r="B11" s="55"/>
      <c r="C11" s="55"/>
      <c r="D11" s="55"/>
      <c r="E11" s="55"/>
      <c r="F11" s="55"/>
      <c r="G11" s="55"/>
      <c r="H11" s="55"/>
    </row>
    <row r="12" spans="1:8" x14ac:dyDescent="0.55000000000000004">
      <c r="A12" s="30" t="s">
        <v>133</v>
      </c>
      <c r="B12" s="32">
        <v>9379</v>
      </c>
      <c r="C12" s="32">
        <v>8710</v>
      </c>
      <c r="D12" s="32">
        <v>17340</v>
      </c>
      <c r="E12" s="32">
        <v>15384</v>
      </c>
      <c r="F12" s="32">
        <v>11573</v>
      </c>
      <c r="G12" s="32">
        <v>10944</v>
      </c>
      <c r="H12" s="32">
        <v>17210</v>
      </c>
    </row>
    <row r="13" spans="1:8" x14ac:dyDescent="0.55000000000000004">
      <c r="A13" s="30"/>
      <c r="B13" s="53"/>
      <c r="C13" s="53"/>
      <c r="D13" s="53"/>
      <c r="E13" s="395"/>
      <c r="F13" s="395"/>
      <c r="G13" s="395">
        <f>G12/G$4</f>
        <v>0.30428738252794307</v>
      </c>
      <c r="H13" s="395">
        <f>H12/H$4</f>
        <v>0.31571030231875552</v>
      </c>
    </row>
    <row r="14" spans="1:8" x14ac:dyDescent="0.55000000000000004">
      <c r="A14" s="30" t="s">
        <v>58</v>
      </c>
      <c r="B14" s="32">
        <v>7308</v>
      </c>
      <c r="C14" s="32">
        <v>6623</v>
      </c>
      <c r="D14" s="32">
        <v>13064</v>
      </c>
      <c r="E14" s="32">
        <v>11622</v>
      </c>
      <c r="F14" s="32">
        <v>8824</v>
      </c>
      <c r="G14" s="32">
        <v>8223</v>
      </c>
      <c r="H14" s="32">
        <v>13078</v>
      </c>
    </row>
    <row r="15" spans="1:8" x14ac:dyDescent="0.55000000000000004">
      <c r="A15" s="30"/>
      <c r="B15" s="53"/>
      <c r="C15" s="53"/>
      <c r="D15" s="53"/>
      <c r="E15" s="53"/>
      <c r="F15" s="53"/>
      <c r="G15" s="395">
        <f>G14/G$4</f>
        <v>0.2286325974531502</v>
      </c>
      <c r="H15" s="395">
        <f>H14/H$4</f>
        <v>0.23991047842676841</v>
      </c>
    </row>
    <row r="16" spans="1:8" x14ac:dyDescent="0.55000000000000004">
      <c r="A16" s="30" t="s">
        <v>70</v>
      </c>
      <c r="B16" s="32">
        <v>11108</v>
      </c>
      <c r="C16" s="32">
        <v>10429</v>
      </c>
      <c r="D16" s="32">
        <v>17554</v>
      </c>
      <c r="E16" s="32">
        <v>13977</v>
      </c>
      <c r="F16" s="32">
        <v>10189</v>
      </c>
      <c r="G16" s="32">
        <v>9136</v>
      </c>
      <c r="H16" s="32">
        <v>23426</v>
      </c>
    </row>
    <row r="17" spans="1:8" x14ac:dyDescent="0.55000000000000004">
      <c r="A17" s="30"/>
      <c r="B17" s="56"/>
      <c r="C17" s="56"/>
      <c r="D17" s="56"/>
      <c r="E17" s="56"/>
      <c r="F17" s="56"/>
      <c r="G17" s="395">
        <f>G16/G$4</f>
        <v>0.25401768336762498</v>
      </c>
      <c r="H17" s="395">
        <f>H16/H$4</f>
        <v>0.42974024068095096</v>
      </c>
    </row>
    <row r="18" spans="1:8" x14ac:dyDescent="0.55000000000000004">
      <c r="A18" s="30" t="s">
        <v>134</v>
      </c>
      <c r="B18" s="32">
        <v>76156</v>
      </c>
      <c r="C18" s="32">
        <v>81570</v>
      </c>
      <c r="D18" s="32">
        <v>97601</v>
      </c>
      <c r="E18" s="32">
        <v>110176</v>
      </c>
      <c r="F18" s="32">
        <v>117221</v>
      </c>
      <c r="G18" s="32">
        <v>121251</v>
      </c>
      <c r="H18" s="32">
        <v>137112</v>
      </c>
    </row>
    <row r="19" spans="1:8" x14ac:dyDescent="0.55000000000000004">
      <c r="A19" s="30"/>
      <c r="B19" s="56"/>
      <c r="C19" s="56"/>
      <c r="D19" s="56"/>
      <c r="E19" s="56"/>
      <c r="F19" s="56"/>
      <c r="G19" s="56"/>
      <c r="H19" s="56"/>
    </row>
    <row r="20" spans="1:8" x14ac:dyDescent="0.55000000000000004">
      <c r="A20" s="30" t="s">
        <v>11</v>
      </c>
      <c r="B20" s="32">
        <v>6102</v>
      </c>
      <c r="C20" s="32">
        <v>5369</v>
      </c>
      <c r="D20" s="32">
        <v>8930</v>
      </c>
      <c r="E20" s="32">
        <v>7042</v>
      </c>
      <c r="F20" s="32">
        <v>7657</v>
      </c>
      <c r="G20" s="32">
        <v>10930</v>
      </c>
      <c r="H20" s="32">
        <v>11598</v>
      </c>
    </row>
    <row r="21" spans="1:8" x14ac:dyDescent="0.55000000000000004">
      <c r="A21" s="30"/>
      <c r="B21" s="56"/>
      <c r="C21" s="56"/>
      <c r="D21" s="56"/>
      <c r="E21" s="56"/>
      <c r="F21" s="56"/>
      <c r="G21" s="56"/>
      <c r="H21" s="56"/>
    </row>
    <row r="22" spans="1:8" x14ac:dyDescent="0.55000000000000004">
      <c r="A22" s="30" t="s">
        <v>14</v>
      </c>
      <c r="B22" s="57">
        <v>889</v>
      </c>
      <c r="C22" s="57">
        <v>776</v>
      </c>
      <c r="D22" s="32">
        <v>1236</v>
      </c>
      <c r="E22" s="32">
        <v>1102</v>
      </c>
      <c r="F22" s="32">
        <v>1122</v>
      </c>
      <c r="G22" s="57">
        <v>791</v>
      </c>
      <c r="H22" s="32">
        <v>1455</v>
      </c>
    </row>
    <row r="23" spans="1:8" x14ac:dyDescent="0.55000000000000004">
      <c r="A23" s="30"/>
      <c r="B23" s="56"/>
      <c r="C23" s="56"/>
      <c r="D23" s="56"/>
      <c r="E23" s="56"/>
      <c r="F23" s="56"/>
      <c r="G23" s="56"/>
      <c r="H23" s="56"/>
    </row>
    <row r="24" spans="1:8" x14ac:dyDescent="0.55000000000000004">
      <c r="A24" s="30" t="s">
        <v>24</v>
      </c>
      <c r="B24" s="32">
        <v>106758</v>
      </c>
      <c r="C24" s="32">
        <v>116371</v>
      </c>
      <c r="D24" s="32">
        <v>138681</v>
      </c>
      <c r="E24" s="32">
        <v>150934</v>
      </c>
      <c r="F24" s="32">
        <v>162896</v>
      </c>
      <c r="G24" s="32">
        <v>176064</v>
      </c>
      <c r="H24" s="32">
        <v>196088</v>
      </c>
    </row>
    <row r="25" spans="1:8" x14ac:dyDescent="0.55000000000000004">
      <c r="A25" s="30"/>
      <c r="B25" s="56"/>
      <c r="C25" s="56"/>
      <c r="D25" s="56"/>
      <c r="E25" s="56"/>
      <c r="F25" s="56"/>
      <c r="G25" s="56"/>
      <c r="H25" s="56"/>
    </row>
    <row r="26" spans="1:8" x14ac:dyDescent="0.55000000000000004">
      <c r="A26" s="30" t="s">
        <v>26</v>
      </c>
      <c r="B26" s="32">
        <v>15270</v>
      </c>
      <c r="C26" s="32">
        <v>14632</v>
      </c>
      <c r="D26" s="32">
        <v>18221</v>
      </c>
      <c r="E26" s="32">
        <v>17011</v>
      </c>
      <c r="F26" s="32">
        <v>16808</v>
      </c>
      <c r="G26" s="32">
        <v>21175</v>
      </c>
      <c r="H26" s="32">
        <v>26398</v>
      </c>
    </row>
    <row r="27" spans="1:8" x14ac:dyDescent="0.55000000000000004">
      <c r="A27" s="30"/>
      <c r="B27" s="56"/>
      <c r="C27" s="56"/>
      <c r="D27" s="56"/>
      <c r="E27" s="56"/>
      <c r="F27" s="56"/>
      <c r="G27" s="56"/>
      <c r="H27" s="56"/>
    </row>
    <row r="28" spans="1:8" x14ac:dyDescent="0.55000000000000004">
      <c r="A28" s="30" t="s">
        <v>135</v>
      </c>
      <c r="B28" s="57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</row>
    <row r="29" spans="1:8" x14ac:dyDescent="0.55000000000000004">
      <c r="A29" s="30"/>
      <c r="B29" s="56"/>
      <c r="C29" s="56"/>
      <c r="D29" s="56"/>
      <c r="E29" s="56"/>
      <c r="F29" s="56"/>
      <c r="G29" s="56"/>
      <c r="H29" s="56"/>
    </row>
    <row r="30" spans="1:8" x14ac:dyDescent="0.55000000000000004">
      <c r="A30" s="30" t="s">
        <v>112</v>
      </c>
      <c r="B30" s="32">
        <v>69343</v>
      </c>
      <c r="C30" s="32">
        <v>76615</v>
      </c>
      <c r="D30" s="32">
        <v>90054</v>
      </c>
      <c r="E30" s="32">
        <v>102498</v>
      </c>
      <c r="F30" s="32">
        <v>111746</v>
      </c>
      <c r="G30" s="32">
        <v>118210</v>
      </c>
      <c r="H30" s="32">
        <v>127346</v>
      </c>
    </row>
    <row r="31" spans="1:8" x14ac:dyDescent="0.55000000000000004">
      <c r="A31" s="30"/>
      <c r="B31" s="33"/>
      <c r="C31" s="33"/>
      <c r="D31" s="33"/>
      <c r="E31" s="33"/>
      <c r="F31" s="33"/>
      <c r="G31" s="33"/>
      <c r="H31" s="33"/>
    </row>
    <row r="32" spans="1:8" x14ac:dyDescent="0.55000000000000004">
      <c r="A32" s="36"/>
      <c r="B32" s="37"/>
      <c r="C32" s="37"/>
      <c r="D32" s="37"/>
      <c r="E32" s="37"/>
      <c r="F32" s="37"/>
      <c r="G32" s="37"/>
      <c r="H32" s="37"/>
    </row>
    <row r="33" spans="1:8" x14ac:dyDescent="0.55000000000000004">
      <c r="A33" s="38"/>
      <c r="B33" s="40"/>
      <c r="C33" s="40"/>
      <c r="D33" s="40"/>
      <c r="E33" s="40"/>
      <c r="F33" s="40"/>
      <c r="G33" s="40"/>
      <c r="H33" s="40"/>
    </row>
    <row r="34" spans="1:8" x14ac:dyDescent="0.55000000000000004">
      <c r="A34" s="24"/>
      <c r="B34" s="24"/>
      <c r="C34" s="24"/>
      <c r="D34" s="24"/>
      <c r="E34" s="24"/>
      <c r="F34" s="24"/>
      <c r="G34" s="24"/>
      <c r="H34" s="24"/>
    </row>
    <row r="35" spans="1:8" x14ac:dyDescent="0.55000000000000004">
      <c r="A35" s="24"/>
      <c r="B35" s="24"/>
      <c r="C35" s="24"/>
      <c r="D35" s="24"/>
      <c r="E35" s="24"/>
      <c r="F35" s="24"/>
      <c r="G35" s="24"/>
      <c r="H35" s="24"/>
    </row>
    <row r="36" spans="1:8" x14ac:dyDescent="0.55000000000000004">
      <c r="A36" s="24"/>
      <c r="B36" s="24"/>
      <c r="C36" s="24"/>
      <c r="D36" s="24"/>
      <c r="E36" s="24"/>
      <c r="F36" s="24"/>
      <c r="G36" s="24"/>
      <c r="H36" s="24"/>
    </row>
    <row r="37" spans="1:8" x14ac:dyDescent="0.55000000000000004">
      <c r="A37" s="24"/>
      <c r="B37" s="24"/>
      <c r="C37" s="24"/>
      <c r="D37" s="24"/>
      <c r="E37" s="24"/>
      <c r="F37" s="24"/>
      <c r="G37" s="24"/>
      <c r="H37" s="24"/>
    </row>
    <row r="38" spans="1:8" x14ac:dyDescent="0.55000000000000004">
      <c r="A38" s="24"/>
      <c r="B38" s="24"/>
      <c r="C38" s="24"/>
      <c r="D38" s="24"/>
      <c r="E38" s="24"/>
      <c r="F38" s="24"/>
      <c r="G38" s="24"/>
      <c r="H38" s="24"/>
    </row>
    <row r="39" spans="1:8" x14ac:dyDescent="0.55000000000000004">
      <c r="A39" s="24"/>
      <c r="B39" s="24"/>
      <c r="C39" s="24"/>
      <c r="D39" s="24"/>
      <c r="E39" s="24"/>
      <c r="F39" s="24"/>
      <c r="G39" s="24"/>
      <c r="H39" s="24"/>
    </row>
    <row r="40" spans="1:8" x14ac:dyDescent="0.55000000000000004">
      <c r="A40" s="24"/>
      <c r="B40" s="24"/>
      <c r="C40" s="24"/>
      <c r="D40" s="24"/>
      <c r="E40" s="24"/>
      <c r="F40" s="24"/>
      <c r="G40" s="24"/>
      <c r="H40" s="24"/>
    </row>
    <row r="41" spans="1:8" x14ac:dyDescent="0.55000000000000004">
      <c r="A41" s="24"/>
      <c r="B41" s="24"/>
      <c r="C41" s="24"/>
      <c r="D41" s="24"/>
      <c r="E41" s="24"/>
      <c r="F41" s="24"/>
      <c r="G41" s="24"/>
      <c r="H41" s="24"/>
    </row>
    <row r="42" spans="1:8" x14ac:dyDescent="0.55000000000000004">
      <c r="A42" s="24"/>
      <c r="B42" s="24"/>
      <c r="C42" s="24"/>
      <c r="D42" s="24"/>
      <c r="E42" s="24"/>
      <c r="F42" s="24"/>
      <c r="G42" s="24"/>
      <c r="H42" s="24"/>
    </row>
    <row r="43" spans="1:8" x14ac:dyDescent="0.55000000000000004">
      <c r="A43" s="24"/>
      <c r="B43" s="24"/>
      <c r="C43" s="24"/>
      <c r="D43" s="24"/>
      <c r="E43" s="24"/>
      <c r="F43" s="24"/>
      <c r="G43" s="24"/>
      <c r="H43" s="24"/>
    </row>
    <row r="44" spans="1:8" x14ac:dyDescent="0.55000000000000004">
      <c r="A44" s="24"/>
      <c r="B44" s="24"/>
      <c r="C44" s="24"/>
      <c r="D44" s="24"/>
      <c r="E44" s="24"/>
      <c r="F44" s="24"/>
      <c r="G44" s="24"/>
      <c r="H44" s="24"/>
    </row>
    <row r="45" spans="1:8" x14ac:dyDescent="0.55000000000000004">
      <c r="A45" s="24"/>
      <c r="B45" s="24"/>
      <c r="C45" s="24"/>
      <c r="D45" s="24"/>
      <c r="E45" s="24"/>
      <c r="F45" s="24"/>
      <c r="G45" s="24"/>
      <c r="H45" s="24"/>
    </row>
    <row r="46" spans="1:8" x14ac:dyDescent="0.55000000000000004">
      <c r="A46" s="24"/>
      <c r="B46" s="24"/>
      <c r="C46" s="24"/>
      <c r="D46" s="24"/>
      <c r="E46" s="24"/>
      <c r="F46" s="24"/>
      <c r="G46" s="24"/>
      <c r="H46" s="24"/>
    </row>
    <row r="47" spans="1:8" x14ac:dyDescent="0.55000000000000004">
      <c r="A47" s="24"/>
      <c r="B47" s="24"/>
      <c r="C47" s="24"/>
      <c r="D47" s="24"/>
      <c r="E47" s="24"/>
      <c r="F47" s="24"/>
      <c r="G47" s="24"/>
      <c r="H47" s="24"/>
    </row>
    <row r="48" spans="1:8" x14ac:dyDescent="0.55000000000000004">
      <c r="A48" s="24"/>
      <c r="B48" s="24"/>
      <c r="C48" s="24"/>
      <c r="D48" s="24"/>
      <c r="E48" s="24"/>
      <c r="F48" s="24"/>
      <c r="G48" s="24"/>
      <c r="H48" s="2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9"/>
  <sheetViews>
    <sheetView view="pageLayout" zoomScaleNormal="100" workbookViewId="0"/>
  </sheetViews>
  <sheetFormatPr baseColWidth="10" defaultColWidth="8.83984375" defaultRowHeight="11.4" x14ac:dyDescent="0.4"/>
  <cols>
    <col min="1" max="1" width="28.83984375" style="42" bestFit="1" customWidth="1"/>
    <col min="2" max="8" width="8.68359375" style="42" customWidth="1"/>
    <col min="9" max="16384" width="8.83984375" style="42"/>
  </cols>
  <sheetData>
    <row r="1" spans="1:8" x14ac:dyDescent="0.4">
      <c r="A1" s="44"/>
      <c r="B1" s="47"/>
      <c r="C1" s="47"/>
      <c r="D1" s="47"/>
      <c r="E1" s="47"/>
      <c r="F1" s="47"/>
      <c r="G1" s="47"/>
      <c r="H1" s="47"/>
    </row>
    <row r="2" spans="1:8" ht="12" customHeight="1" x14ac:dyDescent="0.4">
      <c r="A2" s="28" t="s">
        <v>136</v>
      </c>
      <c r="B2" s="29">
        <v>40719</v>
      </c>
      <c r="C2" s="29">
        <v>40810</v>
      </c>
      <c r="D2" s="29">
        <v>40908</v>
      </c>
      <c r="E2" s="29">
        <v>40999</v>
      </c>
      <c r="F2" s="29">
        <v>41090</v>
      </c>
      <c r="G2" s="29">
        <v>41181</v>
      </c>
      <c r="H2" s="29">
        <v>41272</v>
      </c>
    </row>
    <row r="3" spans="1:8" x14ac:dyDescent="0.4">
      <c r="A3" s="45"/>
      <c r="B3" s="45"/>
      <c r="C3" s="45"/>
      <c r="D3" s="45"/>
      <c r="E3" s="45"/>
      <c r="F3" s="45"/>
      <c r="G3" s="45"/>
      <c r="H3" s="45"/>
    </row>
    <row r="4" spans="1:8" x14ac:dyDescent="0.4">
      <c r="A4" s="50" t="s">
        <v>141</v>
      </c>
      <c r="B4" s="58" t="s">
        <v>9</v>
      </c>
      <c r="C4" s="59">
        <f>('Quarterly Summary'!C4-'Quarterly Summary'!B4)/'Quarterly Summary'!B4</f>
        <v>-1.0535158027370411E-2</v>
      </c>
      <c r="D4" s="59">
        <f>('Quarterly Summary'!D4-'Quarterly Summary'!C4)/'Quarterly Summary'!C4</f>
        <v>0.63894587902370004</v>
      </c>
      <c r="E4" s="59">
        <f>('Quarterly Summary'!E4-'Quarterly Summary'!D4)/'Quarterly Summary'!D4</f>
        <v>-0.15425290829430427</v>
      </c>
      <c r="F4" s="59">
        <f>('Quarterly Summary'!F4-'Quarterly Summary'!E4)/'Quarterly Summary'!E4</f>
        <v>-0.10623692134946154</v>
      </c>
      <c r="G4" s="59">
        <f>('Quarterly Summary'!G4-'Quarterly Summary'!F4)/'Quarterly Summary'!F4</f>
        <v>2.6925163464009364E-2</v>
      </c>
      <c r="H4" s="59">
        <f>('Quarterly Summary'!H4-'Quarterly Summary'!G4)/'Quarterly Summary'!G4</f>
        <v>0.51565367291330699</v>
      </c>
    </row>
    <row r="5" spans="1:8" x14ac:dyDescent="0.4">
      <c r="A5" s="50"/>
      <c r="B5" s="58"/>
      <c r="C5" s="50"/>
      <c r="D5" s="50"/>
      <c r="E5" s="50"/>
      <c r="F5" s="50"/>
      <c r="G5" s="50"/>
      <c r="H5" s="50"/>
    </row>
    <row r="6" spans="1:8" x14ac:dyDescent="0.4">
      <c r="A6" s="50" t="s">
        <v>140</v>
      </c>
      <c r="B6" s="58" t="s">
        <v>9</v>
      </c>
      <c r="C6" s="58" t="s">
        <v>9</v>
      </c>
      <c r="D6" s="58" t="s">
        <v>9</v>
      </c>
      <c r="E6" s="58" t="s">
        <v>9</v>
      </c>
      <c r="F6" s="59">
        <f>('Quarterly Summary'!F4-'Quarterly Summary'!B4)/'Quarterly Summary'!B4</f>
        <v>0.22582338735081026</v>
      </c>
      <c r="G6" s="59">
        <f>('Quarterly Summary'!G4-'Quarterly Summary'!C4)/'Quarterly Summary'!C4</f>
        <v>0.27223204810753449</v>
      </c>
      <c r="H6" s="59">
        <f>('Quarterly Summary'!H4-'Quarterly Summary'!D4)/'Quarterly Summary'!D4</f>
        <v>0.17652644983057433</v>
      </c>
    </row>
    <row r="7" spans="1:8" x14ac:dyDescent="0.4">
      <c r="A7" s="50"/>
      <c r="B7" s="50"/>
      <c r="C7" s="50"/>
      <c r="D7" s="50"/>
      <c r="E7" s="50"/>
      <c r="F7" s="50"/>
      <c r="G7" s="50"/>
      <c r="H7" s="50"/>
    </row>
    <row r="8" spans="1:8" x14ac:dyDescent="0.4">
      <c r="A8" s="50" t="s">
        <v>110</v>
      </c>
      <c r="B8" s="59">
        <f>('Quarterly Summary'!B4-'Quarterly Summary'!B6)/'Quarterly Summary'!B4</f>
        <v>0.41727625914388716</v>
      </c>
      <c r="C8" s="59">
        <f>('Quarterly Summary'!C4-'Quarterly Summary'!C6)/'Quarterly Summary'!C4</f>
        <v>0.40254686947293949</v>
      </c>
      <c r="D8" s="59">
        <f>('Quarterly Summary'!D4-'Quarterly Summary'!D6)/'Quarterly Summary'!D4</f>
        <v>0.44683055273778949</v>
      </c>
      <c r="E8" s="59">
        <f>('Quarterly Summary'!E4-'Quarterly Summary'!E6)/'Quarterly Summary'!E4</f>
        <v>0.4737406216505895</v>
      </c>
      <c r="F8" s="59">
        <f>('Quarterly Summary'!F4-'Quarterly Summary'!F6)/'Quarterly Summary'!F4</f>
        <v>0.42811866487736633</v>
      </c>
      <c r="G8" s="59">
        <f>('Quarterly Summary'!G4-'Quarterly Summary'!G6)/'Quarterly Summary'!G4</f>
        <v>0.40040593894233445</v>
      </c>
      <c r="H8" s="59">
        <f>('Quarterly Summary'!H4-'Quarterly Summary'!H6)/'Quarterly Summary'!H4</f>
        <v>0.38633695333137658</v>
      </c>
    </row>
    <row r="9" spans="1:8" x14ac:dyDescent="0.4">
      <c r="A9" s="50"/>
      <c r="B9" s="50"/>
      <c r="C9" s="50"/>
      <c r="D9" s="50"/>
      <c r="E9" s="50"/>
      <c r="F9" s="50"/>
      <c r="G9" s="50"/>
      <c r="H9" s="50"/>
    </row>
    <row r="10" spans="1:8" x14ac:dyDescent="0.4">
      <c r="A10" s="50" t="s">
        <v>111</v>
      </c>
      <c r="B10" s="59">
        <f>'Quarterly Summary'!B12/'Quarterly Summary'!B4</f>
        <v>0.32826992404886074</v>
      </c>
      <c r="C10" s="59">
        <f>'Quarterly Summary'!C12/'Quarterly Summary'!C4</f>
        <v>0.30810045985143264</v>
      </c>
      <c r="D10" s="59">
        <f>'Quarterly Summary'!D12/'Quarterly Summary'!D4</f>
        <v>0.37424729674314205</v>
      </c>
      <c r="E10" s="59">
        <f>'Quarterly Summary'!E12/'Quarterly Summary'!E4</f>
        <v>0.39258919001684273</v>
      </c>
      <c r="F10" s="59">
        <f>'Quarterly Summary'!F12/'Quarterly Summary'!F4</f>
        <v>0.33043999657368017</v>
      </c>
      <c r="G10" s="59">
        <f>'Quarterly Summary'!G12/'Quarterly Summary'!G4</f>
        <v>0.30428738252794307</v>
      </c>
      <c r="H10" s="59">
        <f>'Quarterly Summary'!H12/'Quarterly Summary'!H4</f>
        <v>0.31571030231875552</v>
      </c>
    </row>
    <row r="11" spans="1:8" x14ac:dyDescent="0.4">
      <c r="A11" s="50"/>
      <c r="B11" s="50"/>
      <c r="C11" s="50"/>
      <c r="D11" s="50"/>
      <c r="E11" s="50"/>
      <c r="F11" s="50"/>
      <c r="G11" s="50"/>
      <c r="H11" s="50"/>
    </row>
    <row r="12" spans="1:8" x14ac:dyDescent="0.4">
      <c r="A12" s="50" t="s">
        <v>139</v>
      </c>
      <c r="B12" s="59">
        <f>'Quarterly Summary'!B14/'Quarterly Summary'!B4</f>
        <v>0.25578383675755134</v>
      </c>
      <c r="C12" s="59">
        <f>'Quarterly Summary'!C14/'Quarterly Summary'!C4</f>
        <v>0.23427661832331093</v>
      </c>
      <c r="D12" s="59">
        <f>'Quarterly Summary'!D14/'Quarterly Summary'!D4</f>
        <v>0.28195886301340295</v>
      </c>
      <c r="E12" s="59">
        <f>'Quarterly Summary'!E14/'Quarterly Summary'!E4</f>
        <v>0.2965855152350329</v>
      </c>
      <c r="F12" s="59">
        <f>'Quarterly Summary'!F14/'Quarterly Summary'!F4</f>
        <v>0.25194871941295721</v>
      </c>
      <c r="G12" s="59">
        <f>'Quarterly Summary'!G14/'Quarterly Summary'!G4</f>
        <v>0.2286325974531502</v>
      </c>
      <c r="H12" s="59">
        <f>'Quarterly Summary'!H14/'Quarterly Summary'!H4</f>
        <v>0.23991047842676841</v>
      </c>
    </row>
    <row r="13" spans="1:8" x14ac:dyDescent="0.4">
      <c r="A13" s="50"/>
      <c r="B13" s="50"/>
      <c r="C13" s="50"/>
      <c r="D13" s="50"/>
      <c r="E13" s="50"/>
      <c r="F13" s="50"/>
      <c r="G13" s="50"/>
      <c r="H13" s="50"/>
    </row>
    <row r="14" spans="1:8" x14ac:dyDescent="0.4">
      <c r="A14" s="50" t="s">
        <v>138</v>
      </c>
      <c r="B14" s="59">
        <f>'Quarterly Summary'!B16/'Quarterly Summary'!B4</f>
        <v>0.38878583178747683</v>
      </c>
      <c r="C14" s="59">
        <f>'Quarterly Summary'!C16/'Quarterly Summary'!C4</f>
        <v>0.36890696851786348</v>
      </c>
      <c r="D14" s="59">
        <f>'Quarterly Summary'!D16/'Quarterly Summary'!D4</f>
        <v>0.37886603500744609</v>
      </c>
      <c r="E14" s="59">
        <f>'Quarterly Summary'!E16/'Quarterly Summary'!E4</f>
        <v>0.35668350941662841</v>
      </c>
      <c r="F14" s="59">
        <f>'Quarterly Summary'!F16/'Quarterly Summary'!F4</f>
        <v>0.29092310767210117</v>
      </c>
      <c r="G14" s="59">
        <f>'Quarterly Summary'!G16/'Quarterly Summary'!G4</f>
        <v>0.25401768336762498</v>
      </c>
      <c r="H14" s="59">
        <f>'Quarterly Summary'!H16/'Quarterly Summary'!H4</f>
        <v>0.42974024068095096</v>
      </c>
    </row>
    <row r="15" spans="1:8" x14ac:dyDescent="0.4">
      <c r="A15" s="50"/>
      <c r="B15" s="50"/>
      <c r="C15" s="50"/>
      <c r="D15" s="50"/>
      <c r="E15" s="50"/>
      <c r="F15" s="50"/>
      <c r="G15" s="50"/>
      <c r="H15" s="50"/>
    </row>
    <row r="16" spans="1:8" x14ac:dyDescent="0.4">
      <c r="A16" s="50" t="s">
        <v>128</v>
      </c>
      <c r="B16" s="58" t="s">
        <v>9</v>
      </c>
      <c r="C16" s="51">
        <f t="shared" ref="C16:H16" si="0">C22+C24-C26</f>
        <v>-58.592150073463799</v>
      </c>
      <c r="D16" s="51">
        <f t="shared" si="0"/>
        <v>-66.023852376736784</v>
      </c>
      <c r="E16" s="51">
        <f t="shared" si="0"/>
        <v>-42.472781126372332</v>
      </c>
      <c r="F16" s="51">
        <f t="shared" si="0"/>
        <v>-52.687317408239331</v>
      </c>
      <c r="G16" s="51">
        <f t="shared" si="0"/>
        <v>-57.041269853484451</v>
      </c>
      <c r="H16" s="51">
        <f t="shared" si="0"/>
        <v>-68.536619390606404</v>
      </c>
    </row>
    <row r="17" spans="1:8" x14ac:dyDescent="0.4">
      <c r="A17" s="50"/>
      <c r="B17" s="45"/>
      <c r="C17" s="45"/>
      <c r="D17" s="45"/>
      <c r="E17" s="45"/>
      <c r="F17" s="45"/>
      <c r="G17" s="45"/>
      <c r="H17" s="45"/>
    </row>
    <row r="18" spans="1:8" x14ac:dyDescent="0.4">
      <c r="A18" s="45" t="s">
        <v>142</v>
      </c>
      <c r="B18" s="48" t="s">
        <v>9</v>
      </c>
      <c r="C18" s="49">
        <f>('Quarterly Summary'!B26+'Quarterly Summary'!C26)/2</f>
        <v>14951</v>
      </c>
      <c r="D18" s="49">
        <f>('Quarterly Summary'!C26+'Quarterly Summary'!D26)/2</f>
        <v>16426.5</v>
      </c>
      <c r="E18" s="49">
        <f>('Quarterly Summary'!D26+'Quarterly Summary'!E26)/2</f>
        <v>17616</v>
      </c>
      <c r="F18" s="49">
        <f>('Quarterly Summary'!E26+'Quarterly Summary'!F26)/2</f>
        <v>16909.5</v>
      </c>
      <c r="G18" s="49">
        <f>('Quarterly Summary'!F26+'Quarterly Summary'!G26)/2</f>
        <v>18991.5</v>
      </c>
      <c r="H18" s="49">
        <f>('Quarterly Summary'!G26+'Quarterly Summary'!H26)/2</f>
        <v>23786.5</v>
      </c>
    </row>
    <row r="19" spans="1:8" x14ac:dyDescent="0.4">
      <c r="A19" s="45"/>
      <c r="B19" s="48"/>
      <c r="C19" s="45"/>
      <c r="D19" s="45"/>
      <c r="E19" s="45"/>
      <c r="F19" s="45"/>
      <c r="G19" s="45"/>
      <c r="H19" s="45"/>
    </row>
    <row r="20" spans="1:8" x14ac:dyDescent="0.4">
      <c r="A20" s="45" t="s">
        <v>143</v>
      </c>
      <c r="B20" s="48" t="s">
        <v>9</v>
      </c>
      <c r="C20" s="49">
        <f>('Quarterly Summary'!B20+'Quarterly Summary'!C20)/2</f>
        <v>5735.5</v>
      </c>
      <c r="D20" s="49">
        <f>('Quarterly Summary'!C20+'Quarterly Summary'!D20)/2</f>
        <v>7149.5</v>
      </c>
      <c r="E20" s="49">
        <f>('Quarterly Summary'!D20+'Quarterly Summary'!E20)/2</f>
        <v>7986</v>
      </c>
      <c r="F20" s="49">
        <f>('Quarterly Summary'!E20+'Quarterly Summary'!F20)/2</f>
        <v>7349.5</v>
      </c>
      <c r="G20" s="49">
        <f>('Quarterly Summary'!F20+'Quarterly Summary'!G20)/2</f>
        <v>9293.5</v>
      </c>
      <c r="H20" s="49">
        <f>('Quarterly Summary'!G20+'Quarterly Summary'!H20)/2</f>
        <v>11264</v>
      </c>
    </row>
    <row r="21" spans="1:8" x14ac:dyDescent="0.4">
      <c r="A21" s="45"/>
      <c r="B21" s="48"/>
      <c r="C21" s="45"/>
      <c r="D21" s="45"/>
      <c r="E21" s="45"/>
      <c r="F21" s="45"/>
      <c r="G21" s="45"/>
      <c r="H21" s="45"/>
    </row>
    <row r="22" spans="1:8" x14ac:dyDescent="0.4">
      <c r="A22" s="45" t="s">
        <v>144</v>
      </c>
      <c r="B22" s="48" t="s">
        <v>9</v>
      </c>
      <c r="C22" s="46">
        <f>('Quarterly Summary'!B22/'Quarterly Summary'!B6)*'Quarterly Ratios'!C28</f>
        <v>4.8590906360742387</v>
      </c>
      <c r="D22" s="46">
        <f>('Quarterly Summary'!C22/'Quarterly Summary'!C6)*'Quarterly Ratios'!D28</f>
        <v>4.5025458851391358</v>
      </c>
      <c r="E22" s="46">
        <f>('Quarterly Summary'!D22/'Quarterly Summary'!D6)*'Quarterly Ratios'!E28</f>
        <v>4.3884510339445963</v>
      </c>
      <c r="F22" s="46">
        <f>('Quarterly Summary'!E22/'Quarterly Summary'!E6)*'Quarterly Ratios'!F28</f>
        <v>4.8628649015614389</v>
      </c>
      <c r="G22" s="46">
        <f>('Quarterly Summary'!F22/'Quarterly Summary'!F6)*'Quarterly Ratios'!G28</f>
        <v>5.0977083229317488</v>
      </c>
      <c r="H22" s="46">
        <f>('Quarterly Summary'!G22/'Quarterly Summary'!G6)*'Quarterly Ratios'!H28</f>
        <v>3.3378622768374679</v>
      </c>
    </row>
    <row r="23" spans="1:8" x14ac:dyDescent="0.4">
      <c r="A23" s="45"/>
      <c r="B23" s="48"/>
      <c r="C23" s="45"/>
      <c r="D23" s="45"/>
      <c r="E23" s="45"/>
      <c r="F23" s="45"/>
      <c r="G23" s="45"/>
      <c r="H23" s="45"/>
    </row>
    <row r="24" spans="1:8" x14ac:dyDescent="0.4">
      <c r="A24" s="45" t="s">
        <v>145</v>
      </c>
      <c r="B24" s="48" t="s">
        <v>9</v>
      </c>
      <c r="C24" s="46">
        <f>(C20/'Quarterly Summary'!B4)*'Quarterly Ratios'!C28</f>
        <v>18.267841517622763</v>
      </c>
      <c r="D24" s="46">
        <f>(D20/'Quarterly Summary'!C4)*'Quarterly Ratios'!D28</f>
        <v>24.784258931729752</v>
      </c>
      <c r="E24" s="46">
        <f>(E20/'Quarterly Summary'!D4)*'Quarterly Ratios'!E28</f>
        <v>15.684846653573048</v>
      </c>
      <c r="F24" s="46">
        <f>(F20/'Quarterly Summary'!E4)*'Quarterly Ratios'!F28</f>
        <v>17.067434798142195</v>
      </c>
      <c r="G24" s="46">
        <f>(G20/'Quarterly Summary'!F4)*'Quarterly Ratios'!G28</f>
        <v>24.147231819090312</v>
      </c>
      <c r="H24" s="46">
        <f>(H20/'Quarterly Summary'!G4)*'Quarterly Ratios'!H28</f>
        <v>28.499805371739978</v>
      </c>
    </row>
    <row r="25" spans="1:8" x14ac:dyDescent="0.4">
      <c r="A25" s="45"/>
      <c r="B25" s="48"/>
      <c r="C25" s="45"/>
      <c r="D25" s="45"/>
      <c r="E25" s="45"/>
      <c r="F25" s="45"/>
      <c r="G25" s="45"/>
      <c r="H25" s="45"/>
    </row>
    <row r="26" spans="1:8" x14ac:dyDescent="0.4">
      <c r="A26" s="45" t="s">
        <v>146</v>
      </c>
      <c r="B26" s="48" t="s">
        <v>9</v>
      </c>
      <c r="C26" s="46">
        <f>(C18/'Quarterly Summary'!B6)*'Quarterly Ratios'!C28</f>
        <v>81.719082227160797</v>
      </c>
      <c r="D26" s="46">
        <f>(D18/'Quarterly Summary'!C6)*'Quarterly Ratios'!D28</f>
        <v>95.310657193605678</v>
      </c>
      <c r="E26" s="46">
        <f>(E18/'Quarterly Summary'!D6)*'Quarterly Ratios'!E28</f>
        <v>62.546078813889977</v>
      </c>
      <c r="F26" s="46">
        <f>(F18/'Quarterly Summary'!E6)*'Quarterly Ratios'!F28</f>
        <v>74.617617107942962</v>
      </c>
      <c r="G26" s="46">
        <f>(G18/'Quarterly Summary'!F6)*'Quarterly Ratios'!G28</f>
        <v>86.28620999550651</v>
      </c>
      <c r="H26" s="46">
        <f>(H18/'Quarterly Summary'!G6)*'Quarterly Ratios'!H28</f>
        <v>100.37428703918386</v>
      </c>
    </row>
    <row r="27" spans="1:8" x14ac:dyDescent="0.4">
      <c r="A27" s="45"/>
      <c r="B27" s="45"/>
      <c r="C27" s="45"/>
      <c r="D27" s="45"/>
      <c r="E27" s="45"/>
      <c r="F27" s="45"/>
      <c r="G27" s="45"/>
      <c r="H27" s="45"/>
    </row>
    <row r="28" spans="1:8" x14ac:dyDescent="0.4">
      <c r="A28" s="45" t="s">
        <v>147</v>
      </c>
      <c r="B28" s="48" t="s">
        <v>9</v>
      </c>
      <c r="C28" s="45">
        <f>C2-B2</f>
        <v>91</v>
      </c>
      <c r="D28" s="45">
        <f t="shared" ref="D28:H28" si="1">D2-C2</f>
        <v>98</v>
      </c>
      <c r="E28" s="45">
        <f t="shared" si="1"/>
        <v>91</v>
      </c>
      <c r="F28" s="45">
        <f t="shared" si="1"/>
        <v>91</v>
      </c>
      <c r="G28" s="45">
        <f t="shared" si="1"/>
        <v>91</v>
      </c>
      <c r="H28" s="45">
        <f t="shared" si="1"/>
        <v>91</v>
      </c>
    </row>
    <row r="29" spans="1:8" x14ac:dyDescent="0.4">
      <c r="A29" s="45"/>
      <c r="B29" s="45"/>
      <c r="C29" s="45"/>
      <c r="D29" s="45"/>
      <c r="E29" s="45"/>
      <c r="F29" s="45"/>
      <c r="G29" s="45"/>
      <c r="H29" s="45"/>
    </row>
    <row r="30" spans="1:8" x14ac:dyDescent="0.4">
      <c r="A30" s="36"/>
      <c r="B30" s="37"/>
      <c r="C30" s="37"/>
      <c r="D30" s="37"/>
      <c r="E30" s="37"/>
      <c r="F30" s="37"/>
      <c r="G30" s="37"/>
      <c r="H30" s="37"/>
    </row>
    <row r="31" spans="1:8" x14ac:dyDescent="0.4">
      <c r="A31" s="38"/>
      <c r="B31" s="40"/>
      <c r="C31" s="40"/>
      <c r="D31" s="40"/>
      <c r="E31" s="40"/>
      <c r="F31" s="40"/>
      <c r="G31" s="40"/>
      <c r="H31" s="40"/>
    </row>
    <row r="32" spans="1:8" x14ac:dyDescent="0.4">
      <c r="A32" s="45"/>
      <c r="B32" s="45"/>
      <c r="C32" s="45"/>
      <c r="D32" s="45"/>
      <c r="E32" s="45"/>
      <c r="F32" s="45"/>
      <c r="G32" s="45"/>
      <c r="H32" s="45"/>
    </row>
    <row r="33" spans="1:8" x14ac:dyDescent="0.4">
      <c r="A33" s="45"/>
      <c r="B33" s="45"/>
      <c r="C33" s="45"/>
      <c r="D33" s="45"/>
      <c r="E33" s="45"/>
      <c r="F33" s="45"/>
      <c r="G33" s="45"/>
      <c r="H33" s="45"/>
    </row>
    <row r="34" spans="1:8" x14ac:dyDescent="0.4">
      <c r="A34" s="45"/>
      <c r="B34" s="45"/>
      <c r="C34" s="45"/>
      <c r="D34" s="45"/>
      <c r="E34" s="45"/>
      <c r="F34" s="45"/>
      <c r="G34" s="45"/>
      <c r="H34" s="45"/>
    </row>
    <row r="35" spans="1:8" x14ac:dyDescent="0.4">
      <c r="A35" s="45"/>
      <c r="B35" s="45"/>
      <c r="C35" s="45"/>
      <c r="D35" s="45"/>
      <c r="E35" s="45"/>
      <c r="F35" s="45"/>
      <c r="G35" s="45"/>
      <c r="H35" s="45"/>
    </row>
    <row r="36" spans="1:8" x14ac:dyDescent="0.4">
      <c r="A36" s="45"/>
      <c r="B36" s="45"/>
      <c r="C36" s="45"/>
      <c r="D36" s="45"/>
      <c r="E36" s="45"/>
      <c r="F36" s="45"/>
      <c r="G36" s="45"/>
      <c r="H36" s="45"/>
    </row>
    <row r="37" spans="1:8" x14ac:dyDescent="0.4">
      <c r="A37" s="45"/>
      <c r="B37" s="45"/>
      <c r="C37" s="45"/>
      <c r="D37" s="45"/>
      <c r="E37" s="45"/>
      <c r="F37" s="45"/>
      <c r="G37" s="45"/>
      <c r="H37" s="45"/>
    </row>
    <row r="38" spans="1:8" x14ac:dyDescent="0.4">
      <c r="A38" s="45"/>
      <c r="B38" s="45"/>
      <c r="C38" s="45"/>
      <c r="D38" s="45"/>
      <c r="E38" s="45"/>
      <c r="F38" s="45"/>
      <c r="G38" s="45"/>
      <c r="H38" s="45"/>
    </row>
    <row r="39" spans="1:8" x14ac:dyDescent="0.4">
      <c r="A39" s="45"/>
      <c r="B39" s="45"/>
      <c r="C39" s="45"/>
      <c r="D39" s="45"/>
      <c r="E39" s="45"/>
      <c r="F39" s="45"/>
      <c r="G39" s="45"/>
      <c r="H39" s="45"/>
    </row>
    <row r="40" spans="1:8" x14ac:dyDescent="0.4">
      <c r="A40" s="45"/>
      <c r="B40" s="45"/>
      <c r="C40" s="45"/>
      <c r="D40" s="45"/>
      <c r="E40" s="45"/>
      <c r="F40" s="45"/>
      <c r="G40" s="45"/>
      <c r="H40" s="45"/>
    </row>
    <row r="41" spans="1:8" x14ac:dyDescent="0.4">
      <c r="A41" s="45"/>
      <c r="B41" s="45"/>
      <c r="C41" s="45"/>
      <c r="D41" s="45"/>
      <c r="E41" s="45"/>
      <c r="F41" s="45"/>
      <c r="G41" s="45"/>
      <c r="H41" s="45"/>
    </row>
    <row r="42" spans="1:8" x14ac:dyDescent="0.4">
      <c r="A42" s="45"/>
      <c r="B42" s="45"/>
      <c r="C42" s="45"/>
      <c r="D42" s="45"/>
      <c r="E42" s="45"/>
      <c r="F42" s="45"/>
      <c r="G42" s="45"/>
      <c r="H42" s="45"/>
    </row>
    <row r="43" spans="1:8" x14ac:dyDescent="0.4">
      <c r="A43" s="45"/>
      <c r="B43" s="45"/>
      <c r="C43" s="45"/>
      <c r="D43" s="45"/>
      <c r="E43" s="45"/>
      <c r="F43" s="45"/>
      <c r="G43" s="45"/>
      <c r="H43" s="45"/>
    </row>
    <row r="44" spans="1:8" x14ac:dyDescent="0.4">
      <c r="A44" s="45"/>
      <c r="B44" s="45"/>
      <c r="C44" s="45"/>
      <c r="D44" s="45"/>
      <c r="E44" s="45"/>
      <c r="F44" s="45"/>
      <c r="G44" s="45"/>
      <c r="H44" s="45"/>
    </row>
    <row r="45" spans="1:8" x14ac:dyDescent="0.4">
      <c r="A45" s="45"/>
      <c r="B45" s="45"/>
      <c r="C45" s="45"/>
      <c r="D45" s="45"/>
      <c r="E45" s="45"/>
      <c r="F45" s="45"/>
      <c r="G45" s="45"/>
      <c r="H45" s="45"/>
    </row>
    <row r="46" spans="1:8" x14ac:dyDescent="0.4">
      <c r="A46" s="45"/>
      <c r="B46" s="45"/>
      <c r="C46" s="45"/>
      <c r="D46" s="45"/>
      <c r="E46" s="45"/>
      <c r="F46" s="45"/>
      <c r="G46" s="45"/>
      <c r="H46" s="45"/>
    </row>
    <row r="47" spans="1:8" x14ac:dyDescent="0.4">
      <c r="A47" s="45"/>
      <c r="B47" s="45"/>
      <c r="C47" s="45"/>
      <c r="D47" s="45"/>
      <c r="E47" s="45"/>
      <c r="F47" s="45"/>
      <c r="G47" s="45"/>
      <c r="H47" s="45"/>
    </row>
    <row r="48" spans="1:8" x14ac:dyDescent="0.4">
      <c r="A48" s="45"/>
      <c r="B48" s="45"/>
      <c r="C48" s="45"/>
      <c r="D48" s="45"/>
      <c r="E48" s="45"/>
      <c r="F48" s="45"/>
      <c r="G48" s="45"/>
      <c r="H48" s="45"/>
    </row>
    <row r="49" spans="1:8" x14ac:dyDescent="0.4">
      <c r="A49" s="45"/>
      <c r="B49" s="45"/>
      <c r="C49" s="45"/>
      <c r="D49" s="45"/>
      <c r="E49" s="45"/>
      <c r="F49" s="45"/>
      <c r="G49" s="45"/>
      <c r="H49" s="45"/>
    </row>
    <row r="50" spans="1:8" x14ac:dyDescent="0.4">
      <c r="A50" s="45"/>
      <c r="B50" s="45"/>
      <c r="C50" s="45"/>
      <c r="D50" s="45"/>
      <c r="E50" s="45"/>
      <c r="F50" s="45"/>
      <c r="G50" s="45"/>
      <c r="H50" s="45"/>
    </row>
    <row r="51" spans="1:8" x14ac:dyDescent="0.4">
      <c r="A51" s="45"/>
      <c r="B51" s="45"/>
      <c r="C51" s="45"/>
      <c r="D51" s="45"/>
      <c r="E51" s="45"/>
      <c r="F51" s="45"/>
      <c r="G51" s="45"/>
      <c r="H51" s="45"/>
    </row>
    <row r="52" spans="1:8" x14ac:dyDescent="0.4">
      <c r="A52" s="45"/>
      <c r="B52" s="45"/>
      <c r="C52" s="45"/>
      <c r="D52" s="45"/>
      <c r="E52" s="45"/>
      <c r="F52" s="45"/>
      <c r="G52" s="45"/>
      <c r="H52" s="45"/>
    </row>
    <row r="53" spans="1:8" x14ac:dyDescent="0.4">
      <c r="A53" s="45"/>
      <c r="B53" s="45"/>
      <c r="C53" s="45"/>
      <c r="D53" s="45"/>
      <c r="E53" s="45"/>
      <c r="F53" s="45"/>
      <c r="G53" s="45"/>
      <c r="H53" s="45"/>
    </row>
    <row r="54" spans="1:8" x14ac:dyDescent="0.4">
      <c r="A54" s="45"/>
      <c r="B54" s="45"/>
      <c r="C54" s="45"/>
      <c r="D54" s="45"/>
      <c r="E54" s="45"/>
      <c r="F54" s="45"/>
      <c r="G54" s="45"/>
      <c r="H54" s="45"/>
    </row>
    <row r="55" spans="1:8" x14ac:dyDescent="0.4">
      <c r="A55" s="45"/>
      <c r="B55" s="45"/>
      <c r="C55" s="45"/>
      <c r="D55" s="45"/>
      <c r="E55" s="45"/>
      <c r="F55" s="45"/>
      <c r="G55" s="45"/>
      <c r="H55" s="45"/>
    </row>
    <row r="56" spans="1:8" x14ac:dyDescent="0.4">
      <c r="A56" s="45"/>
      <c r="B56" s="45"/>
      <c r="C56" s="45"/>
      <c r="D56" s="45"/>
      <c r="E56" s="45"/>
      <c r="F56" s="45"/>
      <c r="G56" s="45"/>
      <c r="H56" s="45"/>
    </row>
    <row r="57" spans="1:8" x14ac:dyDescent="0.4">
      <c r="A57" s="45"/>
      <c r="B57" s="45"/>
      <c r="C57" s="45"/>
      <c r="D57" s="45"/>
      <c r="E57" s="45"/>
      <c r="F57" s="45"/>
      <c r="G57" s="45"/>
      <c r="H57" s="45"/>
    </row>
    <row r="58" spans="1:8" x14ac:dyDescent="0.4">
      <c r="A58" s="45"/>
      <c r="B58" s="45"/>
      <c r="C58" s="45"/>
      <c r="D58" s="45"/>
      <c r="E58" s="45"/>
      <c r="F58" s="45"/>
      <c r="G58" s="45"/>
      <c r="H58" s="45"/>
    </row>
    <row r="59" spans="1:8" x14ac:dyDescent="0.4">
      <c r="A59" s="45"/>
      <c r="B59" s="45"/>
      <c r="C59" s="45"/>
      <c r="D59" s="45"/>
      <c r="E59" s="45"/>
      <c r="F59" s="45"/>
      <c r="G59" s="45"/>
      <c r="H59" s="45"/>
    </row>
  </sheetData>
  <pageMargins left="0.7" right="0.7" top="0.75" bottom="0.75" header="0.3" footer="0.3"/>
  <pageSetup orientation="portrait" r:id="rId1"/>
  <headerFooter>
    <oddHeader>&amp;C&amp;20Quarterly Ratios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5"/>
  <sheetViews>
    <sheetView view="pageLayout" zoomScaleNormal="100" workbookViewId="0">
      <selection sqref="A1:N1"/>
    </sheetView>
  </sheetViews>
  <sheetFormatPr baseColWidth="10" defaultColWidth="8.83984375" defaultRowHeight="10.199999999999999" x14ac:dyDescent="0.35"/>
  <cols>
    <col min="1" max="1" width="20.68359375" style="62" bestFit="1" customWidth="1"/>
    <col min="2" max="14" width="8.578125" style="62" customWidth="1"/>
    <col min="15" max="16384" width="8.83984375" style="62"/>
  </cols>
  <sheetData>
    <row r="1" spans="1:14" ht="10.5" x14ac:dyDescent="0.4">
      <c r="A1" s="450"/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</row>
    <row r="2" spans="1:14" ht="14.5" customHeight="1" x14ac:dyDescent="0.4">
      <c r="A2" s="63" t="s">
        <v>43</v>
      </c>
      <c r="B2" s="64">
        <v>36799</v>
      </c>
      <c r="C2" s="64">
        <v>37163</v>
      </c>
      <c r="D2" s="64">
        <v>37527</v>
      </c>
      <c r="E2" s="64">
        <v>37891</v>
      </c>
      <c r="F2" s="64">
        <v>38255</v>
      </c>
      <c r="G2" s="64">
        <v>38619</v>
      </c>
      <c r="H2" s="64">
        <v>38990</v>
      </c>
      <c r="I2" s="64">
        <v>39354</v>
      </c>
      <c r="J2" s="64">
        <v>39718</v>
      </c>
      <c r="K2" s="65">
        <v>40082</v>
      </c>
      <c r="L2" s="65">
        <v>40446</v>
      </c>
      <c r="M2" s="65">
        <v>40810</v>
      </c>
      <c r="N2" s="65">
        <v>41181</v>
      </c>
    </row>
    <row r="3" spans="1:14" x14ac:dyDescent="0.35">
      <c r="A3" s="66" t="s">
        <v>44</v>
      </c>
      <c r="B3" s="67">
        <v>7983</v>
      </c>
      <c r="C3" s="67">
        <v>5363</v>
      </c>
      <c r="D3" s="67">
        <v>5742</v>
      </c>
      <c r="E3" s="67">
        <v>6207</v>
      </c>
      <c r="F3" s="67">
        <v>8279</v>
      </c>
      <c r="G3" s="67">
        <v>13931</v>
      </c>
      <c r="H3" s="67">
        <v>19315</v>
      </c>
      <c r="I3" s="67">
        <v>24578</v>
      </c>
      <c r="J3" s="67">
        <v>37491</v>
      </c>
      <c r="K3" s="67">
        <v>42905</v>
      </c>
      <c r="L3" s="67">
        <v>65225</v>
      </c>
      <c r="M3" s="67">
        <v>108249</v>
      </c>
      <c r="N3" s="67">
        <v>156508</v>
      </c>
    </row>
    <row r="4" spans="1:14" x14ac:dyDescent="0.35">
      <c r="A4" s="66" t="s">
        <v>58</v>
      </c>
      <c r="B4" s="67">
        <v>786</v>
      </c>
      <c r="C4" s="67">
        <v>-25</v>
      </c>
      <c r="D4" s="67">
        <v>65</v>
      </c>
      <c r="E4" s="67">
        <v>69</v>
      </c>
      <c r="F4" s="67">
        <v>266</v>
      </c>
      <c r="G4" s="67">
        <v>1328</v>
      </c>
      <c r="H4" s="67">
        <v>1989</v>
      </c>
      <c r="I4" s="67">
        <v>3495</v>
      </c>
      <c r="J4" s="67">
        <v>6119</v>
      </c>
      <c r="K4" s="67">
        <v>8235</v>
      </c>
      <c r="L4" s="67">
        <v>14013</v>
      </c>
      <c r="M4" s="67">
        <v>25922</v>
      </c>
      <c r="N4" s="67">
        <v>41733</v>
      </c>
    </row>
    <row r="5" spans="1:14" x14ac:dyDescent="0.35">
      <c r="A5" s="66" t="s">
        <v>24</v>
      </c>
      <c r="B5" s="67">
        <v>6803</v>
      </c>
      <c r="C5" s="67">
        <v>6021</v>
      </c>
      <c r="D5" s="67">
        <v>6298</v>
      </c>
      <c r="E5" s="67">
        <v>6815</v>
      </c>
      <c r="F5" s="67">
        <v>8050</v>
      </c>
      <c r="G5" s="67">
        <v>11516</v>
      </c>
      <c r="H5" s="67">
        <v>17205</v>
      </c>
      <c r="I5" s="67">
        <v>25347</v>
      </c>
      <c r="J5" s="67">
        <v>36171</v>
      </c>
      <c r="K5" s="67">
        <v>47501</v>
      </c>
      <c r="L5" s="67">
        <v>75183</v>
      </c>
      <c r="M5" s="67">
        <v>116371</v>
      </c>
      <c r="N5" s="67">
        <v>176064</v>
      </c>
    </row>
    <row r="6" spans="1:14" x14ac:dyDescent="0.35">
      <c r="A6" s="66" t="s">
        <v>112</v>
      </c>
      <c r="B6" s="67">
        <v>4107</v>
      </c>
      <c r="C6" s="67">
        <v>3920</v>
      </c>
      <c r="D6" s="67">
        <v>4095</v>
      </c>
      <c r="E6" s="67">
        <v>4223</v>
      </c>
      <c r="F6" s="67">
        <v>5076</v>
      </c>
      <c r="G6" s="67">
        <v>7428</v>
      </c>
      <c r="H6" s="67">
        <v>9984</v>
      </c>
      <c r="I6" s="67">
        <v>14532</v>
      </c>
      <c r="J6" s="67">
        <v>22297</v>
      </c>
      <c r="K6" s="67">
        <v>31640</v>
      </c>
      <c r="L6" s="67">
        <v>47791</v>
      </c>
      <c r="M6" s="67">
        <v>76615</v>
      </c>
      <c r="N6" s="67">
        <v>118210</v>
      </c>
    </row>
    <row r="7" spans="1:14" x14ac:dyDescent="0.35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ht="14.5" customHeight="1" x14ac:dyDescent="0.35">
      <c r="A8" s="68" t="s">
        <v>113</v>
      </c>
      <c r="B8" s="70">
        <f>(B4/B3)</f>
        <v>9.8459225854941754E-2</v>
      </c>
      <c r="C8" s="70">
        <f t="shared" ref="C8:N8" si="0">(C4/C3)</f>
        <v>-4.6615700167816519E-3</v>
      </c>
      <c r="D8" s="70">
        <f t="shared" si="0"/>
        <v>1.1320097526994078E-2</v>
      </c>
      <c r="E8" s="70">
        <f t="shared" si="0"/>
        <v>1.1116481391976801E-2</v>
      </c>
      <c r="F8" s="70">
        <f t="shared" si="0"/>
        <v>3.2129484237226717E-2</v>
      </c>
      <c r="G8" s="70">
        <f t="shared" si="0"/>
        <v>9.5326968631110467E-2</v>
      </c>
      <c r="H8" s="70">
        <f t="shared" si="0"/>
        <v>0.10297696091120891</v>
      </c>
      <c r="I8" s="70">
        <f t="shared" si="0"/>
        <v>0.14220034176906177</v>
      </c>
      <c r="J8" s="70">
        <f t="shared" si="0"/>
        <v>0.16321250433437359</v>
      </c>
      <c r="K8" s="70">
        <f t="shared" si="0"/>
        <v>0.19193567183311969</v>
      </c>
      <c r="L8" s="70">
        <f t="shared" si="0"/>
        <v>0.21484093522422384</v>
      </c>
      <c r="M8" s="70">
        <f t="shared" si="0"/>
        <v>0.2394664153941376</v>
      </c>
      <c r="N8" s="70">
        <f t="shared" si="0"/>
        <v>0.26665090602397323</v>
      </c>
    </row>
    <row r="9" spans="1:14" x14ac:dyDescent="0.35">
      <c r="A9" s="68" t="s">
        <v>114</v>
      </c>
      <c r="B9" s="70">
        <f>(B3/B5)</f>
        <v>1.1734528884315742</v>
      </c>
      <c r="C9" s="70">
        <f t="shared" ref="C9:N9" si="1">C3/C5</f>
        <v>0.89071582793555892</v>
      </c>
      <c r="D9" s="70">
        <f t="shared" si="1"/>
        <v>0.9117180057161004</v>
      </c>
      <c r="E9" s="70">
        <f t="shared" si="1"/>
        <v>0.91078503301540714</v>
      </c>
      <c r="F9" s="70">
        <f t="shared" si="1"/>
        <v>1.0284472049689442</v>
      </c>
      <c r="G9" s="70">
        <f t="shared" si="1"/>
        <v>1.2097082320250088</v>
      </c>
      <c r="H9" s="70">
        <f t="shared" si="1"/>
        <v>1.1226387678000582</v>
      </c>
      <c r="I9" s="70">
        <f t="shared" si="1"/>
        <v>0.96966110387817095</v>
      </c>
      <c r="J9" s="70">
        <f t="shared" si="1"/>
        <v>1.0364933233806088</v>
      </c>
      <c r="K9" s="70">
        <f t="shared" si="1"/>
        <v>0.90324414222858462</v>
      </c>
      <c r="L9" s="70">
        <f t="shared" si="1"/>
        <v>0.86754984504475741</v>
      </c>
      <c r="M9" s="70">
        <f t="shared" si="1"/>
        <v>0.93020597915288172</v>
      </c>
      <c r="N9" s="70">
        <f t="shared" si="1"/>
        <v>0.88892675390766995</v>
      </c>
    </row>
    <row r="10" spans="1:14" x14ac:dyDescent="0.35">
      <c r="A10" s="68" t="s">
        <v>115</v>
      </c>
      <c r="B10" s="70">
        <f>(B5/B6)</f>
        <v>1.6564402240077916</v>
      </c>
      <c r="C10" s="70">
        <f t="shared" ref="C10:N10" si="2">C5/C6</f>
        <v>1.5359693877551019</v>
      </c>
      <c r="D10" s="70">
        <f t="shared" si="2"/>
        <v>1.5379731379731381</v>
      </c>
      <c r="E10" s="70">
        <f t="shared" si="2"/>
        <v>1.6137816717973006</v>
      </c>
      <c r="F10" s="70">
        <f t="shared" si="2"/>
        <v>1.5858944050433412</v>
      </c>
      <c r="G10" s="70">
        <f t="shared" si="2"/>
        <v>1.550350026925148</v>
      </c>
      <c r="H10" s="70">
        <f t="shared" si="2"/>
        <v>1.7232572115384615</v>
      </c>
      <c r="I10" s="70">
        <f t="shared" si="2"/>
        <v>1.7442196531791907</v>
      </c>
      <c r="J10" s="70">
        <f t="shared" si="2"/>
        <v>1.6222361752702157</v>
      </c>
      <c r="K10" s="70">
        <f t="shared" si="2"/>
        <v>1.5012958280657396</v>
      </c>
      <c r="L10" s="70">
        <f t="shared" si="2"/>
        <v>1.573162310895357</v>
      </c>
      <c r="M10" s="70">
        <f t="shared" si="2"/>
        <v>1.5189062194087319</v>
      </c>
      <c r="N10" s="70">
        <f t="shared" si="2"/>
        <v>1.4894171389899331</v>
      </c>
    </row>
    <row r="11" spans="1:14" ht="10.5" x14ac:dyDescent="0.4">
      <c r="A11" s="71" t="s">
        <v>116</v>
      </c>
      <c r="B11" s="72">
        <f>B10*B9*B8</f>
        <v>0.19138056975894813</v>
      </c>
      <c r="C11" s="72">
        <f t="shared" ref="C11:N11" si="3">C10*C9*C8</f>
        <v>-6.3775510204081634E-3</v>
      </c>
      <c r="D11" s="72">
        <f t="shared" si="3"/>
        <v>1.5873015873015872E-2</v>
      </c>
      <c r="E11" s="72">
        <f t="shared" si="3"/>
        <v>1.6339095429789251E-2</v>
      </c>
      <c r="F11" s="72">
        <f t="shared" si="3"/>
        <v>5.2403467297084325E-2</v>
      </c>
      <c r="G11" s="72">
        <f t="shared" si="3"/>
        <v>0.17878298330640818</v>
      </c>
      <c r="H11" s="72">
        <f t="shared" si="3"/>
        <v>0.19921875</v>
      </c>
      <c r="I11" s="72">
        <f t="shared" si="3"/>
        <v>0.24050371593724193</v>
      </c>
      <c r="J11" s="72">
        <f t="shared" si="3"/>
        <v>0.27443153787505048</v>
      </c>
      <c r="K11" s="72">
        <f t="shared" si="3"/>
        <v>0.26027180783817955</v>
      </c>
      <c r="L11" s="72">
        <f t="shared" si="3"/>
        <v>0.29321420351112137</v>
      </c>
      <c r="M11" s="72">
        <f t="shared" si="3"/>
        <v>0.3383410559289956</v>
      </c>
      <c r="N11" s="72">
        <f t="shared" si="3"/>
        <v>0.35304119786820065</v>
      </c>
    </row>
    <row r="12" spans="1:14" ht="10.5" x14ac:dyDescent="0.4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4"/>
      <c r="L12" s="74"/>
      <c r="M12" s="74"/>
      <c r="N12" s="74"/>
    </row>
    <row r="13" spans="1:14" x14ac:dyDescent="0.35">
      <c r="A13" s="451"/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1"/>
      <c r="M13" s="451"/>
      <c r="N13" s="451"/>
    </row>
    <row r="15" spans="1:14" x14ac:dyDescent="0.35">
      <c r="I15" s="87"/>
      <c r="J15" s="87"/>
      <c r="K15" s="87"/>
      <c r="L15" s="87"/>
      <c r="M15" s="87"/>
      <c r="N15" s="87"/>
    </row>
  </sheetData>
  <mergeCells count="2">
    <mergeCell ref="A1:N1"/>
    <mergeCell ref="A13:N13"/>
  </mergeCells>
  <pageMargins left="0.25" right="0.25" top="0.75" bottom="0.75" header="0.3" footer="0.3"/>
  <pageSetup orientation="landscape" r:id="rId1"/>
  <headerFooter>
    <oddHeader>&amp;C&amp;20DuPont Analysis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8"/>
  <sheetViews>
    <sheetView view="pageLayout" zoomScaleNormal="100" workbookViewId="0">
      <selection activeCell="C15" sqref="C15"/>
    </sheetView>
  </sheetViews>
  <sheetFormatPr baseColWidth="10" defaultColWidth="8.83984375" defaultRowHeight="10.199999999999999" x14ac:dyDescent="0.35"/>
  <cols>
    <col min="1" max="1" width="20.68359375" style="62" bestFit="1" customWidth="1"/>
    <col min="2" max="14" width="8.578125" style="62" customWidth="1"/>
    <col min="15" max="16" width="9" style="62" bestFit="1" customWidth="1"/>
    <col min="17" max="18" width="9.26171875" style="62" bestFit="1" customWidth="1"/>
    <col min="19" max="16384" width="8.83984375" style="62"/>
  </cols>
  <sheetData>
    <row r="1" spans="1:18" ht="10.5" x14ac:dyDescent="0.4">
      <c r="A1" s="452"/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</row>
    <row r="2" spans="1:18" ht="10.5" x14ac:dyDescent="0.4">
      <c r="A2" s="63" t="s">
        <v>43</v>
      </c>
      <c r="B2" s="64">
        <v>36799</v>
      </c>
      <c r="C2" s="64">
        <v>37163</v>
      </c>
      <c r="D2" s="64">
        <v>37527</v>
      </c>
      <c r="E2" s="64">
        <v>37891</v>
      </c>
      <c r="F2" s="64">
        <v>38255</v>
      </c>
      <c r="G2" s="64">
        <v>38619</v>
      </c>
      <c r="H2" s="64">
        <v>38990</v>
      </c>
      <c r="I2" s="64">
        <v>39354</v>
      </c>
      <c r="J2" s="64">
        <v>39718</v>
      </c>
      <c r="K2" s="65">
        <v>40082</v>
      </c>
      <c r="L2" s="65">
        <v>40446</v>
      </c>
      <c r="M2" s="65">
        <v>40810</v>
      </c>
      <c r="N2" s="65">
        <v>41181</v>
      </c>
    </row>
    <row r="3" spans="1:18" x14ac:dyDescent="0.35">
      <c r="A3" s="75" t="s">
        <v>44</v>
      </c>
      <c r="B3" s="67">
        <v>7983</v>
      </c>
      <c r="C3" s="67">
        <v>5363</v>
      </c>
      <c r="D3" s="67">
        <v>5742</v>
      </c>
      <c r="E3" s="67">
        <v>6207</v>
      </c>
      <c r="F3" s="67">
        <v>8279</v>
      </c>
      <c r="G3" s="67">
        <v>13931</v>
      </c>
      <c r="H3" s="67">
        <v>19315</v>
      </c>
      <c r="I3" s="67">
        <v>24578</v>
      </c>
      <c r="J3" s="67">
        <v>37491</v>
      </c>
      <c r="K3" s="67">
        <v>42905</v>
      </c>
      <c r="L3" s="67">
        <v>65225</v>
      </c>
      <c r="M3" s="67">
        <v>108249</v>
      </c>
      <c r="N3" s="67">
        <v>156508</v>
      </c>
    </row>
    <row r="4" spans="1:18" x14ac:dyDescent="0.35">
      <c r="A4" s="75" t="s">
        <v>45</v>
      </c>
      <c r="B4" s="76">
        <v>5817</v>
      </c>
      <c r="C4" s="76">
        <v>4128</v>
      </c>
      <c r="D4" s="76">
        <v>4139</v>
      </c>
      <c r="E4" s="76">
        <v>4499</v>
      </c>
      <c r="F4" s="76">
        <v>6022</v>
      </c>
      <c r="G4" s="76">
        <v>9889</v>
      </c>
      <c r="H4" s="76">
        <v>13717</v>
      </c>
      <c r="I4" s="76">
        <v>16426</v>
      </c>
      <c r="J4" s="76">
        <v>24294</v>
      </c>
      <c r="K4" s="76">
        <v>25683</v>
      </c>
      <c r="L4" s="76">
        <v>39541</v>
      </c>
      <c r="M4" s="76">
        <v>64431</v>
      </c>
      <c r="N4" s="76">
        <v>87846</v>
      </c>
      <c r="R4" s="62" t="s">
        <v>129</v>
      </c>
    </row>
    <row r="5" spans="1:18" x14ac:dyDescent="0.35">
      <c r="A5" s="75" t="s">
        <v>11</v>
      </c>
      <c r="B5" s="67">
        <v>953</v>
      </c>
      <c r="C5" s="67">
        <v>466</v>
      </c>
      <c r="D5" s="67">
        <v>565</v>
      </c>
      <c r="E5" s="67">
        <v>766</v>
      </c>
      <c r="F5" s="67">
        <v>774</v>
      </c>
      <c r="G5" s="67">
        <v>895</v>
      </c>
      <c r="H5" s="67">
        <v>1252</v>
      </c>
      <c r="I5" s="67">
        <v>1637</v>
      </c>
      <c r="J5" s="67">
        <v>2422</v>
      </c>
      <c r="K5" s="67">
        <v>3361</v>
      </c>
      <c r="L5" s="67">
        <v>5510</v>
      </c>
      <c r="M5" s="67">
        <v>5369</v>
      </c>
      <c r="N5" s="67">
        <v>10930</v>
      </c>
      <c r="R5" s="62" t="s">
        <v>130</v>
      </c>
    </row>
    <row r="6" spans="1:18" x14ac:dyDescent="0.35">
      <c r="A6" s="75" t="s">
        <v>117</v>
      </c>
      <c r="B6" s="77" t="s">
        <v>9</v>
      </c>
      <c r="C6" s="78">
        <f>(B5+C5)/2</f>
        <v>709.5</v>
      </c>
      <c r="D6" s="78">
        <f>(C5+D5)/2</f>
        <v>515.5</v>
      </c>
      <c r="E6" s="78">
        <f t="shared" ref="E6:H6" si="0">(D5+E5)/2</f>
        <v>665.5</v>
      </c>
      <c r="F6" s="78">
        <f t="shared" si="0"/>
        <v>770</v>
      </c>
      <c r="G6" s="78">
        <f t="shared" si="0"/>
        <v>834.5</v>
      </c>
      <c r="H6" s="78">
        <f t="shared" si="0"/>
        <v>1073.5</v>
      </c>
      <c r="I6" s="78">
        <f t="shared" ref="I6:N6" si="1">(H5+I5)/2</f>
        <v>1444.5</v>
      </c>
      <c r="J6" s="78">
        <f t="shared" si="1"/>
        <v>2029.5</v>
      </c>
      <c r="K6" s="78">
        <f t="shared" si="1"/>
        <v>2891.5</v>
      </c>
      <c r="L6" s="78">
        <f t="shared" si="1"/>
        <v>4435.5</v>
      </c>
      <c r="M6" s="78">
        <f t="shared" si="1"/>
        <v>5439.5</v>
      </c>
      <c r="N6" s="78">
        <f t="shared" si="1"/>
        <v>8149.5</v>
      </c>
    </row>
    <row r="7" spans="1:18" x14ac:dyDescent="0.35">
      <c r="A7" s="75" t="s">
        <v>14</v>
      </c>
      <c r="B7" s="67">
        <v>33</v>
      </c>
      <c r="C7" s="67">
        <v>11</v>
      </c>
      <c r="D7" s="67">
        <v>45</v>
      </c>
      <c r="E7" s="67">
        <v>56</v>
      </c>
      <c r="F7" s="67">
        <v>101</v>
      </c>
      <c r="G7" s="67">
        <v>165</v>
      </c>
      <c r="H7" s="67">
        <v>270</v>
      </c>
      <c r="I7" s="67">
        <v>346</v>
      </c>
      <c r="J7" s="67">
        <v>509</v>
      </c>
      <c r="K7" s="67">
        <v>455</v>
      </c>
      <c r="L7" s="67">
        <v>1051</v>
      </c>
      <c r="M7" s="67">
        <v>776</v>
      </c>
      <c r="N7" s="67">
        <v>791</v>
      </c>
      <c r="R7" s="79" t="s">
        <v>120</v>
      </c>
    </row>
    <row r="8" spans="1:18" x14ac:dyDescent="0.35">
      <c r="A8" s="75" t="s">
        <v>118</v>
      </c>
      <c r="B8" s="77" t="s">
        <v>9</v>
      </c>
      <c r="C8" s="78">
        <f>(C7+B7)/2</f>
        <v>22</v>
      </c>
      <c r="D8" s="78">
        <f t="shared" ref="D8" si="2">(D7+C7)/2</f>
        <v>28</v>
      </c>
      <c r="E8" s="78">
        <f t="shared" ref="E8" si="3">(E7+D7)/2</f>
        <v>50.5</v>
      </c>
      <c r="F8" s="78">
        <f t="shared" ref="F8" si="4">(F7+E7)/2</f>
        <v>78.5</v>
      </c>
      <c r="G8" s="78">
        <f t="shared" ref="G8" si="5">(G7+F7)/2</f>
        <v>133</v>
      </c>
      <c r="H8" s="78">
        <f t="shared" ref="H8" si="6">(H7+G7)/2</f>
        <v>217.5</v>
      </c>
      <c r="I8" s="78">
        <f>(I7+H7)/2</f>
        <v>308</v>
      </c>
      <c r="J8" s="78">
        <f t="shared" ref="J8" si="7">(J7+I7)/2</f>
        <v>427.5</v>
      </c>
      <c r="K8" s="78">
        <f t="shared" ref="K8" si="8">(K7+J7)/2</f>
        <v>482</v>
      </c>
      <c r="L8" s="78">
        <f t="shared" ref="L8" si="9">(L7+K7)/2</f>
        <v>753</v>
      </c>
      <c r="M8" s="78">
        <f t="shared" ref="M8" si="10">(M7+L7)/2</f>
        <v>913.5</v>
      </c>
      <c r="N8" s="78">
        <f t="shared" ref="N8" si="11">(N7+M7)/2</f>
        <v>783.5</v>
      </c>
      <c r="R8" s="62" t="s">
        <v>122</v>
      </c>
    </row>
    <row r="9" spans="1:18" x14ac:dyDescent="0.35">
      <c r="A9" s="75" t="s">
        <v>26</v>
      </c>
      <c r="B9" s="67">
        <v>1157</v>
      </c>
      <c r="C9" s="67">
        <v>801</v>
      </c>
      <c r="D9" s="67">
        <v>911</v>
      </c>
      <c r="E9" s="67">
        <v>1154</v>
      </c>
      <c r="F9" s="67">
        <v>1451</v>
      </c>
      <c r="G9" s="67">
        <v>1779</v>
      </c>
      <c r="H9" s="67">
        <v>3390</v>
      </c>
      <c r="I9" s="67">
        <v>4970</v>
      </c>
      <c r="J9" s="67">
        <v>5520</v>
      </c>
      <c r="K9" s="67">
        <v>5601</v>
      </c>
      <c r="L9" s="67">
        <v>12015</v>
      </c>
      <c r="M9" s="67">
        <v>14632</v>
      </c>
      <c r="N9" s="67">
        <v>21175</v>
      </c>
      <c r="R9" s="62" t="s">
        <v>123</v>
      </c>
    </row>
    <row r="10" spans="1:18" x14ac:dyDescent="0.35">
      <c r="A10" s="75" t="s">
        <v>119</v>
      </c>
      <c r="B10" s="77" t="s">
        <v>9</v>
      </c>
      <c r="C10" s="80">
        <f>(C9+B9)/2</f>
        <v>979</v>
      </c>
      <c r="D10" s="80">
        <f t="shared" ref="D10" si="12">(D9+C9)/2</f>
        <v>856</v>
      </c>
      <c r="E10" s="80">
        <f t="shared" ref="E10" si="13">(E9+D9)/2</f>
        <v>1032.5</v>
      </c>
      <c r="F10" s="80">
        <f t="shared" ref="F10" si="14">(F9+E9)/2</f>
        <v>1302.5</v>
      </c>
      <c r="G10" s="80">
        <f t="shared" ref="G10" si="15">(G9+F9)/2</f>
        <v>1615</v>
      </c>
      <c r="H10" s="80">
        <f t="shared" ref="H10" si="16">(H9+G9)/2</f>
        <v>2584.5</v>
      </c>
      <c r="I10" s="80">
        <f>(I9+H9)/2</f>
        <v>4180</v>
      </c>
      <c r="J10" s="80">
        <f t="shared" ref="J10" si="17">(J9+I9)/2</f>
        <v>5245</v>
      </c>
      <c r="K10" s="80">
        <f t="shared" ref="K10" si="18">(K9+J9)/2</f>
        <v>5560.5</v>
      </c>
      <c r="L10" s="80">
        <f t="shared" ref="L10" si="19">(L9+K9)/2</f>
        <v>8808</v>
      </c>
      <c r="M10" s="80">
        <f t="shared" ref="M10" si="20">(M9+L9)/2</f>
        <v>13323.5</v>
      </c>
      <c r="N10" s="80">
        <f t="shared" ref="N10" si="21">(N9+M9)/2</f>
        <v>17903.5</v>
      </c>
      <c r="R10" s="62" t="s">
        <v>125</v>
      </c>
    </row>
    <row r="11" spans="1:18" x14ac:dyDescent="0.35">
      <c r="A11" s="81" t="s">
        <v>121</v>
      </c>
      <c r="B11" s="82">
        <v>366</v>
      </c>
      <c r="C11" s="82">
        <v>365</v>
      </c>
      <c r="D11" s="82">
        <v>365</v>
      </c>
      <c r="E11" s="82">
        <v>365</v>
      </c>
      <c r="F11" s="82">
        <v>366</v>
      </c>
      <c r="G11" s="82">
        <v>365</v>
      </c>
      <c r="H11" s="82">
        <v>365</v>
      </c>
      <c r="I11" s="82">
        <v>365</v>
      </c>
      <c r="J11" s="82">
        <v>366</v>
      </c>
      <c r="K11" s="82">
        <v>365</v>
      </c>
      <c r="L11" s="82">
        <v>365</v>
      </c>
      <c r="M11" s="82">
        <v>365</v>
      </c>
      <c r="N11" s="82">
        <v>366</v>
      </c>
    </row>
    <row r="12" spans="1:18" x14ac:dyDescent="0.35">
      <c r="A12" s="81"/>
      <c r="B12" s="82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</row>
    <row r="13" spans="1:18" x14ac:dyDescent="0.35">
      <c r="A13" s="81" t="s">
        <v>124</v>
      </c>
      <c r="B13" s="77" t="s">
        <v>9</v>
      </c>
      <c r="C13" s="386">
        <f>C8/C4*365</f>
        <v>1.9452519379844961</v>
      </c>
      <c r="D13" s="386">
        <f>D8/D4*365</f>
        <v>2.4691954578400579</v>
      </c>
      <c r="E13" s="386">
        <f t="shared" ref="E13:H13" si="22">E8/E4*365</f>
        <v>4.0970215603467439</v>
      </c>
      <c r="F13" s="386">
        <f t="shared" si="22"/>
        <v>4.7579707738292925</v>
      </c>
      <c r="G13" s="386">
        <f t="shared" si="22"/>
        <v>4.9089897866316106</v>
      </c>
      <c r="H13" s="386">
        <f t="shared" si="22"/>
        <v>5.7875264270613105</v>
      </c>
      <c r="I13" s="386">
        <f t="shared" ref="I13:M13" si="23">I8/I4*365</f>
        <v>6.8440277608669184</v>
      </c>
      <c r="J13" s="386">
        <f t="shared" si="23"/>
        <v>6.4228821931341065</v>
      </c>
      <c r="K13" s="386">
        <f t="shared" si="23"/>
        <v>6.8500564575789422</v>
      </c>
      <c r="L13" s="386">
        <f t="shared" si="23"/>
        <v>6.9508864216888799</v>
      </c>
      <c r="M13" s="386">
        <f t="shared" si="23"/>
        <v>5.1749546025981283</v>
      </c>
      <c r="N13" s="386">
        <f>N8/N4*366</f>
        <v>3.2643603578990503</v>
      </c>
    </row>
    <row r="14" spans="1:18" x14ac:dyDescent="0.35">
      <c r="A14" s="81" t="s">
        <v>126</v>
      </c>
      <c r="B14" s="77" t="s">
        <v>9</v>
      </c>
      <c r="C14" s="386">
        <f>C6/(C3/C11)</f>
        <v>48.287805332836101</v>
      </c>
      <c r="D14" s="386">
        <f>D6/(D3/D11)</f>
        <v>32.768634622082899</v>
      </c>
      <c r="E14" s="386">
        <f t="shared" ref="E14:H14" si="24">E6/(E3/E11)</f>
        <v>39.134444981472534</v>
      </c>
      <c r="F14" s="386">
        <f t="shared" si="24"/>
        <v>34.040343036598621</v>
      </c>
      <c r="G14" s="386">
        <f t="shared" si="24"/>
        <v>21.864367238532768</v>
      </c>
      <c r="H14" s="386">
        <f t="shared" si="24"/>
        <v>20.286176546725343</v>
      </c>
      <c r="I14" s="386">
        <f t="shared" ref="I14:N14" si="25">I6/(I3/I11)</f>
        <v>21.451806493612175</v>
      </c>
      <c r="J14" s="386">
        <f t="shared" si="25"/>
        <v>19.812675042010085</v>
      </c>
      <c r="K14" s="386">
        <f t="shared" si="25"/>
        <v>24.598473371401933</v>
      </c>
      <c r="L14" s="386">
        <f t="shared" si="25"/>
        <v>24.821119202759675</v>
      </c>
      <c r="M14" s="386">
        <f t="shared" si="25"/>
        <v>18.341208694768543</v>
      </c>
      <c r="N14" s="386">
        <f t="shared" si="25"/>
        <v>19.057920361898436</v>
      </c>
    </row>
    <row r="15" spans="1:18" x14ac:dyDescent="0.35">
      <c r="A15" s="81" t="s">
        <v>127</v>
      </c>
      <c r="B15" s="77" t="s">
        <v>9</v>
      </c>
      <c r="C15" s="386">
        <f>C10/(C4/C11)</f>
        <v>86.563711240310084</v>
      </c>
      <c r="D15" s="386">
        <f>D10/(D4/D11)</f>
        <v>75.486832568253206</v>
      </c>
      <c r="E15" s="386">
        <f t="shared" ref="E15:H15" si="26">E10/(E4/E11)</f>
        <v>83.76583685263391</v>
      </c>
      <c r="F15" s="386">
        <f t="shared" si="26"/>
        <v>79.162238458983737</v>
      </c>
      <c r="G15" s="386">
        <f t="shared" si="26"/>
        <v>59.609161694812414</v>
      </c>
      <c r="H15" s="386">
        <f t="shared" si="26"/>
        <v>68.771779543631979</v>
      </c>
      <c r="I15" s="386">
        <f t="shared" ref="I15:N15" si="27">I10/(I4/I11)</f>
        <v>92.883233897479599</v>
      </c>
      <c r="J15" s="386">
        <f t="shared" si="27"/>
        <v>79.018276117559893</v>
      </c>
      <c r="K15" s="386">
        <f t="shared" si="27"/>
        <v>79.024354631468285</v>
      </c>
      <c r="L15" s="386">
        <f t="shared" si="27"/>
        <v>81.305986191548016</v>
      </c>
      <c r="M15" s="386">
        <f t="shared" si="27"/>
        <v>75.477293538824483</v>
      </c>
      <c r="N15" s="386">
        <f t="shared" si="27"/>
        <v>74.592821528584111</v>
      </c>
    </row>
    <row r="16" spans="1:18" ht="10.5" x14ac:dyDescent="0.4">
      <c r="A16" s="83" t="s">
        <v>128</v>
      </c>
      <c r="B16" s="84" t="s">
        <v>9</v>
      </c>
      <c r="C16" s="387">
        <f t="shared" ref="C16:D16" si="28">C13+C14-C15</f>
        <v>-36.330653969489489</v>
      </c>
      <c r="D16" s="387">
        <f t="shared" si="28"/>
        <v>-40.249002488330248</v>
      </c>
      <c r="E16" s="387">
        <f t="shared" ref="E16:H16" si="29">E13+E14-E15</f>
        <v>-40.53437031081463</v>
      </c>
      <c r="F16" s="387">
        <f t="shared" si="29"/>
        <v>-40.363924648555823</v>
      </c>
      <c r="G16" s="387">
        <f t="shared" si="29"/>
        <v>-32.835804669648034</v>
      </c>
      <c r="H16" s="387">
        <f t="shared" si="29"/>
        <v>-42.698076569845327</v>
      </c>
      <c r="I16" s="387">
        <f t="shared" ref="I16:N16" si="30">I13+I14-I15</f>
        <v>-64.587399643000509</v>
      </c>
      <c r="J16" s="387">
        <f t="shared" si="30"/>
        <v>-52.782718882415701</v>
      </c>
      <c r="K16" s="387">
        <f t="shared" si="30"/>
        <v>-47.575824802487411</v>
      </c>
      <c r="L16" s="387">
        <f t="shared" si="30"/>
        <v>-49.533980567099462</v>
      </c>
      <c r="M16" s="387">
        <f t="shared" si="30"/>
        <v>-51.961130241457809</v>
      </c>
      <c r="N16" s="387">
        <f t="shared" si="30"/>
        <v>-52.27054080878662</v>
      </c>
    </row>
    <row r="17" spans="1:14" ht="10.5" x14ac:dyDescent="0.4">
      <c r="A17" s="63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</row>
    <row r="18" spans="1:14" ht="10.5" x14ac:dyDescent="0.4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</row>
  </sheetData>
  <mergeCells count="1">
    <mergeCell ref="A1:N1"/>
  </mergeCells>
  <pageMargins left="0.25" right="0.25" top="0.75" bottom="0.75" header="0.3" footer="0.3"/>
  <pageSetup orientation="landscape" r:id="rId1"/>
  <headerFooter>
    <oddHeader>&amp;C&amp;20Cash Conversion Cycle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4"/>
  <sheetViews>
    <sheetView view="pageLayout" zoomScaleNormal="100" workbookViewId="0">
      <selection activeCell="E20" sqref="E20"/>
    </sheetView>
  </sheetViews>
  <sheetFormatPr baseColWidth="10" defaultColWidth="8.83984375" defaultRowHeight="12" customHeight="1" x14ac:dyDescent="0.35"/>
  <cols>
    <col min="1" max="1" width="27.26171875" style="62" customWidth="1"/>
    <col min="2" max="8" width="9" style="62" customWidth="1"/>
    <col min="9" max="9" width="11.15625" style="62" customWidth="1"/>
    <col min="10" max="16384" width="8.83984375" style="62"/>
  </cols>
  <sheetData>
    <row r="1" spans="1:10" ht="12" customHeight="1" x14ac:dyDescent="0.4">
      <c r="A1" s="125" t="s">
        <v>195</v>
      </c>
      <c r="B1" s="120"/>
      <c r="C1" s="120"/>
      <c r="D1" s="120"/>
      <c r="E1" s="120"/>
      <c r="F1" s="120"/>
      <c r="G1" s="120"/>
      <c r="H1" s="120"/>
      <c r="I1" s="120"/>
    </row>
    <row r="2" spans="1:10" ht="12" customHeight="1" x14ac:dyDescent="0.4">
      <c r="A2" s="125" t="s">
        <v>194</v>
      </c>
      <c r="B2" s="132">
        <v>0.1</v>
      </c>
      <c r="C2" s="120"/>
      <c r="D2" s="137" t="s">
        <v>193</v>
      </c>
      <c r="E2" s="120"/>
      <c r="F2" s="136">
        <v>5.6338028169014086E-2</v>
      </c>
      <c r="G2" s="120"/>
      <c r="H2" s="120"/>
      <c r="I2" s="120"/>
    </row>
    <row r="3" spans="1:10" ht="12" customHeight="1" x14ac:dyDescent="0.35">
      <c r="A3" s="118"/>
      <c r="B3" s="120"/>
      <c r="C3" s="120"/>
      <c r="D3" s="120"/>
      <c r="E3" s="120"/>
      <c r="F3" s="120"/>
      <c r="G3" s="120"/>
      <c r="H3" s="120"/>
      <c r="I3" s="120"/>
    </row>
    <row r="4" spans="1:10" ht="12" customHeight="1" x14ac:dyDescent="0.4">
      <c r="A4" s="118"/>
      <c r="B4" s="135" t="s">
        <v>192</v>
      </c>
      <c r="C4" s="135" t="s">
        <v>191</v>
      </c>
      <c r="D4" s="134">
        <v>2013</v>
      </c>
      <c r="E4" s="134">
        <v>2014</v>
      </c>
      <c r="F4" s="134">
        <v>2015</v>
      </c>
      <c r="G4" s="134">
        <v>2016</v>
      </c>
      <c r="H4" s="134">
        <v>2017</v>
      </c>
      <c r="I4" s="120"/>
      <c r="J4" s="120"/>
    </row>
    <row r="5" spans="1:10" ht="12" customHeight="1" x14ac:dyDescent="0.4">
      <c r="A5" s="118" t="s">
        <v>190</v>
      </c>
      <c r="B5" s="133">
        <v>0.11943159455107726</v>
      </c>
      <c r="C5" s="133"/>
      <c r="D5" s="132"/>
      <c r="E5" s="132"/>
      <c r="F5" s="132"/>
      <c r="G5" s="132"/>
      <c r="H5" s="132"/>
      <c r="I5" s="120"/>
      <c r="J5" s="120"/>
    </row>
    <row r="6" spans="1:10" ht="12" customHeight="1" x14ac:dyDescent="0.4">
      <c r="A6" s="118" t="s">
        <v>189</v>
      </c>
      <c r="B6" s="133">
        <v>9.0043940532295152E-3</v>
      </c>
      <c r="C6" s="133"/>
      <c r="D6" s="132"/>
      <c r="E6" s="132"/>
      <c r="F6" s="132"/>
      <c r="G6" s="132"/>
      <c r="H6" s="132"/>
      <c r="I6" s="120"/>
      <c r="J6" s="120"/>
    </row>
    <row r="7" spans="1:10" ht="12" customHeight="1" x14ac:dyDescent="0.4">
      <c r="A7" s="118" t="s">
        <v>188</v>
      </c>
      <c r="B7" s="133">
        <v>0.56128760191172333</v>
      </c>
      <c r="C7" s="133"/>
      <c r="D7" s="132"/>
      <c r="E7" s="132"/>
      <c r="F7" s="132"/>
      <c r="G7" s="132"/>
      <c r="H7" s="132"/>
      <c r="I7" s="120"/>
      <c r="J7" s="120"/>
    </row>
    <row r="8" spans="1:10" ht="12" customHeight="1" x14ac:dyDescent="0.4">
      <c r="A8" s="118" t="s">
        <v>187</v>
      </c>
      <c r="B8" s="133">
        <v>2.1602729572929181E-2</v>
      </c>
      <c r="C8" s="133"/>
      <c r="D8" s="132"/>
      <c r="E8" s="132"/>
      <c r="F8" s="132"/>
      <c r="G8" s="132"/>
      <c r="H8" s="132"/>
      <c r="I8" s="120"/>
      <c r="J8" s="120"/>
    </row>
    <row r="9" spans="1:10" ht="12" customHeight="1" x14ac:dyDescent="0.4">
      <c r="A9" s="118" t="s">
        <v>186</v>
      </c>
      <c r="B9" s="133">
        <v>6.4150075395506934E-2</v>
      </c>
      <c r="C9" s="133"/>
      <c r="D9" s="132"/>
      <c r="E9" s="132"/>
      <c r="F9" s="132"/>
      <c r="G9" s="132"/>
      <c r="H9" s="132"/>
      <c r="I9" s="120"/>
      <c r="J9" s="120"/>
    </row>
    <row r="10" spans="1:10" ht="12" customHeight="1" x14ac:dyDescent="0.4">
      <c r="A10" s="118" t="s">
        <v>185</v>
      </c>
      <c r="B10" s="133">
        <v>0.22935017450556755</v>
      </c>
      <c r="C10" s="133"/>
      <c r="D10" s="132"/>
      <c r="E10" s="132"/>
      <c r="F10" s="132"/>
      <c r="G10" s="132"/>
      <c r="H10" s="132"/>
      <c r="I10" s="120"/>
      <c r="J10" s="120"/>
    </row>
    <row r="11" spans="1:10" ht="12" customHeight="1" x14ac:dyDescent="0.4">
      <c r="A11" s="118" t="s">
        <v>184</v>
      </c>
      <c r="B11" s="133">
        <v>0.17589873187168453</v>
      </c>
      <c r="C11" s="133"/>
      <c r="D11" s="132"/>
      <c r="E11" s="132"/>
      <c r="F11" s="132"/>
      <c r="G11" s="132"/>
      <c r="H11" s="132"/>
      <c r="I11" s="120"/>
      <c r="J11" s="120"/>
    </row>
    <row r="12" spans="1:10" ht="12" customHeight="1" x14ac:dyDescent="0.4">
      <c r="A12" s="118"/>
      <c r="B12" s="118"/>
      <c r="C12" s="133"/>
      <c r="D12" s="132"/>
      <c r="E12" s="132"/>
      <c r="F12" s="132"/>
      <c r="G12" s="132"/>
      <c r="H12" s="132"/>
      <c r="I12" s="120"/>
      <c r="J12" s="120"/>
    </row>
    <row r="13" spans="1:10" ht="12" customHeight="1" x14ac:dyDescent="0.4">
      <c r="A13" s="127" t="s">
        <v>42</v>
      </c>
      <c r="B13" s="118"/>
      <c r="C13" s="122"/>
      <c r="D13" s="122"/>
      <c r="E13" s="122"/>
      <c r="F13" s="122"/>
      <c r="G13" s="122"/>
      <c r="H13" s="122"/>
      <c r="I13" s="118"/>
      <c r="J13" s="120"/>
    </row>
    <row r="14" spans="1:10" ht="12" customHeight="1" x14ac:dyDescent="0.35">
      <c r="A14" s="118" t="s">
        <v>183</v>
      </c>
      <c r="B14" s="124">
        <v>156508</v>
      </c>
      <c r="C14" s="124"/>
      <c r="D14" s="124"/>
      <c r="E14" s="124"/>
      <c r="F14" s="124"/>
      <c r="G14" s="124"/>
      <c r="H14" s="124"/>
      <c r="I14" s="118"/>
      <c r="J14" s="120"/>
    </row>
    <row r="15" spans="1:10" ht="12" customHeight="1" x14ac:dyDescent="0.35">
      <c r="A15" s="118" t="s">
        <v>182</v>
      </c>
      <c r="B15" s="124">
        <v>87846</v>
      </c>
      <c r="C15" s="124"/>
      <c r="D15" s="124"/>
      <c r="E15" s="124"/>
      <c r="F15" s="124"/>
      <c r="G15" s="124"/>
      <c r="H15" s="124"/>
      <c r="I15" s="118"/>
      <c r="J15" s="131"/>
    </row>
    <row r="16" spans="1:10" ht="12" customHeight="1" x14ac:dyDescent="0.35">
      <c r="A16" s="118" t="s">
        <v>181</v>
      </c>
      <c r="B16" s="124">
        <v>3381</v>
      </c>
      <c r="C16" s="124"/>
      <c r="D16" s="124"/>
      <c r="E16" s="124"/>
      <c r="F16" s="124"/>
      <c r="G16" s="124"/>
      <c r="H16" s="124"/>
      <c r="I16" s="118"/>
      <c r="J16" s="120"/>
    </row>
    <row r="17" spans="1:15" ht="12" customHeight="1" x14ac:dyDescent="0.35">
      <c r="A17" s="118" t="s">
        <v>180</v>
      </c>
      <c r="B17" s="124">
        <v>10040</v>
      </c>
      <c r="C17" s="124"/>
      <c r="D17" s="124"/>
      <c r="E17" s="124"/>
      <c r="F17" s="124"/>
      <c r="G17" s="124"/>
      <c r="H17" s="124"/>
      <c r="I17" s="118"/>
      <c r="J17" s="120"/>
    </row>
    <row r="18" spans="1:15" ht="12" customHeight="1" x14ac:dyDescent="0.35">
      <c r="A18" s="118" t="s">
        <v>133</v>
      </c>
      <c r="B18" s="124">
        <v>55241</v>
      </c>
      <c r="C18" s="124"/>
      <c r="D18" s="124"/>
      <c r="E18" s="124"/>
      <c r="F18" s="124"/>
      <c r="G18" s="124"/>
      <c r="H18" s="124"/>
      <c r="I18" s="118"/>
      <c r="J18" s="120"/>
    </row>
    <row r="19" spans="1:15" ht="12" customHeight="1" x14ac:dyDescent="0.35">
      <c r="A19" s="118" t="s">
        <v>179</v>
      </c>
      <c r="B19" s="124">
        <v>1088</v>
      </c>
      <c r="C19" s="124"/>
      <c r="D19" s="124"/>
      <c r="E19" s="124"/>
      <c r="F19" s="124"/>
      <c r="G19" s="124"/>
      <c r="H19" s="124"/>
      <c r="I19" s="118"/>
      <c r="J19" s="120"/>
    </row>
    <row r="20" spans="1:15" ht="12" customHeight="1" x14ac:dyDescent="0.35">
      <c r="A20" s="118" t="s">
        <v>178</v>
      </c>
      <c r="B20" s="124">
        <v>54153</v>
      </c>
      <c r="C20" s="124"/>
      <c r="D20" s="124"/>
      <c r="E20" s="124"/>
      <c r="F20" s="124"/>
      <c r="G20" s="124"/>
      <c r="H20" s="124"/>
      <c r="I20" s="118"/>
      <c r="J20" s="120"/>
    </row>
    <row r="21" spans="1:15" ht="12" customHeight="1" x14ac:dyDescent="0.35">
      <c r="A21" s="118" t="s">
        <v>177</v>
      </c>
      <c r="B21" s="124">
        <v>12420</v>
      </c>
      <c r="C21" s="124"/>
      <c r="D21" s="124"/>
      <c r="E21" s="124"/>
      <c r="F21" s="124"/>
      <c r="G21" s="124"/>
      <c r="H21" s="124"/>
      <c r="I21" s="118"/>
      <c r="J21" s="120"/>
    </row>
    <row r="22" spans="1:15" ht="12" customHeight="1" x14ac:dyDescent="0.35">
      <c r="A22" s="118" t="s">
        <v>176</v>
      </c>
      <c r="B22" s="124">
        <v>41733</v>
      </c>
      <c r="C22" s="124"/>
      <c r="D22" s="124"/>
      <c r="E22" s="124"/>
      <c r="F22" s="124"/>
      <c r="G22" s="124"/>
      <c r="H22" s="124"/>
      <c r="I22" s="118"/>
      <c r="J22" s="120"/>
      <c r="K22" s="120"/>
      <c r="L22" s="120"/>
      <c r="M22" s="120"/>
      <c r="N22" s="120"/>
      <c r="O22" s="120"/>
    </row>
    <row r="23" spans="1:15" ht="12" customHeight="1" x14ac:dyDescent="0.35">
      <c r="A23" s="118"/>
      <c r="B23" s="118"/>
      <c r="C23" s="126"/>
      <c r="D23" s="126"/>
      <c r="E23" s="126"/>
      <c r="F23" s="126"/>
      <c r="G23" s="126"/>
      <c r="H23" s="126"/>
      <c r="I23" s="118"/>
      <c r="J23" s="120"/>
    </row>
    <row r="24" spans="1:15" ht="12" customHeight="1" x14ac:dyDescent="0.35">
      <c r="A24" s="118" t="s">
        <v>175</v>
      </c>
      <c r="B24" s="130">
        <v>50.772977941176471</v>
      </c>
      <c r="C24" s="130"/>
      <c r="D24" s="130"/>
      <c r="E24" s="130"/>
      <c r="F24" s="130"/>
      <c r="G24" s="130"/>
      <c r="H24" s="130"/>
      <c r="I24" s="118"/>
      <c r="J24" s="120"/>
    </row>
    <row r="25" spans="1:15" ht="12" customHeight="1" x14ac:dyDescent="0.35">
      <c r="A25" s="118"/>
      <c r="B25" s="130"/>
      <c r="C25" s="130"/>
      <c r="D25" s="130"/>
      <c r="E25" s="130"/>
      <c r="F25" s="130"/>
      <c r="G25" s="130"/>
      <c r="H25" s="130"/>
      <c r="I25" s="118"/>
      <c r="J25" s="120"/>
    </row>
    <row r="26" spans="1:15" ht="12" customHeight="1" x14ac:dyDescent="0.4">
      <c r="A26" s="127" t="s">
        <v>0</v>
      </c>
      <c r="B26" s="118"/>
      <c r="C26" s="118"/>
      <c r="D26" s="118"/>
      <c r="E26" s="118"/>
      <c r="F26" s="118"/>
      <c r="G26" s="118"/>
      <c r="H26" s="118"/>
      <c r="I26" s="118"/>
      <c r="J26" s="120"/>
    </row>
    <row r="27" spans="1:15" ht="12" customHeight="1" x14ac:dyDescent="0.35">
      <c r="A27" s="118" t="s">
        <v>174</v>
      </c>
      <c r="B27" s="124">
        <v>121251</v>
      </c>
      <c r="C27" s="124"/>
      <c r="D27" s="124"/>
      <c r="E27" s="124"/>
      <c r="F27" s="124"/>
      <c r="G27" s="124"/>
      <c r="H27" s="124"/>
      <c r="I27" s="118"/>
      <c r="J27" s="120"/>
    </row>
    <row r="28" spans="1:15" ht="12" customHeight="1" x14ac:dyDescent="0.35">
      <c r="A28" s="118" t="s">
        <v>173</v>
      </c>
      <c r="B28" s="124"/>
      <c r="C28" s="124"/>
      <c r="D28" s="124"/>
      <c r="E28" s="124"/>
      <c r="F28" s="124"/>
      <c r="G28" s="124"/>
      <c r="H28" s="124"/>
      <c r="I28" s="118"/>
      <c r="J28" s="120"/>
    </row>
    <row r="29" spans="1:15" ht="12" customHeight="1" x14ac:dyDescent="0.4">
      <c r="A29" s="125" t="s">
        <v>172</v>
      </c>
      <c r="B29" s="129"/>
      <c r="C29" s="129"/>
      <c r="D29" s="129"/>
      <c r="E29" s="129"/>
      <c r="F29" s="129"/>
      <c r="G29" s="129"/>
      <c r="H29" s="129"/>
      <c r="I29" s="118"/>
      <c r="J29" s="120"/>
    </row>
    <row r="30" spans="1:15" ht="12" customHeight="1" x14ac:dyDescent="0.35">
      <c r="A30" s="118" t="s">
        <v>171</v>
      </c>
      <c r="B30" s="124">
        <v>18692</v>
      </c>
      <c r="C30" s="124"/>
      <c r="D30" s="124"/>
      <c r="E30" s="124"/>
      <c r="F30" s="124"/>
      <c r="G30" s="124"/>
      <c r="H30" s="124"/>
      <c r="I30" s="118"/>
      <c r="J30" s="120"/>
    </row>
    <row r="31" spans="1:15" ht="12" customHeight="1" x14ac:dyDescent="0.35">
      <c r="A31" s="118" t="s">
        <v>170</v>
      </c>
      <c r="B31" s="124">
        <v>791</v>
      </c>
      <c r="C31" s="124"/>
      <c r="D31" s="124"/>
      <c r="E31" s="124"/>
      <c r="F31" s="124"/>
      <c r="G31" s="124"/>
      <c r="H31" s="124"/>
      <c r="I31" s="118"/>
      <c r="J31" s="120"/>
    </row>
    <row r="32" spans="1:15" ht="12" customHeight="1" x14ac:dyDescent="0.35">
      <c r="A32" s="118" t="s">
        <v>169</v>
      </c>
      <c r="B32" s="124">
        <v>9041</v>
      </c>
      <c r="C32" s="124"/>
      <c r="D32" s="124"/>
      <c r="E32" s="124"/>
      <c r="F32" s="124"/>
      <c r="G32" s="124"/>
      <c r="H32" s="124"/>
      <c r="I32" s="118"/>
      <c r="J32" s="120"/>
    </row>
    <row r="33" spans="1:10" ht="12" customHeight="1" x14ac:dyDescent="0.35">
      <c r="A33" s="118" t="s">
        <v>168</v>
      </c>
      <c r="B33" s="124">
        <v>15452</v>
      </c>
      <c r="C33" s="124"/>
      <c r="D33" s="124"/>
      <c r="E33" s="124"/>
      <c r="F33" s="124"/>
      <c r="G33" s="124"/>
      <c r="H33" s="124"/>
      <c r="I33" s="118"/>
      <c r="J33" s="120"/>
    </row>
    <row r="34" spans="1:10" ht="12" customHeight="1" x14ac:dyDescent="0.35">
      <c r="A34" s="118" t="s">
        <v>167</v>
      </c>
      <c r="B34" s="128">
        <v>10837</v>
      </c>
      <c r="C34" s="128"/>
      <c r="D34" s="128"/>
      <c r="E34" s="128"/>
      <c r="F34" s="128"/>
      <c r="G34" s="128"/>
      <c r="H34" s="128"/>
      <c r="I34" s="118"/>
      <c r="J34" s="120"/>
    </row>
    <row r="35" spans="1:10" ht="12" customHeight="1" x14ac:dyDescent="0.35">
      <c r="A35" s="118" t="s">
        <v>166</v>
      </c>
      <c r="B35" s="124">
        <v>176064</v>
      </c>
      <c r="C35" s="124"/>
      <c r="D35" s="124"/>
      <c r="E35" s="124"/>
      <c r="F35" s="124"/>
      <c r="G35" s="124"/>
      <c r="H35" s="124"/>
      <c r="I35" s="118"/>
      <c r="J35" s="120"/>
    </row>
    <row r="36" spans="1:10" ht="12" customHeight="1" x14ac:dyDescent="0.35">
      <c r="A36" s="118"/>
      <c r="B36" s="126"/>
      <c r="C36" s="126"/>
      <c r="D36" s="126"/>
      <c r="E36" s="126"/>
      <c r="F36" s="126"/>
      <c r="G36" s="126"/>
      <c r="H36" s="126"/>
      <c r="I36" s="118"/>
      <c r="J36" s="120"/>
    </row>
    <row r="37" spans="1:10" ht="12" customHeight="1" x14ac:dyDescent="0.4">
      <c r="A37" s="127" t="s">
        <v>165</v>
      </c>
      <c r="B37" s="126"/>
      <c r="C37" s="126"/>
      <c r="D37" s="126"/>
      <c r="E37" s="126"/>
      <c r="F37" s="126"/>
      <c r="G37" s="126"/>
      <c r="H37" s="126"/>
      <c r="I37" s="118"/>
      <c r="J37" s="120"/>
    </row>
    <row r="38" spans="1:10" ht="12" customHeight="1" x14ac:dyDescent="0.35">
      <c r="A38" s="118" t="s">
        <v>164</v>
      </c>
      <c r="B38" s="124">
        <v>21175</v>
      </c>
      <c r="C38" s="124"/>
      <c r="D38" s="124"/>
      <c r="E38" s="124"/>
      <c r="F38" s="124"/>
      <c r="G38" s="124"/>
      <c r="H38" s="124"/>
      <c r="I38" s="118"/>
      <c r="J38" s="120"/>
    </row>
    <row r="39" spans="1:10" ht="12" customHeight="1" x14ac:dyDescent="0.35">
      <c r="A39" s="118" t="s">
        <v>163</v>
      </c>
      <c r="B39" s="124">
        <v>6749</v>
      </c>
      <c r="C39" s="124"/>
      <c r="D39" s="124"/>
      <c r="E39" s="124"/>
      <c r="F39" s="124"/>
      <c r="G39" s="124"/>
      <c r="H39" s="124"/>
      <c r="I39" s="118"/>
      <c r="J39" s="120"/>
    </row>
    <row r="40" spans="1:10" ht="12" customHeight="1" x14ac:dyDescent="0.35">
      <c r="A40" s="118" t="s">
        <v>162</v>
      </c>
      <c r="B40" s="124">
        <v>10618</v>
      </c>
      <c r="C40" s="124"/>
      <c r="D40" s="124"/>
      <c r="E40" s="124"/>
      <c r="F40" s="124"/>
      <c r="G40" s="124"/>
      <c r="H40" s="124"/>
      <c r="I40" s="118"/>
      <c r="J40" s="120"/>
    </row>
    <row r="41" spans="1:10" ht="12" customHeight="1" x14ac:dyDescent="0.35">
      <c r="A41" s="118" t="s">
        <v>161</v>
      </c>
      <c r="B41" s="124">
        <v>19312</v>
      </c>
      <c r="C41" s="124"/>
      <c r="D41" s="124"/>
      <c r="E41" s="124"/>
      <c r="F41" s="124"/>
      <c r="G41" s="124"/>
      <c r="H41" s="124"/>
      <c r="I41" s="118"/>
      <c r="J41" s="120"/>
    </row>
    <row r="42" spans="1:10" ht="12" customHeight="1" x14ac:dyDescent="0.35">
      <c r="A42" s="118" t="s">
        <v>160</v>
      </c>
      <c r="B42" s="124">
        <v>57854</v>
      </c>
      <c r="C42" s="124"/>
      <c r="D42" s="124"/>
      <c r="E42" s="124"/>
      <c r="F42" s="124"/>
      <c r="G42" s="124"/>
      <c r="H42" s="124"/>
      <c r="I42" s="118"/>
      <c r="J42" s="120"/>
    </row>
    <row r="43" spans="1:10" ht="12" customHeight="1" x14ac:dyDescent="0.35">
      <c r="A43" s="118" t="s">
        <v>159</v>
      </c>
      <c r="B43" s="124">
        <v>118210</v>
      </c>
      <c r="C43" s="124"/>
      <c r="D43" s="124"/>
      <c r="E43" s="124"/>
      <c r="F43" s="124"/>
      <c r="G43" s="124"/>
      <c r="H43" s="124"/>
      <c r="I43" s="118"/>
      <c r="J43" s="120"/>
    </row>
    <row r="44" spans="1:10" ht="12" customHeight="1" x14ac:dyDescent="0.35">
      <c r="A44" s="118" t="s">
        <v>158</v>
      </c>
      <c r="B44" s="124">
        <v>176064</v>
      </c>
      <c r="C44" s="124"/>
      <c r="D44" s="124"/>
      <c r="E44" s="124"/>
      <c r="F44" s="124"/>
      <c r="G44" s="124"/>
      <c r="H44" s="124"/>
      <c r="I44" s="118"/>
      <c r="J44" s="120"/>
    </row>
    <row r="45" spans="1:10" ht="12" customHeight="1" x14ac:dyDescent="0.35">
      <c r="A45" s="118"/>
      <c r="B45" s="118"/>
      <c r="C45" s="124"/>
      <c r="D45" s="124"/>
      <c r="E45" s="124"/>
      <c r="F45" s="124"/>
      <c r="G45" s="124"/>
      <c r="H45" s="124"/>
      <c r="I45" s="118"/>
      <c r="J45" s="120"/>
    </row>
    <row r="46" spans="1:10" s="123" customFormat="1" ht="12" customHeight="1" x14ac:dyDescent="0.4">
      <c r="A46" s="125" t="s">
        <v>157</v>
      </c>
      <c r="B46" s="118"/>
      <c r="C46" s="124"/>
      <c r="D46" s="124"/>
      <c r="E46" s="124"/>
      <c r="F46" s="124"/>
      <c r="G46" s="124"/>
      <c r="H46" s="124"/>
      <c r="I46" s="118"/>
      <c r="J46" s="120"/>
    </row>
    <row r="47" spans="1:10" ht="12" customHeight="1" x14ac:dyDescent="0.35">
      <c r="A47" s="118" t="s">
        <v>156</v>
      </c>
      <c r="B47" s="122">
        <v>0.35304119786820065</v>
      </c>
      <c r="C47" s="122"/>
      <c r="D47" s="122"/>
      <c r="E47" s="122"/>
      <c r="F47" s="122"/>
      <c r="G47" s="122"/>
      <c r="H47" s="122"/>
      <c r="I47" s="118"/>
      <c r="J47" s="120"/>
    </row>
    <row r="48" spans="1:10" ht="12" customHeight="1" x14ac:dyDescent="0.35">
      <c r="A48" s="118" t="s">
        <v>155</v>
      </c>
      <c r="B48" s="122">
        <v>0.88892675390766995</v>
      </c>
      <c r="C48" s="122"/>
      <c r="D48" s="122"/>
      <c r="E48" s="122"/>
      <c r="F48" s="122"/>
      <c r="G48" s="122"/>
      <c r="H48" s="122"/>
      <c r="I48" s="118"/>
      <c r="J48" s="120"/>
    </row>
    <row r="49" spans="1:10" ht="12" customHeight="1" x14ac:dyDescent="0.35">
      <c r="A49" s="118" t="s">
        <v>154</v>
      </c>
      <c r="B49" s="122">
        <v>1.4894171389899331</v>
      </c>
      <c r="C49" s="122"/>
      <c r="D49" s="122"/>
      <c r="E49" s="122"/>
      <c r="F49" s="122"/>
      <c r="G49" s="122"/>
      <c r="H49" s="122"/>
      <c r="I49" s="118"/>
      <c r="J49" s="120"/>
    </row>
    <row r="50" spans="1:10" ht="12" customHeight="1" x14ac:dyDescent="0.35">
      <c r="A50" s="118" t="s">
        <v>153</v>
      </c>
      <c r="B50" s="121">
        <v>0.26665090602397323</v>
      </c>
      <c r="C50" s="121"/>
      <c r="D50" s="121"/>
      <c r="E50" s="121"/>
      <c r="F50" s="121"/>
      <c r="G50" s="121"/>
      <c r="H50" s="121"/>
      <c r="I50" s="118"/>
      <c r="J50" s="120"/>
    </row>
    <row r="51" spans="1:10" ht="12" customHeight="1" x14ac:dyDescent="0.35">
      <c r="A51" s="118"/>
      <c r="B51" s="118"/>
      <c r="C51" s="118"/>
      <c r="D51" s="118"/>
      <c r="E51" s="118"/>
      <c r="F51" s="118"/>
      <c r="G51" s="118"/>
      <c r="H51" s="118"/>
      <c r="I51" s="118"/>
      <c r="J51" s="120"/>
    </row>
    <row r="52" spans="1:10" ht="12" customHeight="1" x14ac:dyDescent="0.4">
      <c r="A52" s="118"/>
      <c r="B52" s="118"/>
      <c r="C52" s="453" t="s">
        <v>152</v>
      </c>
      <c r="D52" s="453"/>
      <c r="E52" s="118"/>
      <c r="F52" s="118"/>
      <c r="G52" s="118"/>
      <c r="H52" s="118"/>
      <c r="I52" s="118"/>
      <c r="J52" s="119"/>
    </row>
    <row r="53" spans="1:10" ht="12" customHeight="1" x14ac:dyDescent="0.35">
      <c r="I53" s="118"/>
      <c r="J53" s="119"/>
    </row>
    <row r="54" spans="1:10" ht="12" customHeight="1" x14ac:dyDescent="0.35">
      <c r="I54" s="118"/>
    </row>
  </sheetData>
  <mergeCells count="1">
    <mergeCell ref="C52:D5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view="pageLayout" zoomScaleNormal="100" workbookViewId="0">
      <selection activeCell="E1" sqref="E1"/>
    </sheetView>
  </sheetViews>
  <sheetFormatPr baseColWidth="10" defaultColWidth="8.83984375" defaultRowHeight="10.5" x14ac:dyDescent="0.4"/>
  <cols>
    <col min="1" max="1" width="27.26171875" style="138" customWidth="1"/>
    <col min="2" max="8" width="9" style="138" customWidth="1"/>
    <col min="9" max="9" width="11.15625" style="138" customWidth="1"/>
    <col min="10" max="16384" width="8.83984375" style="138"/>
  </cols>
  <sheetData>
    <row r="1" spans="1:10" x14ac:dyDescent="0.4">
      <c r="A1" s="125" t="s">
        <v>195</v>
      </c>
      <c r="B1" s="120"/>
      <c r="C1" s="120"/>
      <c r="D1" s="120"/>
      <c r="E1" s="120"/>
      <c r="F1" s="120"/>
      <c r="G1" s="120"/>
      <c r="H1" s="120"/>
      <c r="I1" s="120"/>
    </row>
    <row r="2" spans="1:10" x14ac:dyDescent="0.4">
      <c r="A2" s="125" t="s">
        <v>194</v>
      </c>
      <c r="B2" s="132">
        <v>0.1</v>
      </c>
      <c r="C2" s="120"/>
      <c r="D2" s="137" t="s">
        <v>193</v>
      </c>
      <c r="E2" s="120"/>
      <c r="F2" s="136">
        <v>5.6338028169014086E-2</v>
      </c>
      <c r="G2" s="120"/>
      <c r="H2" s="120"/>
      <c r="I2" s="120"/>
    </row>
    <row r="3" spans="1:10" x14ac:dyDescent="0.4">
      <c r="A3" s="118"/>
      <c r="B3" s="120"/>
      <c r="C3" s="120"/>
      <c r="D3" s="120"/>
      <c r="E3" s="120"/>
      <c r="F3" s="120"/>
      <c r="G3" s="120"/>
      <c r="H3" s="120"/>
      <c r="I3" s="120"/>
    </row>
    <row r="4" spans="1:10" x14ac:dyDescent="0.4">
      <c r="A4" s="118"/>
      <c r="B4" s="135" t="s">
        <v>192</v>
      </c>
      <c r="C4" s="135" t="s">
        <v>191</v>
      </c>
      <c r="D4" s="134">
        <v>2013</v>
      </c>
      <c r="E4" s="134">
        <v>2014</v>
      </c>
      <c r="F4" s="134">
        <v>2015</v>
      </c>
      <c r="G4" s="134">
        <v>2016</v>
      </c>
      <c r="H4" s="134">
        <v>2017</v>
      </c>
      <c r="I4" s="120"/>
      <c r="J4" s="120"/>
    </row>
    <row r="5" spans="1:10" x14ac:dyDescent="0.4">
      <c r="A5" s="118" t="s">
        <v>190</v>
      </c>
      <c r="B5" s="133">
        <v>0.11943159455107726</v>
      </c>
      <c r="C5" s="133">
        <v>0.11943159455107726</v>
      </c>
      <c r="D5" s="132">
        <v>0.11899999999999999</v>
      </c>
      <c r="E5" s="132">
        <v>0.11899999999999999</v>
      </c>
      <c r="F5" s="132">
        <v>0.11899999999999999</v>
      </c>
      <c r="G5" s="132">
        <v>0.11899999999999999</v>
      </c>
      <c r="H5" s="132">
        <v>0.11899999999999999</v>
      </c>
      <c r="I5" s="120"/>
      <c r="J5" s="120"/>
    </row>
    <row r="6" spans="1:10" x14ac:dyDescent="0.4">
      <c r="A6" s="118" t="s">
        <v>189</v>
      </c>
      <c r="B6" s="133">
        <v>9.0043940532295152E-3</v>
      </c>
      <c r="C6" s="133">
        <v>9.0043940532295152E-3</v>
      </c>
      <c r="D6" s="132">
        <v>8.9999999999999993E-3</v>
      </c>
      <c r="E6" s="132">
        <v>8.9999999999999993E-3</v>
      </c>
      <c r="F6" s="132">
        <v>8.9999999999999993E-3</v>
      </c>
      <c r="G6" s="132">
        <v>8.9999999999999993E-3</v>
      </c>
      <c r="H6" s="132">
        <v>8.9999999999999993E-3</v>
      </c>
      <c r="I6" s="120"/>
      <c r="J6" s="120"/>
    </row>
    <row r="7" spans="1:10" x14ac:dyDescent="0.4">
      <c r="A7" s="118" t="s">
        <v>188</v>
      </c>
      <c r="B7" s="133">
        <v>0.56128760191172333</v>
      </c>
      <c r="C7" s="133">
        <v>0.56128760191172333</v>
      </c>
      <c r="D7" s="132">
        <v>0.56100000000000005</v>
      </c>
      <c r="E7" s="132">
        <v>0.56100000000000005</v>
      </c>
      <c r="F7" s="132">
        <v>0.56100000000000005</v>
      </c>
      <c r="G7" s="132">
        <v>0.56100000000000005</v>
      </c>
      <c r="H7" s="132">
        <v>0.56100000000000005</v>
      </c>
      <c r="I7" s="120"/>
      <c r="J7" s="120"/>
    </row>
    <row r="8" spans="1:10" x14ac:dyDescent="0.4">
      <c r="A8" s="118" t="s">
        <v>187</v>
      </c>
      <c r="B8" s="133">
        <v>2.1602729572929181E-2</v>
      </c>
      <c r="C8" s="133">
        <v>2.1602729572929181E-2</v>
      </c>
      <c r="D8" s="132">
        <v>2.1999999999999999E-2</v>
      </c>
      <c r="E8" s="132">
        <v>2.1999999999999999E-2</v>
      </c>
      <c r="F8" s="132">
        <v>2.1999999999999999E-2</v>
      </c>
      <c r="G8" s="132">
        <v>2.1999999999999999E-2</v>
      </c>
      <c r="H8" s="132">
        <v>2.1999999999999999E-2</v>
      </c>
      <c r="I8" s="120"/>
      <c r="J8" s="120"/>
    </row>
    <row r="9" spans="1:10" x14ac:dyDescent="0.4">
      <c r="A9" s="118" t="s">
        <v>186</v>
      </c>
      <c r="B9" s="133">
        <v>6.4150075395506934E-2</v>
      </c>
      <c r="C9" s="133">
        <v>6.4150075395506934E-2</v>
      </c>
      <c r="D9" s="132">
        <v>6.4000000000000001E-2</v>
      </c>
      <c r="E9" s="132">
        <v>6.4000000000000001E-2</v>
      </c>
      <c r="F9" s="132">
        <v>6.4000000000000001E-2</v>
      </c>
      <c r="G9" s="132">
        <v>6.4000000000000001E-2</v>
      </c>
      <c r="H9" s="132">
        <v>6.4000000000000001E-2</v>
      </c>
      <c r="I9" s="120"/>
      <c r="J9" s="120"/>
    </row>
    <row r="10" spans="1:10" x14ac:dyDescent="0.4">
      <c r="A10" s="118" t="s">
        <v>185</v>
      </c>
      <c r="B10" s="133">
        <v>0.22935017450556755</v>
      </c>
      <c r="C10" s="133">
        <v>0.22935017450556755</v>
      </c>
      <c r="D10" s="132">
        <v>0.22900000000000001</v>
      </c>
      <c r="E10" s="132">
        <v>0.22900000000000001</v>
      </c>
      <c r="F10" s="132">
        <v>0.22900000000000001</v>
      </c>
      <c r="G10" s="132">
        <v>0.22900000000000001</v>
      </c>
      <c r="H10" s="132">
        <v>0.22900000000000001</v>
      </c>
      <c r="I10" s="120"/>
      <c r="J10" s="120"/>
    </row>
    <row r="11" spans="1:10" x14ac:dyDescent="0.4">
      <c r="A11" s="118" t="s">
        <v>184</v>
      </c>
      <c r="B11" s="133">
        <v>0.17589873187168453</v>
      </c>
      <c r="C11" s="133">
        <v>0.17589873187168453</v>
      </c>
      <c r="D11" s="132">
        <v>0.17599999999999999</v>
      </c>
      <c r="E11" s="132">
        <v>0.17599999999999999</v>
      </c>
      <c r="F11" s="132">
        <v>0.17599999999999999</v>
      </c>
      <c r="G11" s="132">
        <v>0.17599999999999999</v>
      </c>
      <c r="H11" s="132">
        <v>0.17599999999999999</v>
      </c>
      <c r="I11" s="120"/>
      <c r="J11" s="120"/>
    </row>
    <row r="12" spans="1:10" x14ac:dyDescent="0.4">
      <c r="A12" s="118"/>
      <c r="B12" s="118"/>
      <c r="C12" s="133"/>
      <c r="D12" s="132"/>
      <c r="E12" s="132"/>
      <c r="F12" s="132"/>
      <c r="G12" s="132"/>
      <c r="H12" s="132"/>
      <c r="I12" s="120"/>
      <c r="J12" s="120"/>
    </row>
    <row r="13" spans="1:10" x14ac:dyDescent="0.4">
      <c r="A13" s="127" t="s">
        <v>42</v>
      </c>
      <c r="B13" s="118"/>
      <c r="C13" s="122"/>
      <c r="D13" s="122"/>
      <c r="E13" s="122"/>
      <c r="F13" s="122"/>
      <c r="G13" s="122"/>
      <c r="H13" s="122"/>
      <c r="I13" s="118"/>
      <c r="J13" s="120"/>
    </row>
    <row r="14" spans="1:10" x14ac:dyDescent="0.4">
      <c r="A14" s="118" t="s">
        <v>183</v>
      </c>
      <c r="B14" s="124">
        <v>156508</v>
      </c>
      <c r="C14" s="124">
        <v>156508</v>
      </c>
      <c r="D14" s="124">
        <v>172158.80000000002</v>
      </c>
      <c r="E14" s="124">
        <v>189374.68000000002</v>
      </c>
      <c r="F14" s="124">
        <v>208312.14800000004</v>
      </c>
      <c r="G14" s="124">
        <v>229143.36280000006</v>
      </c>
      <c r="H14" s="124">
        <v>252057.69908000008</v>
      </c>
      <c r="I14" s="118"/>
      <c r="J14" s="120"/>
    </row>
    <row r="15" spans="1:10" x14ac:dyDescent="0.4">
      <c r="A15" s="118" t="s">
        <v>182</v>
      </c>
      <c r="B15" s="124">
        <v>87846</v>
      </c>
      <c r="C15" s="124">
        <v>87846</v>
      </c>
      <c r="D15" s="124">
        <v>96581.086800000019</v>
      </c>
      <c r="E15" s="124">
        <v>106239.19548000002</v>
      </c>
      <c r="F15" s="124">
        <v>116863.11502800003</v>
      </c>
      <c r="G15" s="124">
        <v>128549.42653080005</v>
      </c>
      <c r="H15" s="124">
        <v>141404.36918388004</v>
      </c>
      <c r="I15" s="118"/>
      <c r="J15" s="131"/>
    </row>
    <row r="16" spans="1:10" x14ac:dyDescent="0.4">
      <c r="A16" s="118" t="s">
        <v>181</v>
      </c>
      <c r="B16" s="124">
        <v>3381</v>
      </c>
      <c r="C16" s="124">
        <v>3381</v>
      </c>
      <c r="D16" s="124">
        <v>3787.4936000000002</v>
      </c>
      <c r="E16" s="124">
        <v>4166.2429600000005</v>
      </c>
      <c r="F16" s="124">
        <v>4582.8672560000005</v>
      </c>
      <c r="G16" s="124">
        <v>5041.1539816000013</v>
      </c>
      <c r="H16" s="124">
        <v>5545.2693797600014</v>
      </c>
      <c r="I16" s="118"/>
      <c r="J16" s="120"/>
    </row>
    <row r="17" spans="1:15" x14ac:dyDescent="0.4">
      <c r="A17" s="118" t="s">
        <v>180</v>
      </c>
      <c r="B17" s="124">
        <v>10040</v>
      </c>
      <c r="C17" s="124">
        <v>10040</v>
      </c>
      <c r="D17" s="124">
        <v>11018.163200000001</v>
      </c>
      <c r="E17" s="124">
        <v>12119.979520000001</v>
      </c>
      <c r="F17" s="124">
        <v>13331.977472000002</v>
      </c>
      <c r="G17" s="124">
        <v>14665.175219200004</v>
      </c>
      <c r="H17" s="124">
        <v>16131.692741120005</v>
      </c>
      <c r="I17" s="118"/>
      <c r="J17" s="120"/>
    </row>
    <row r="18" spans="1:15" x14ac:dyDescent="0.4">
      <c r="A18" s="118" t="s">
        <v>133</v>
      </c>
      <c r="B18" s="124">
        <v>55241</v>
      </c>
      <c r="C18" s="124">
        <v>55241</v>
      </c>
      <c r="D18" s="124">
        <v>60772.056400000001</v>
      </c>
      <c r="E18" s="124">
        <v>66849.262040000001</v>
      </c>
      <c r="F18" s="124">
        <v>73534.188244000019</v>
      </c>
      <c r="G18" s="124">
        <v>80887.607068400015</v>
      </c>
      <c r="H18" s="124">
        <v>88976.36777524004</v>
      </c>
      <c r="I18" s="118"/>
      <c r="J18" s="120"/>
    </row>
    <row r="19" spans="1:15" x14ac:dyDescent="0.4">
      <c r="A19" s="118" t="s">
        <v>179</v>
      </c>
      <c r="B19" s="124">
        <v>1088</v>
      </c>
      <c r="C19" s="124">
        <v>1088</v>
      </c>
      <c r="D19" s="124">
        <v>1196.8000000000002</v>
      </c>
      <c r="E19" s="124">
        <v>1316.7674932732396</v>
      </c>
      <c r="F19" s="124">
        <v>1448.4442426005639</v>
      </c>
      <c r="G19" s="124">
        <v>1593.2886668606202</v>
      </c>
      <c r="H19" s="124">
        <v>1752.6175335466824</v>
      </c>
      <c r="I19" s="118"/>
      <c r="J19" s="120"/>
    </row>
    <row r="20" spans="1:15" x14ac:dyDescent="0.4">
      <c r="A20" s="118" t="s">
        <v>178</v>
      </c>
      <c r="B20" s="124">
        <v>54153</v>
      </c>
      <c r="C20" s="124">
        <v>54153</v>
      </c>
      <c r="D20" s="124">
        <v>59575.256399999998</v>
      </c>
      <c r="E20" s="124">
        <v>65532.494546726761</v>
      </c>
      <c r="F20" s="124">
        <v>72085.744001399449</v>
      </c>
      <c r="G20" s="124">
        <v>79294.318401539393</v>
      </c>
      <c r="H20" s="124">
        <v>87223.750241693357</v>
      </c>
      <c r="I20" s="118"/>
      <c r="J20" s="120"/>
    </row>
    <row r="21" spans="1:15" x14ac:dyDescent="0.4">
      <c r="A21" s="118" t="s">
        <v>177</v>
      </c>
      <c r="B21" s="124">
        <v>12420</v>
      </c>
      <c r="C21" s="124">
        <v>12420</v>
      </c>
      <c r="D21" s="124">
        <v>13642.733715599999</v>
      </c>
      <c r="E21" s="124">
        <v>15006.941251200429</v>
      </c>
      <c r="F21" s="124">
        <v>16507.635376320475</v>
      </c>
      <c r="G21" s="124">
        <v>18158.398913952522</v>
      </c>
      <c r="H21" s="124">
        <v>19974.238805347781</v>
      </c>
      <c r="I21" s="118"/>
      <c r="J21" s="120"/>
    </row>
    <row r="22" spans="1:15" x14ac:dyDescent="0.4">
      <c r="A22" s="118" t="s">
        <v>176</v>
      </c>
      <c r="B22" s="124">
        <v>41733</v>
      </c>
      <c r="C22" s="124">
        <v>41733</v>
      </c>
      <c r="D22" s="124">
        <v>45932.522684399999</v>
      </c>
      <c r="E22" s="124">
        <v>50525.553295526333</v>
      </c>
      <c r="F22" s="124">
        <v>55578.108625078974</v>
      </c>
      <c r="G22" s="124">
        <v>61135.919487586871</v>
      </c>
      <c r="H22" s="124">
        <v>67249.51143634558</v>
      </c>
      <c r="I22" s="118"/>
      <c r="J22" s="120"/>
      <c r="K22" s="120"/>
      <c r="L22" s="120"/>
      <c r="M22" s="120"/>
      <c r="N22" s="120"/>
      <c r="O22" s="120"/>
    </row>
    <row r="23" spans="1:15" x14ac:dyDescent="0.4">
      <c r="A23" s="118"/>
      <c r="B23" s="118"/>
      <c r="C23" s="126"/>
      <c r="D23" s="126"/>
      <c r="E23" s="126"/>
      <c r="F23" s="126"/>
      <c r="G23" s="126"/>
      <c r="H23" s="126"/>
      <c r="I23" s="118"/>
      <c r="J23" s="120"/>
    </row>
    <row r="24" spans="1:15" x14ac:dyDescent="0.4">
      <c r="A24" s="118" t="s">
        <v>175</v>
      </c>
      <c r="B24" s="130">
        <v>50.772977941176471</v>
      </c>
      <c r="C24" s="130">
        <v>50.772977941176471</v>
      </c>
      <c r="D24" s="130">
        <v>50.778790441176461</v>
      </c>
      <c r="E24" s="130">
        <v>50.76770377572516</v>
      </c>
      <c r="F24" s="130">
        <v>50.76770377572516</v>
      </c>
      <c r="G24" s="130">
        <v>50.76770377572516</v>
      </c>
      <c r="H24" s="130">
        <v>50.767703775725167</v>
      </c>
      <c r="I24" s="118"/>
      <c r="J24" s="120"/>
    </row>
    <row r="25" spans="1:15" x14ac:dyDescent="0.4">
      <c r="A25" s="118"/>
      <c r="B25" s="130"/>
      <c r="C25" s="130"/>
      <c r="D25" s="130"/>
      <c r="E25" s="130"/>
      <c r="F25" s="130"/>
      <c r="G25" s="130"/>
      <c r="H25" s="130"/>
      <c r="I25" s="118"/>
      <c r="J25" s="120"/>
    </row>
    <row r="26" spans="1:15" x14ac:dyDescent="0.4">
      <c r="A26" s="127" t="s">
        <v>0</v>
      </c>
      <c r="B26" s="118"/>
      <c r="C26" s="118"/>
      <c r="D26" s="118"/>
      <c r="E26" s="118"/>
      <c r="F26" s="118"/>
      <c r="G26" s="118"/>
      <c r="H26" s="118"/>
      <c r="I26" s="118"/>
      <c r="J26" s="120"/>
    </row>
    <row r="27" spans="1:15" x14ac:dyDescent="0.4">
      <c r="A27" s="118" t="s">
        <v>174</v>
      </c>
      <c r="B27" s="124">
        <v>121251</v>
      </c>
      <c r="C27" s="124">
        <v>20080</v>
      </c>
      <c r="D27" s="124">
        <v>66436.73501080001</v>
      </c>
      <c r="E27" s="124">
        <v>117308.80953896632</v>
      </c>
      <c r="F27" s="124">
        <v>173268.09151994932</v>
      </c>
      <c r="G27" s="124">
        <v>234823.30169903062</v>
      </c>
      <c r="H27" s="124">
        <v>302534.03289602004</v>
      </c>
      <c r="I27" s="118"/>
      <c r="J27" s="120"/>
    </row>
    <row r="28" spans="1:15" x14ac:dyDescent="0.4">
      <c r="A28" s="118" t="s">
        <v>173</v>
      </c>
      <c r="B28" s="124">
        <v>20080</v>
      </c>
      <c r="C28" s="124">
        <v>20080</v>
      </c>
      <c r="D28" s="124">
        <v>22036.326400000002</v>
      </c>
      <c r="E28" s="124">
        <v>24239.959040000002</v>
      </c>
      <c r="F28" s="124">
        <v>26663.954944000005</v>
      </c>
      <c r="G28" s="124">
        <v>29330.350438400008</v>
      </c>
      <c r="H28" s="124">
        <v>32263.38548224001</v>
      </c>
      <c r="I28" s="118"/>
      <c r="J28" s="120"/>
    </row>
    <row r="29" spans="1:15" x14ac:dyDescent="0.4">
      <c r="A29" s="125" t="s">
        <v>172</v>
      </c>
      <c r="B29" s="129">
        <v>101171</v>
      </c>
      <c r="C29" s="129">
        <v>0</v>
      </c>
      <c r="D29" s="129">
        <v>44400.408610800005</v>
      </c>
      <c r="E29" s="129">
        <v>93068.85049896632</v>
      </c>
      <c r="F29" s="129">
        <v>146604.13657594932</v>
      </c>
      <c r="G29" s="129">
        <v>205492.95126063062</v>
      </c>
      <c r="H29" s="129">
        <v>270270.64741378004</v>
      </c>
      <c r="I29" s="118"/>
      <c r="J29" s="120"/>
    </row>
    <row r="30" spans="1:15" x14ac:dyDescent="0.4">
      <c r="A30" s="118" t="s">
        <v>171</v>
      </c>
      <c r="B30" s="124">
        <v>18692</v>
      </c>
      <c r="C30" s="124">
        <v>18692</v>
      </c>
      <c r="D30" s="124">
        <v>20486.897199999999</v>
      </c>
      <c r="E30" s="124">
        <v>22535.586920000002</v>
      </c>
      <c r="F30" s="124">
        <v>24789.145612000004</v>
      </c>
      <c r="G30" s="124">
        <v>27268.060173200007</v>
      </c>
      <c r="H30" s="124">
        <v>29994.86619052001</v>
      </c>
      <c r="I30" s="118"/>
      <c r="J30" s="120"/>
    </row>
    <row r="31" spans="1:15" x14ac:dyDescent="0.4">
      <c r="A31" s="118" t="s">
        <v>170</v>
      </c>
      <c r="B31" s="124">
        <v>791</v>
      </c>
      <c r="C31" s="124">
        <v>791</v>
      </c>
      <c r="D31" s="124">
        <v>869.22978120000016</v>
      </c>
      <c r="E31" s="124">
        <v>956.1527593200002</v>
      </c>
      <c r="F31" s="124">
        <v>1051.7680352520001</v>
      </c>
      <c r="G31" s="124">
        <v>1156.9448387772004</v>
      </c>
      <c r="H31" s="124">
        <v>1272.6393226549203</v>
      </c>
      <c r="I31" s="118"/>
      <c r="J31" s="120"/>
    </row>
    <row r="32" spans="1:15" x14ac:dyDescent="0.4">
      <c r="A32" s="118" t="s">
        <v>169</v>
      </c>
      <c r="B32" s="124">
        <v>9041</v>
      </c>
      <c r="C32" s="124">
        <v>9041</v>
      </c>
      <c r="D32" s="124">
        <v>9947.8519404000017</v>
      </c>
      <c r="E32" s="124">
        <v>10942.637134440001</v>
      </c>
      <c r="F32" s="124">
        <v>12036.900847884002</v>
      </c>
      <c r="G32" s="124">
        <v>13240.590932672405</v>
      </c>
      <c r="H32" s="124">
        <v>14564.650025939643</v>
      </c>
      <c r="I32" s="118"/>
      <c r="J32" s="120"/>
    </row>
    <row r="33" spans="1:10" x14ac:dyDescent="0.4">
      <c r="A33" s="118" t="s">
        <v>168</v>
      </c>
      <c r="B33" s="124">
        <v>15452</v>
      </c>
      <c r="C33" s="124">
        <v>15452</v>
      </c>
      <c r="D33" s="124">
        <v>16998.271276800002</v>
      </c>
      <c r="E33" s="124">
        <v>18698.098404480003</v>
      </c>
      <c r="F33" s="124">
        <v>20567.908244928003</v>
      </c>
      <c r="G33" s="124">
        <v>22624.699069420807</v>
      </c>
      <c r="H33" s="124">
        <v>24887.168976362886</v>
      </c>
      <c r="I33" s="118"/>
      <c r="J33" s="120"/>
    </row>
    <row r="34" spans="1:10" x14ac:dyDescent="0.4">
      <c r="A34" s="118" t="s">
        <v>167</v>
      </c>
      <c r="B34" s="128">
        <v>10837</v>
      </c>
      <c r="C34" s="128">
        <v>10837</v>
      </c>
      <c r="D34" s="128">
        <v>11879.473676400003</v>
      </c>
      <c r="E34" s="128">
        <v>13067.421044040002</v>
      </c>
      <c r="F34" s="128">
        <v>14374.163148444004</v>
      </c>
      <c r="G34" s="128">
        <v>15811.579463288406</v>
      </c>
      <c r="H34" s="128">
        <v>17392.737409617246</v>
      </c>
      <c r="I34" s="118"/>
      <c r="J34" s="120"/>
    </row>
    <row r="35" spans="1:10" x14ac:dyDescent="0.4">
      <c r="A35" s="118" t="s">
        <v>166</v>
      </c>
      <c r="B35" s="124">
        <v>176064</v>
      </c>
      <c r="C35" s="124">
        <v>74893</v>
      </c>
      <c r="D35" s="124">
        <v>126618.45888560002</v>
      </c>
      <c r="E35" s="124">
        <v>183508.70580124631</v>
      </c>
      <c r="F35" s="124">
        <v>246087.97740845731</v>
      </c>
      <c r="G35" s="124">
        <v>314925.17617638945</v>
      </c>
      <c r="H35" s="124">
        <v>390646.09482111473</v>
      </c>
      <c r="I35" s="118"/>
      <c r="J35" s="120"/>
    </row>
    <row r="36" spans="1:10" x14ac:dyDescent="0.4">
      <c r="A36" s="118"/>
      <c r="B36" s="126"/>
      <c r="C36" s="126"/>
      <c r="D36" s="126"/>
      <c r="E36" s="126"/>
      <c r="F36" s="126"/>
      <c r="G36" s="126"/>
      <c r="H36" s="126"/>
      <c r="I36" s="118"/>
      <c r="J36" s="120"/>
    </row>
    <row r="37" spans="1:10" x14ac:dyDescent="0.4">
      <c r="A37" s="127" t="s">
        <v>165</v>
      </c>
      <c r="B37" s="126"/>
      <c r="C37" s="126"/>
      <c r="D37" s="126"/>
      <c r="E37" s="126"/>
      <c r="F37" s="126"/>
      <c r="G37" s="126"/>
      <c r="H37" s="126"/>
      <c r="I37" s="118"/>
      <c r="J37" s="120"/>
    </row>
    <row r="38" spans="1:10" x14ac:dyDescent="0.4">
      <c r="A38" s="118" t="s">
        <v>164</v>
      </c>
      <c r="B38" s="124">
        <v>21175</v>
      </c>
      <c r="C38" s="124">
        <v>21175</v>
      </c>
      <c r="D38" s="124">
        <v>23276.041918800005</v>
      </c>
      <c r="E38" s="124">
        <v>25603.646110680005</v>
      </c>
      <c r="F38" s="124">
        <v>28164.010721748007</v>
      </c>
      <c r="G38" s="124">
        <v>30980.411793922809</v>
      </c>
      <c r="H38" s="124">
        <v>34078.452973315092</v>
      </c>
      <c r="I38" s="118"/>
      <c r="J38" s="120"/>
    </row>
    <row r="39" spans="1:10" x14ac:dyDescent="0.4">
      <c r="A39" s="118" t="s">
        <v>163</v>
      </c>
      <c r="B39" s="124">
        <v>6749</v>
      </c>
      <c r="C39" s="124">
        <v>6749</v>
      </c>
      <c r="D39" s="124">
        <v>7436.7436836000015</v>
      </c>
      <c r="E39" s="124">
        <v>8180.4180519600013</v>
      </c>
      <c r="F39" s="124">
        <v>8998.4598571560018</v>
      </c>
      <c r="G39" s="124">
        <v>9898.3058428716031</v>
      </c>
      <c r="H39" s="124">
        <v>10888.136427158763</v>
      </c>
      <c r="I39" s="118"/>
      <c r="J39" s="120"/>
    </row>
    <row r="40" spans="1:10" x14ac:dyDescent="0.4">
      <c r="A40" s="118" t="s">
        <v>162</v>
      </c>
      <c r="B40" s="124">
        <v>10618</v>
      </c>
      <c r="C40" s="124">
        <v>10618</v>
      </c>
      <c r="D40" s="124">
        <v>11686.311502800001</v>
      </c>
      <c r="E40" s="124">
        <v>12854.942653080003</v>
      </c>
      <c r="F40" s="124">
        <v>14140.436918388003</v>
      </c>
      <c r="G40" s="124">
        <v>15554.480610226805</v>
      </c>
      <c r="H40" s="124">
        <v>17109.928671249483</v>
      </c>
      <c r="I40" s="118"/>
      <c r="J40" s="120"/>
    </row>
    <row r="41" spans="1:10" x14ac:dyDescent="0.4">
      <c r="A41" s="118" t="s">
        <v>161</v>
      </c>
      <c r="B41" s="124">
        <v>19312</v>
      </c>
      <c r="C41" s="124">
        <v>19312</v>
      </c>
      <c r="D41" s="124">
        <v>21247.839096000003</v>
      </c>
      <c r="E41" s="124">
        <v>23372.623005600006</v>
      </c>
      <c r="F41" s="124">
        <v>25709.885306160006</v>
      </c>
      <c r="G41" s="124">
        <v>28280.873836776009</v>
      </c>
      <c r="H41" s="124">
        <v>31108.96122045361</v>
      </c>
      <c r="I41" s="118"/>
      <c r="J41" s="120"/>
    </row>
    <row r="42" spans="1:10" x14ac:dyDescent="0.4">
      <c r="A42" s="118" t="s">
        <v>160</v>
      </c>
      <c r="B42" s="124">
        <v>57854</v>
      </c>
      <c r="C42" s="124">
        <v>57854</v>
      </c>
      <c r="D42" s="124">
        <v>63646.936201200013</v>
      </c>
      <c r="E42" s="124">
        <v>70011.629821320006</v>
      </c>
      <c r="F42" s="124">
        <v>77012.792803452016</v>
      </c>
      <c r="G42" s="124">
        <v>84714.072083797219</v>
      </c>
      <c r="H42" s="124">
        <v>93185.47929217694</v>
      </c>
      <c r="I42" s="118"/>
      <c r="J42" s="120"/>
    </row>
    <row r="43" spans="1:10" x14ac:dyDescent="0.4">
      <c r="A43" s="118" t="s">
        <v>159</v>
      </c>
      <c r="B43" s="124">
        <v>118210</v>
      </c>
      <c r="C43" s="124">
        <v>17039</v>
      </c>
      <c r="D43" s="124">
        <v>62971.522684399999</v>
      </c>
      <c r="E43" s="124">
        <v>113497.07597992633</v>
      </c>
      <c r="F43" s="124">
        <v>169075.18460500531</v>
      </c>
      <c r="G43" s="124">
        <v>230211.1040925922</v>
      </c>
      <c r="H43" s="124">
        <v>297460.61552893778</v>
      </c>
      <c r="I43" s="118"/>
      <c r="J43" s="120"/>
    </row>
    <row r="44" spans="1:10" x14ac:dyDescent="0.4">
      <c r="A44" s="118" t="s">
        <v>158</v>
      </c>
      <c r="B44" s="124">
        <v>176064</v>
      </c>
      <c r="C44" s="124">
        <v>74893</v>
      </c>
      <c r="D44" s="124">
        <v>126618.4588856</v>
      </c>
      <c r="E44" s="124">
        <v>183508.70580124634</v>
      </c>
      <c r="F44" s="124">
        <v>246087.97740845731</v>
      </c>
      <c r="G44" s="124">
        <v>314925.17617638945</v>
      </c>
      <c r="H44" s="124">
        <v>390646.09482111473</v>
      </c>
      <c r="I44" s="118"/>
      <c r="J44" s="120"/>
    </row>
    <row r="45" spans="1:10" x14ac:dyDescent="0.4">
      <c r="A45" s="118"/>
      <c r="B45" s="118"/>
      <c r="C45" s="124"/>
      <c r="D45" s="124"/>
      <c r="E45" s="124"/>
      <c r="F45" s="124"/>
      <c r="G45" s="124"/>
      <c r="H45" s="124"/>
      <c r="I45" s="118"/>
      <c r="J45" s="120"/>
    </row>
    <row r="46" spans="1:10" s="139" customFormat="1" x14ac:dyDescent="0.4">
      <c r="A46" s="125" t="s">
        <v>157</v>
      </c>
      <c r="B46" s="118"/>
      <c r="C46" s="124"/>
      <c r="D46" s="124"/>
      <c r="E46" s="124"/>
      <c r="F46" s="124"/>
      <c r="G46" s="124"/>
      <c r="H46" s="124"/>
      <c r="I46" s="118"/>
      <c r="J46" s="120"/>
    </row>
    <row r="47" spans="1:10" x14ac:dyDescent="0.4">
      <c r="A47" s="118" t="s">
        <v>156</v>
      </c>
      <c r="B47" s="122">
        <v>0.35304119786820065</v>
      </c>
      <c r="C47" s="122">
        <v>2.4492634544280767</v>
      </c>
      <c r="D47" s="122">
        <v>0.72941737354207115</v>
      </c>
      <c r="E47" s="122">
        <v>0.44517052848535532</v>
      </c>
      <c r="F47" s="122">
        <v>0.32871830810015651</v>
      </c>
      <c r="G47" s="122">
        <v>0.26556459875626875</v>
      </c>
      <c r="H47" s="122">
        <v>0.2260787073164762</v>
      </c>
      <c r="I47" s="118"/>
      <c r="J47" s="120"/>
    </row>
    <row r="48" spans="1:10" x14ac:dyDescent="0.4">
      <c r="A48" s="118" t="s">
        <v>155</v>
      </c>
      <c r="B48" s="122">
        <v>0.88892675390766995</v>
      </c>
      <c r="C48" s="122">
        <v>2.0897547167292005</v>
      </c>
      <c r="D48" s="122">
        <v>1.3596658932292469</v>
      </c>
      <c r="E48" s="122">
        <v>1.0319656452980874</v>
      </c>
      <c r="F48" s="122">
        <v>0.84649461624955014</v>
      </c>
      <c r="G48" s="122">
        <v>0.72761208100954422</v>
      </c>
      <c r="H48" s="122">
        <v>0.64523286530081081</v>
      </c>
      <c r="I48" s="118"/>
      <c r="J48" s="120"/>
    </row>
    <row r="49" spans="1:10" x14ac:dyDescent="0.4">
      <c r="A49" s="118" t="s">
        <v>154</v>
      </c>
      <c r="B49" s="122">
        <v>1.4894171389899331</v>
      </c>
      <c r="C49" s="122">
        <v>4.3953870532308237</v>
      </c>
      <c r="D49" s="122">
        <v>2.010725697712362</v>
      </c>
      <c r="E49" s="122">
        <v>1.6168584451788219</v>
      </c>
      <c r="F49" s="122">
        <v>1.4554943588165812</v>
      </c>
      <c r="G49" s="122">
        <v>1.3679843003998833</v>
      </c>
      <c r="H49" s="122">
        <v>1.3132699739979918</v>
      </c>
      <c r="I49" s="118"/>
      <c r="J49" s="120"/>
    </row>
    <row r="50" spans="1:10" x14ac:dyDescent="0.4">
      <c r="A50" s="118" t="s">
        <v>153</v>
      </c>
      <c r="B50" s="121">
        <v>0.26665090602397323</v>
      </c>
      <c r="C50" s="121">
        <v>0.26665090602397323</v>
      </c>
      <c r="D50" s="121">
        <v>0.26680322286400693</v>
      </c>
      <c r="E50" s="121">
        <v>0.26680205239436616</v>
      </c>
      <c r="F50" s="121">
        <v>0.26680205239436616</v>
      </c>
      <c r="G50" s="121">
        <v>0.26680205239436616</v>
      </c>
      <c r="H50" s="121">
        <v>0.26680205239436622</v>
      </c>
      <c r="I50" s="118"/>
      <c r="J50" s="120"/>
    </row>
    <row r="51" spans="1:10" x14ac:dyDescent="0.4">
      <c r="A51" s="118"/>
      <c r="B51" s="118"/>
      <c r="C51" s="118"/>
      <c r="D51" s="118"/>
      <c r="E51" s="118"/>
      <c r="F51" s="118"/>
      <c r="G51" s="118"/>
      <c r="H51" s="118"/>
      <c r="I51" s="118"/>
      <c r="J51" s="120"/>
    </row>
    <row r="52" spans="1:10" x14ac:dyDescent="0.4">
      <c r="A52" s="118"/>
      <c r="B52" s="118"/>
      <c r="C52" s="453" t="s">
        <v>152</v>
      </c>
      <c r="D52" s="453"/>
      <c r="E52" s="118"/>
      <c r="F52" s="118"/>
      <c r="G52" s="118"/>
      <c r="H52" s="118"/>
      <c r="I52" s="118"/>
      <c r="J52" s="119"/>
    </row>
    <row r="53" spans="1:10" x14ac:dyDescent="0.4">
      <c r="I53" s="118"/>
      <c r="J53" s="119"/>
    </row>
    <row r="54" spans="1:10" x14ac:dyDescent="0.4">
      <c r="I54" s="118"/>
    </row>
  </sheetData>
  <mergeCells count="1">
    <mergeCell ref="C52:D5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0"/>
  <sheetViews>
    <sheetView view="pageLayout" zoomScaleNormal="100" workbookViewId="0">
      <selection sqref="A1:K1"/>
    </sheetView>
  </sheetViews>
  <sheetFormatPr baseColWidth="10" defaultColWidth="8.83984375" defaultRowHeight="14.4" x14ac:dyDescent="0.55000000000000004"/>
  <cols>
    <col min="1" max="1" width="20.15625" customWidth="1"/>
    <col min="2" max="3" width="10.68359375" customWidth="1"/>
    <col min="4" max="11" width="11.15625" customWidth="1"/>
  </cols>
  <sheetData>
    <row r="1" spans="1:12" ht="21.3" x14ac:dyDescent="0.55000000000000004">
      <c r="A1" s="454" t="s">
        <v>198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</row>
    <row r="2" spans="1:12" ht="17.7" x14ac:dyDescent="0.55000000000000004">
      <c r="A2" s="455" t="s">
        <v>197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</row>
    <row r="3" spans="1:12" x14ac:dyDescent="0.55000000000000004">
      <c r="A3" s="117"/>
      <c r="B3" s="116"/>
      <c r="C3" s="115"/>
      <c r="D3" s="114"/>
      <c r="E3" s="114"/>
      <c r="F3" s="113"/>
      <c r="G3" s="113"/>
      <c r="H3" s="112"/>
      <c r="I3" s="112"/>
      <c r="J3" s="111"/>
      <c r="K3" s="111"/>
    </row>
    <row r="4" spans="1:12" x14ac:dyDescent="0.55000000000000004">
      <c r="A4" s="117"/>
      <c r="B4" s="116"/>
      <c r="C4" s="115"/>
      <c r="D4" s="114"/>
      <c r="E4" s="114"/>
      <c r="F4" s="113"/>
      <c r="G4" s="113"/>
      <c r="H4" s="112"/>
      <c r="I4" s="112"/>
      <c r="J4" s="111"/>
      <c r="K4" s="111"/>
    </row>
    <row r="5" spans="1:12" x14ac:dyDescent="0.55000000000000004">
      <c r="A5" s="90"/>
      <c r="B5" s="90" t="s">
        <v>196</v>
      </c>
      <c r="C5" s="90"/>
      <c r="D5" s="90"/>
      <c r="E5" s="90"/>
      <c r="F5" s="90"/>
      <c r="G5" s="90"/>
      <c r="H5" s="90"/>
      <c r="I5" s="90"/>
      <c r="J5" s="90"/>
      <c r="K5" s="90"/>
    </row>
    <row r="6" spans="1:12" x14ac:dyDescent="0.55000000000000004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</row>
    <row r="7" spans="1:12" x14ac:dyDescent="0.55000000000000004">
      <c r="A7" s="90" t="s">
        <v>195</v>
      </c>
      <c r="B7" s="90"/>
      <c r="C7" s="90"/>
      <c r="D7" s="93"/>
      <c r="E7" s="93"/>
      <c r="F7" s="93"/>
      <c r="G7" s="93"/>
      <c r="H7" s="93"/>
      <c r="I7" s="93"/>
      <c r="J7" s="93"/>
      <c r="K7" s="93"/>
    </row>
    <row r="8" spans="1:12" x14ac:dyDescent="0.55000000000000004">
      <c r="A8" s="90" t="s">
        <v>194</v>
      </c>
      <c r="B8" s="90"/>
      <c r="C8" s="90"/>
      <c r="D8" s="107">
        <v>0.1</v>
      </c>
      <c r="E8" s="93"/>
      <c r="F8" s="93" t="s">
        <v>193</v>
      </c>
      <c r="G8" s="93"/>
      <c r="H8" s="110">
        <f>E25/(E47)</f>
        <v>5.6338028169014086E-2</v>
      </c>
      <c r="I8" s="93"/>
      <c r="J8" s="93"/>
      <c r="K8" s="93"/>
    </row>
    <row r="9" spans="1:12" x14ac:dyDescent="0.55000000000000004">
      <c r="A9" s="90"/>
      <c r="B9" s="90"/>
      <c r="C9" s="90"/>
      <c r="D9" s="93"/>
      <c r="E9" s="93"/>
      <c r="F9" s="93"/>
      <c r="G9" s="93"/>
      <c r="H9" s="93"/>
      <c r="I9" s="93"/>
      <c r="J9" s="93"/>
      <c r="K9" s="93"/>
    </row>
    <row r="10" spans="1:12" x14ac:dyDescent="0.55000000000000004">
      <c r="A10" s="90"/>
      <c r="B10" s="90"/>
      <c r="C10" s="90"/>
      <c r="D10" s="109" t="s">
        <v>192</v>
      </c>
      <c r="E10" s="109" t="s">
        <v>191</v>
      </c>
      <c r="F10" s="108">
        <v>2013</v>
      </c>
      <c r="G10" s="108">
        <v>2014</v>
      </c>
      <c r="H10" s="108">
        <v>2015</v>
      </c>
      <c r="I10" s="108">
        <v>2016</v>
      </c>
      <c r="J10" s="108">
        <v>2017</v>
      </c>
      <c r="K10" s="93"/>
      <c r="L10" s="93"/>
    </row>
    <row r="11" spans="1:12" x14ac:dyDescent="0.55000000000000004">
      <c r="A11" s="90" t="s">
        <v>190</v>
      </c>
      <c r="B11" s="90"/>
      <c r="C11" s="90"/>
      <c r="D11" s="92">
        <f>D36/D20</f>
        <v>0.11943159455107726</v>
      </c>
      <c r="E11" s="92">
        <f>E36/E20</f>
        <v>0.11943159455107726</v>
      </c>
      <c r="F11" s="107">
        <v>0.11899999999999999</v>
      </c>
      <c r="G11" s="107">
        <v>0.11899999999999999</v>
      </c>
      <c r="H11" s="107">
        <v>0.11899999999999999</v>
      </c>
      <c r="I11" s="107">
        <v>0.11899999999999999</v>
      </c>
      <c r="J11" s="107">
        <v>0.11899999999999999</v>
      </c>
      <c r="K11" s="93"/>
      <c r="L11" s="93"/>
    </row>
    <row r="12" spans="1:12" x14ac:dyDescent="0.55000000000000004">
      <c r="A12" s="90" t="s">
        <v>189</v>
      </c>
      <c r="B12" s="90"/>
      <c r="C12" s="90"/>
      <c r="D12" s="92">
        <f>D37/D21</f>
        <v>9.0043940532295152E-3</v>
      </c>
      <c r="E12" s="92">
        <f>E37/E21</f>
        <v>9.0043940532295152E-3</v>
      </c>
      <c r="F12" s="107">
        <v>8.9999999999999993E-3</v>
      </c>
      <c r="G12" s="107">
        <v>8.9999999999999993E-3</v>
      </c>
      <c r="H12" s="107">
        <v>8.9999999999999993E-3</v>
      </c>
      <c r="I12" s="107">
        <v>8.9999999999999993E-3</v>
      </c>
      <c r="J12" s="107">
        <v>8.9999999999999993E-3</v>
      </c>
      <c r="K12" s="93"/>
      <c r="L12" s="93"/>
    </row>
    <row r="13" spans="1:12" x14ac:dyDescent="0.55000000000000004">
      <c r="A13" s="90" t="s">
        <v>188</v>
      </c>
      <c r="B13" s="90"/>
      <c r="C13" s="90"/>
      <c r="D13" s="92">
        <f>D21/D20</f>
        <v>0.56128760191172333</v>
      </c>
      <c r="E13" s="92">
        <f>E21/E20</f>
        <v>0.56128760191172333</v>
      </c>
      <c r="F13" s="107">
        <v>0.56100000000000005</v>
      </c>
      <c r="G13" s="107">
        <v>0.56100000000000005</v>
      </c>
      <c r="H13" s="107">
        <v>0.56100000000000005</v>
      </c>
      <c r="I13" s="107">
        <v>0.56100000000000005</v>
      </c>
      <c r="J13" s="107">
        <v>0.56100000000000005</v>
      </c>
      <c r="K13" s="93"/>
      <c r="L13" s="93"/>
    </row>
    <row r="14" spans="1:12" x14ac:dyDescent="0.55000000000000004">
      <c r="A14" s="90" t="s">
        <v>187</v>
      </c>
      <c r="B14" s="90"/>
      <c r="C14" s="90"/>
      <c r="D14" s="92">
        <f>D22/D20</f>
        <v>2.1602729572929181E-2</v>
      </c>
      <c r="E14" s="92">
        <f>E22/E20</f>
        <v>2.1602729572929181E-2</v>
      </c>
      <c r="F14" s="107">
        <v>2.1999999999999999E-2</v>
      </c>
      <c r="G14" s="107">
        <v>2.1999999999999999E-2</v>
      </c>
      <c r="H14" s="107">
        <v>2.1999999999999999E-2</v>
      </c>
      <c r="I14" s="107">
        <v>2.1999999999999999E-2</v>
      </c>
      <c r="J14" s="107">
        <v>2.1999999999999999E-2</v>
      </c>
      <c r="K14" s="93"/>
      <c r="L14" s="93"/>
    </row>
    <row r="15" spans="1:12" x14ac:dyDescent="0.55000000000000004">
      <c r="A15" s="90" t="s">
        <v>186</v>
      </c>
      <c r="B15" s="90"/>
      <c r="C15" s="90"/>
      <c r="D15" s="92">
        <f>D23/D20</f>
        <v>6.4150075395506934E-2</v>
      </c>
      <c r="E15" s="92">
        <f>E23/E20</f>
        <v>6.4150075395506934E-2</v>
      </c>
      <c r="F15" s="107">
        <v>6.4000000000000001E-2</v>
      </c>
      <c r="G15" s="107">
        <v>6.4000000000000001E-2</v>
      </c>
      <c r="H15" s="107">
        <v>6.4000000000000001E-2</v>
      </c>
      <c r="I15" s="107">
        <v>6.4000000000000001E-2</v>
      </c>
      <c r="J15" s="107">
        <v>6.4000000000000001E-2</v>
      </c>
      <c r="K15" s="93"/>
      <c r="L15" s="93"/>
    </row>
    <row r="16" spans="1:12" x14ac:dyDescent="0.55000000000000004">
      <c r="A16" s="90" t="s">
        <v>185</v>
      </c>
      <c r="B16" s="90"/>
      <c r="C16" s="90"/>
      <c r="D16" s="92">
        <f>(D26-D28)/D26</f>
        <v>0.22935017450556755</v>
      </c>
      <c r="E16" s="92">
        <f>(E26-E28)/E26</f>
        <v>0.22935017450556755</v>
      </c>
      <c r="F16" s="107">
        <v>0.22900000000000001</v>
      </c>
      <c r="G16" s="107">
        <v>0.22900000000000001</v>
      </c>
      <c r="H16" s="107">
        <v>0.22900000000000001</v>
      </c>
      <c r="I16" s="107">
        <v>0.22900000000000001</v>
      </c>
      <c r="J16" s="107">
        <v>0.22900000000000001</v>
      </c>
      <c r="K16" s="93"/>
      <c r="L16" s="93"/>
    </row>
    <row r="17" spans="1:17" x14ac:dyDescent="0.55000000000000004">
      <c r="A17" s="90" t="s">
        <v>184</v>
      </c>
      <c r="B17" s="90"/>
      <c r="C17" s="90"/>
      <c r="D17" s="92">
        <f>D39/D21</f>
        <v>0.17589873187168453</v>
      </c>
      <c r="E17" s="92">
        <f>E39/E21</f>
        <v>0.17589873187168453</v>
      </c>
      <c r="F17" s="107">
        <v>0.17599999999999999</v>
      </c>
      <c r="G17" s="107">
        <v>0.17599999999999999</v>
      </c>
      <c r="H17" s="107">
        <v>0.17599999999999999</v>
      </c>
      <c r="I17" s="107">
        <v>0.17599999999999999</v>
      </c>
      <c r="J17" s="107">
        <v>0.17599999999999999</v>
      </c>
      <c r="K17" s="93"/>
      <c r="L17" s="93"/>
    </row>
    <row r="18" spans="1:17" x14ac:dyDescent="0.55000000000000004">
      <c r="A18" s="90"/>
      <c r="B18" s="90"/>
      <c r="C18" s="90"/>
      <c r="D18" s="90"/>
      <c r="E18" s="92"/>
      <c r="F18" s="107"/>
      <c r="G18" s="107"/>
      <c r="H18" s="107"/>
      <c r="I18" s="107"/>
      <c r="J18" s="107"/>
      <c r="K18" s="93"/>
      <c r="L18" s="93"/>
    </row>
    <row r="19" spans="1:17" x14ac:dyDescent="0.55000000000000004">
      <c r="A19" s="102" t="s">
        <v>42</v>
      </c>
      <c r="B19" s="90"/>
      <c r="C19" s="90"/>
      <c r="D19" s="90"/>
      <c r="E19" s="95"/>
      <c r="F19" s="95"/>
      <c r="G19" s="95"/>
      <c r="H19" s="95"/>
      <c r="I19" s="95"/>
      <c r="J19" s="95"/>
      <c r="K19" s="90"/>
      <c r="L19" s="93"/>
    </row>
    <row r="20" spans="1:17" x14ac:dyDescent="0.55000000000000004">
      <c r="A20" s="89" t="s">
        <v>183</v>
      </c>
      <c r="B20" s="90"/>
      <c r="C20" s="90"/>
      <c r="D20" s="88">
        <v>156508</v>
      </c>
      <c r="E20" s="88">
        <v>156508</v>
      </c>
      <c r="F20" s="88">
        <f>E20*(1+$D$8)</f>
        <v>172158.80000000002</v>
      </c>
      <c r="G20" s="88">
        <f>F20*(1+$D$8)</f>
        <v>189374.68000000002</v>
      </c>
      <c r="H20" s="88">
        <f>G20*(1+$D$8)</f>
        <v>208312.14800000004</v>
      </c>
      <c r="I20" s="88">
        <f>H20*(1+$D$8)</f>
        <v>229143.36280000006</v>
      </c>
      <c r="J20" s="88">
        <f>I20*(1+$D$8)</f>
        <v>252057.69908000008</v>
      </c>
      <c r="K20" s="90"/>
      <c r="L20" s="93"/>
    </row>
    <row r="21" spans="1:17" x14ac:dyDescent="0.55000000000000004">
      <c r="A21" s="90" t="s">
        <v>182</v>
      </c>
      <c r="B21" s="90"/>
      <c r="C21" s="90"/>
      <c r="D21" s="88">
        <v>87846</v>
      </c>
      <c r="E21" s="88">
        <v>87846</v>
      </c>
      <c r="F21" s="88">
        <f>F20*F13</f>
        <v>96581.086800000019</v>
      </c>
      <c r="G21" s="88">
        <f>G20*G13</f>
        <v>106239.19548000002</v>
      </c>
      <c r="H21" s="88">
        <f>H20*H13</f>
        <v>116863.11502800003</v>
      </c>
      <c r="I21" s="88">
        <f>I20*I13</f>
        <v>128549.42653080005</v>
      </c>
      <c r="J21" s="88">
        <f>J20*J13</f>
        <v>141404.36918388004</v>
      </c>
      <c r="K21" s="90"/>
      <c r="L21" s="106"/>
    </row>
    <row r="22" spans="1:17" x14ac:dyDescent="0.55000000000000004">
      <c r="A22" s="90" t="s">
        <v>181</v>
      </c>
      <c r="B22" s="90"/>
      <c r="C22" s="90"/>
      <c r="D22" s="88">
        <v>3381</v>
      </c>
      <c r="E22" s="88">
        <v>3381</v>
      </c>
      <c r="F22" s="88">
        <f>F20*F14</f>
        <v>3787.4936000000002</v>
      </c>
      <c r="G22" s="88">
        <f>G20*G14</f>
        <v>4166.2429600000005</v>
      </c>
      <c r="H22" s="88">
        <f>H20*H14</f>
        <v>4582.8672560000005</v>
      </c>
      <c r="I22" s="88">
        <f>I20*I14</f>
        <v>5041.1539816000013</v>
      </c>
      <c r="J22" s="88">
        <f>J20*J14</f>
        <v>5545.2693797600014</v>
      </c>
      <c r="K22" s="90"/>
      <c r="L22" s="93"/>
    </row>
    <row r="23" spans="1:17" x14ac:dyDescent="0.55000000000000004">
      <c r="A23" s="90" t="s">
        <v>180</v>
      </c>
      <c r="B23" s="90"/>
      <c r="C23" s="90"/>
      <c r="D23" s="88">
        <v>10040</v>
      </c>
      <c r="E23" s="88">
        <v>10040</v>
      </c>
      <c r="F23" s="88">
        <f>F20*F15</f>
        <v>11018.163200000001</v>
      </c>
      <c r="G23" s="88">
        <f>G20*G15</f>
        <v>12119.979520000001</v>
      </c>
      <c r="H23" s="88">
        <f>H20*H15</f>
        <v>13331.977472000002</v>
      </c>
      <c r="I23" s="88">
        <f>I20*I15</f>
        <v>14665.175219200004</v>
      </c>
      <c r="J23" s="88">
        <f>J20*J15</f>
        <v>16131.692741120005</v>
      </c>
      <c r="K23" s="90"/>
      <c r="L23" s="93"/>
    </row>
    <row r="24" spans="1:17" x14ac:dyDescent="0.55000000000000004">
      <c r="A24" s="90" t="s">
        <v>133</v>
      </c>
      <c r="B24" s="90"/>
      <c r="C24" s="90"/>
      <c r="D24" s="88">
        <v>55241</v>
      </c>
      <c r="E24" s="88">
        <v>55241</v>
      </c>
      <c r="F24" s="88">
        <f>F20-SUM(F21:F23)</f>
        <v>60772.056400000001</v>
      </c>
      <c r="G24" s="88">
        <f>G20-SUM(G21:G23)</f>
        <v>66849.262040000001</v>
      </c>
      <c r="H24" s="88">
        <f>H20-SUM(H21:H23)</f>
        <v>73534.188244000019</v>
      </c>
      <c r="I24" s="88">
        <f>I20-SUM(I21:I23)</f>
        <v>80887.607068400015</v>
      </c>
      <c r="J24" s="88">
        <f>J20-SUM(J21:J23)</f>
        <v>88976.36777524004</v>
      </c>
      <c r="K24" s="90"/>
      <c r="L24" s="93"/>
    </row>
    <row r="25" spans="1:17" x14ac:dyDescent="0.55000000000000004">
      <c r="A25" s="90" t="s">
        <v>179</v>
      </c>
      <c r="B25" s="90"/>
      <c r="C25" s="90"/>
      <c r="D25" s="88">
        <v>1088</v>
      </c>
      <c r="E25" s="284">
        <v>1088</v>
      </c>
      <c r="F25" s="88">
        <f>(E47)*$H$8*(1+$D$8)</f>
        <v>1196.8000000000002</v>
      </c>
      <c r="G25" s="88">
        <f>(F47)*$H$8*(1+$D$8)</f>
        <v>1316.7674932732396</v>
      </c>
      <c r="H25" s="88">
        <f>(G47)*$H$8*(1+$D$8)</f>
        <v>1448.4442426005639</v>
      </c>
      <c r="I25" s="88">
        <f>(H47)*$H$8*(1+$D$8)</f>
        <v>1593.2886668606202</v>
      </c>
      <c r="J25" s="88">
        <f>(I47)*$H$8*(1+$D$8)</f>
        <v>1752.6175335466824</v>
      </c>
      <c r="K25" s="90"/>
      <c r="L25" s="265" t="s">
        <v>360</v>
      </c>
    </row>
    <row r="26" spans="1:17" x14ac:dyDescent="0.55000000000000004">
      <c r="A26" s="90" t="s">
        <v>178</v>
      </c>
      <c r="B26" s="90"/>
      <c r="C26" s="90"/>
      <c r="D26" s="88">
        <f t="shared" ref="D26:J26" si="0">D24-D25</f>
        <v>54153</v>
      </c>
      <c r="E26" s="88">
        <f t="shared" si="0"/>
        <v>54153</v>
      </c>
      <c r="F26" s="88">
        <f t="shared" si="0"/>
        <v>59575.256399999998</v>
      </c>
      <c r="G26" s="88">
        <f t="shared" si="0"/>
        <v>65532.494546726761</v>
      </c>
      <c r="H26" s="88">
        <f t="shared" si="0"/>
        <v>72085.744001399449</v>
      </c>
      <c r="I26" s="88">
        <f t="shared" si="0"/>
        <v>79294.318401539393</v>
      </c>
      <c r="J26" s="88">
        <f t="shared" si="0"/>
        <v>87223.750241693357</v>
      </c>
      <c r="K26" s="90"/>
      <c r="L26" s="93"/>
    </row>
    <row r="27" spans="1:17" x14ac:dyDescent="0.55000000000000004">
      <c r="A27" s="285" t="s">
        <v>177</v>
      </c>
      <c r="B27" s="90"/>
      <c r="C27" s="90"/>
      <c r="D27" s="88">
        <f>D26-D28</f>
        <v>12420</v>
      </c>
      <c r="E27" s="88">
        <f>E26-E28</f>
        <v>12420</v>
      </c>
      <c r="F27" s="88">
        <f>F26*F16</f>
        <v>13642.733715599999</v>
      </c>
      <c r="G27" s="88">
        <f>G26*G16</f>
        <v>15006.941251200429</v>
      </c>
      <c r="H27" s="88">
        <f>H26*H16</f>
        <v>16507.635376320475</v>
      </c>
      <c r="I27" s="88">
        <f>I26*I16</f>
        <v>18158.398913952522</v>
      </c>
      <c r="J27" s="88">
        <f>J26*J16</f>
        <v>19974.238805347781</v>
      </c>
      <c r="K27" s="90"/>
      <c r="L27" s="265" t="s">
        <v>368</v>
      </c>
    </row>
    <row r="28" spans="1:17" x14ac:dyDescent="0.55000000000000004">
      <c r="A28" s="90" t="s">
        <v>176</v>
      </c>
      <c r="B28" s="90"/>
      <c r="C28" s="90"/>
      <c r="D28" s="88">
        <v>41733</v>
      </c>
      <c r="E28" s="88">
        <v>41733</v>
      </c>
      <c r="F28" s="88">
        <f>F26-F27</f>
        <v>45932.522684399999</v>
      </c>
      <c r="G28" s="88">
        <f>G26-G27</f>
        <v>50525.553295526333</v>
      </c>
      <c r="H28" s="88">
        <f>H26-H27</f>
        <v>55578.108625078974</v>
      </c>
      <c r="I28" s="88">
        <f>I26-I27</f>
        <v>61135.919487586871</v>
      </c>
      <c r="J28" s="88">
        <f>J26-J27</f>
        <v>67249.51143634558</v>
      </c>
      <c r="K28" s="90"/>
      <c r="L28" s="93"/>
      <c r="M28" s="93"/>
      <c r="N28" s="93"/>
      <c r="O28" s="93"/>
      <c r="P28" s="93"/>
      <c r="Q28" s="93"/>
    </row>
    <row r="29" spans="1:17" x14ac:dyDescent="0.55000000000000004">
      <c r="A29" s="90"/>
      <c r="B29" s="90"/>
      <c r="C29" s="90"/>
      <c r="D29" s="90"/>
      <c r="E29" s="101"/>
      <c r="F29" s="101"/>
      <c r="G29" s="101"/>
      <c r="H29" s="101"/>
      <c r="I29" s="101"/>
      <c r="J29" s="101"/>
      <c r="K29" s="90"/>
      <c r="L29" s="93"/>
    </row>
    <row r="30" spans="1:17" x14ac:dyDescent="0.55000000000000004">
      <c r="A30" s="90" t="s">
        <v>175</v>
      </c>
      <c r="B30" s="90"/>
      <c r="C30" s="90"/>
      <c r="D30" s="105">
        <f t="shared" ref="D30:J30" si="1">D24/D25</f>
        <v>50.772977941176471</v>
      </c>
      <c r="E30" s="105">
        <f t="shared" si="1"/>
        <v>50.772977941176471</v>
      </c>
      <c r="F30" s="105">
        <f t="shared" si="1"/>
        <v>50.778790441176461</v>
      </c>
      <c r="G30" s="105">
        <f t="shared" si="1"/>
        <v>50.76770377572516</v>
      </c>
      <c r="H30" s="105">
        <f t="shared" si="1"/>
        <v>50.76770377572516</v>
      </c>
      <c r="I30" s="105">
        <f t="shared" si="1"/>
        <v>50.76770377572516</v>
      </c>
      <c r="J30" s="105">
        <f t="shared" si="1"/>
        <v>50.767703775725167</v>
      </c>
      <c r="K30" s="90"/>
      <c r="L30" s="93"/>
    </row>
    <row r="31" spans="1:17" x14ac:dyDescent="0.55000000000000004">
      <c r="A31" s="90"/>
      <c r="B31" s="90"/>
      <c r="C31" s="90"/>
      <c r="D31" s="105"/>
      <c r="E31" s="105"/>
      <c r="F31" s="105"/>
      <c r="G31" s="105"/>
      <c r="H31" s="105"/>
      <c r="I31" s="105"/>
      <c r="J31" s="105"/>
      <c r="K31" s="90"/>
      <c r="L31" s="93"/>
    </row>
    <row r="32" spans="1:17" x14ac:dyDescent="0.55000000000000004">
      <c r="A32" s="102" t="s">
        <v>0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3"/>
    </row>
    <row r="33" spans="1:12" x14ac:dyDescent="0.55000000000000004">
      <c r="A33" s="89" t="s">
        <v>174</v>
      </c>
      <c r="B33" s="90"/>
      <c r="C33" s="90"/>
      <c r="D33" s="99">
        <f t="shared" ref="D33:J33" si="2">SUM(D34:D35)</f>
        <v>121251</v>
      </c>
      <c r="E33" s="99">
        <f t="shared" si="2"/>
        <v>20080</v>
      </c>
      <c r="F33" s="99">
        <f t="shared" si="2"/>
        <v>66436.73501080001</v>
      </c>
      <c r="G33" s="99">
        <f t="shared" si="2"/>
        <v>117308.80953896632</v>
      </c>
      <c r="H33" s="99">
        <f t="shared" si="2"/>
        <v>173268.09151994932</v>
      </c>
      <c r="I33" s="99">
        <f t="shared" si="2"/>
        <v>234823.30169903062</v>
      </c>
      <c r="J33" s="99">
        <f t="shared" si="2"/>
        <v>302534.03289602004</v>
      </c>
      <c r="K33" s="90"/>
      <c r="L33" s="93"/>
    </row>
    <row r="34" spans="1:12" x14ac:dyDescent="0.55000000000000004">
      <c r="A34" s="90" t="s">
        <v>173</v>
      </c>
      <c r="B34" s="90"/>
      <c r="C34" s="90"/>
      <c r="D34" s="99">
        <f t="shared" ref="D34:J34" si="3">2*D23</f>
        <v>20080</v>
      </c>
      <c r="E34" s="99">
        <f t="shared" si="3"/>
        <v>20080</v>
      </c>
      <c r="F34" s="99">
        <f t="shared" si="3"/>
        <v>22036.326400000002</v>
      </c>
      <c r="G34" s="99">
        <f t="shared" si="3"/>
        <v>24239.959040000002</v>
      </c>
      <c r="H34" s="99">
        <f t="shared" si="3"/>
        <v>26663.954944000005</v>
      </c>
      <c r="I34" s="99">
        <f t="shared" si="3"/>
        <v>29330.350438400008</v>
      </c>
      <c r="J34" s="99">
        <f t="shared" si="3"/>
        <v>32263.38548224001</v>
      </c>
      <c r="K34" s="90"/>
      <c r="L34" s="93"/>
    </row>
    <row r="35" spans="1:12" x14ac:dyDescent="0.55000000000000004">
      <c r="A35" s="100" t="s">
        <v>172</v>
      </c>
      <c r="B35" s="100"/>
      <c r="C35" s="100"/>
      <c r="D35" s="104">
        <f>(29129+92122)-D34</f>
        <v>101171</v>
      </c>
      <c r="E35" s="104">
        <f>0</f>
        <v>0</v>
      </c>
      <c r="F35" s="104">
        <f>F50-SUM(F36:F40)-F34</f>
        <v>44400.408610800005</v>
      </c>
      <c r="G35" s="104">
        <f>G50-SUM(G36:G40)-G34</f>
        <v>93068.85049896632</v>
      </c>
      <c r="H35" s="104">
        <f>H50-SUM(H36:H40)-H34</f>
        <v>146604.13657594932</v>
      </c>
      <c r="I35" s="104">
        <f>I50-SUM(I36:I40)-I34</f>
        <v>205492.95126063062</v>
      </c>
      <c r="J35" s="104">
        <f>J50-SUM(J36:J40)-J34</f>
        <v>270270.64741378004</v>
      </c>
      <c r="K35" s="90"/>
      <c r="L35" s="93"/>
    </row>
    <row r="36" spans="1:12" x14ac:dyDescent="0.55000000000000004">
      <c r="A36" s="90" t="s">
        <v>171</v>
      </c>
      <c r="B36" s="90"/>
      <c r="C36" s="90"/>
      <c r="D36" s="99">
        <v>18692</v>
      </c>
      <c r="E36" s="99">
        <v>18692</v>
      </c>
      <c r="F36" s="99">
        <f t="shared" ref="F36:J37" si="4">F20*F11</f>
        <v>20486.897199999999</v>
      </c>
      <c r="G36" s="99">
        <f t="shared" si="4"/>
        <v>22535.586920000002</v>
      </c>
      <c r="H36" s="99">
        <f t="shared" si="4"/>
        <v>24789.145612000004</v>
      </c>
      <c r="I36" s="99">
        <f t="shared" si="4"/>
        <v>27268.060173200007</v>
      </c>
      <c r="J36" s="99">
        <f t="shared" si="4"/>
        <v>29994.86619052001</v>
      </c>
      <c r="K36" s="90"/>
      <c r="L36" s="93"/>
    </row>
    <row r="37" spans="1:12" x14ac:dyDescent="0.55000000000000004">
      <c r="A37" s="90" t="s">
        <v>170</v>
      </c>
      <c r="B37" s="90"/>
      <c r="C37" s="90"/>
      <c r="D37" s="88">
        <v>791</v>
      </c>
      <c r="E37" s="88">
        <v>791</v>
      </c>
      <c r="F37" s="88">
        <f t="shared" si="4"/>
        <v>869.22978120000016</v>
      </c>
      <c r="G37" s="88">
        <f t="shared" si="4"/>
        <v>956.1527593200002</v>
      </c>
      <c r="H37" s="88">
        <f t="shared" si="4"/>
        <v>1051.7680352520001</v>
      </c>
      <c r="I37" s="88">
        <f t="shared" si="4"/>
        <v>1156.9448387772004</v>
      </c>
      <c r="J37" s="88">
        <f t="shared" si="4"/>
        <v>1272.6393226549203</v>
      </c>
      <c r="K37" s="90"/>
      <c r="L37" s="93"/>
    </row>
    <row r="38" spans="1:12" x14ac:dyDescent="0.55000000000000004">
      <c r="A38" s="90" t="s">
        <v>169</v>
      </c>
      <c r="B38" s="90"/>
      <c r="C38" s="90"/>
      <c r="D38" s="88">
        <f>2583+278+6180</f>
        <v>9041</v>
      </c>
      <c r="E38" s="88">
        <f>2583+278+6180</f>
        <v>9041</v>
      </c>
      <c r="F38" s="99">
        <f>F21*0.103</f>
        <v>9947.8519404000017</v>
      </c>
      <c r="G38" s="99">
        <f>G21*0.103</f>
        <v>10942.637134440001</v>
      </c>
      <c r="H38" s="99">
        <f>H21*0.103</f>
        <v>12036.900847884002</v>
      </c>
      <c r="I38" s="99">
        <f>I21*0.103</f>
        <v>13240.590932672405</v>
      </c>
      <c r="J38" s="99">
        <f>J21*0.103</f>
        <v>14564.650025939643</v>
      </c>
      <c r="K38" s="90"/>
      <c r="L38" s="93"/>
    </row>
    <row r="39" spans="1:12" x14ac:dyDescent="0.55000000000000004">
      <c r="A39" s="90" t="s">
        <v>168</v>
      </c>
      <c r="B39" s="90"/>
      <c r="C39" s="90"/>
      <c r="D39" s="99">
        <v>15452</v>
      </c>
      <c r="E39" s="99">
        <v>15452</v>
      </c>
      <c r="F39" s="99">
        <f>F21*F17</f>
        <v>16998.271276800002</v>
      </c>
      <c r="G39" s="99">
        <f>G21*G17</f>
        <v>18698.098404480003</v>
      </c>
      <c r="H39" s="99">
        <f>H21*H17</f>
        <v>20567.908244928003</v>
      </c>
      <c r="I39" s="99">
        <f>I21*I17</f>
        <v>22624.699069420807</v>
      </c>
      <c r="J39" s="99">
        <f>J21*J17</f>
        <v>24887.168976362886</v>
      </c>
      <c r="K39" s="90"/>
      <c r="L39" s="93"/>
    </row>
    <row r="40" spans="1:12" x14ac:dyDescent="0.55000000000000004">
      <c r="A40" s="90" t="s">
        <v>167</v>
      </c>
      <c r="B40" s="90"/>
      <c r="C40" s="90"/>
      <c r="D40" s="103">
        <f>1135+4224+5478</f>
        <v>10837</v>
      </c>
      <c r="E40" s="103">
        <f>1135+4224+5478</f>
        <v>10837</v>
      </c>
      <c r="F40" s="103">
        <f>F21*0.123</f>
        <v>11879.473676400003</v>
      </c>
      <c r="G40" s="103">
        <f>G21*0.123</f>
        <v>13067.421044040002</v>
      </c>
      <c r="H40" s="103">
        <f>H21*0.123</f>
        <v>14374.163148444004</v>
      </c>
      <c r="I40" s="103">
        <f>I21*0.123</f>
        <v>15811.579463288406</v>
      </c>
      <c r="J40" s="103">
        <f>J21*0.123</f>
        <v>17392.737409617246</v>
      </c>
      <c r="K40" s="90"/>
      <c r="L40" s="93"/>
    </row>
    <row r="41" spans="1:12" x14ac:dyDescent="0.55000000000000004">
      <c r="A41" s="90" t="s">
        <v>166</v>
      </c>
      <c r="B41" s="90"/>
      <c r="C41" s="90"/>
      <c r="D41" s="99">
        <f t="shared" ref="D41:J41" si="5">SUM(D34:D40)</f>
        <v>176064</v>
      </c>
      <c r="E41" s="99">
        <f t="shared" si="5"/>
        <v>74893</v>
      </c>
      <c r="F41" s="99">
        <f t="shared" si="5"/>
        <v>126618.45888560002</v>
      </c>
      <c r="G41" s="99">
        <f t="shared" si="5"/>
        <v>183508.70580124631</v>
      </c>
      <c r="H41" s="99">
        <f t="shared" si="5"/>
        <v>246087.97740845731</v>
      </c>
      <c r="I41" s="99">
        <f t="shared" si="5"/>
        <v>314925.17617638945</v>
      </c>
      <c r="J41" s="99">
        <f t="shared" si="5"/>
        <v>390646.09482111473</v>
      </c>
      <c r="K41" s="90"/>
      <c r="L41" s="93"/>
    </row>
    <row r="42" spans="1:12" x14ac:dyDescent="0.55000000000000004">
      <c r="A42" s="90"/>
      <c r="B42" s="90"/>
      <c r="C42" s="90"/>
      <c r="D42" s="101"/>
      <c r="E42" s="101"/>
      <c r="F42" s="101"/>
      <c r="G42" s="101"/>
      <c r="H42" s="101"/>
      <c r="I42" s="101"/>
      <c r="J42" s="101"/>
      <c r="K42" s="90"/>
      <c r="L42" s="93"/>
    </row>
    <row r="43" spans="1:12" x14ac:dyDescent="0.55000000000000004">
      <c r="A43" s="102" t="s">
        <v>165</v>
      </c>
      <c r="B43" s="90"/>
      <c r="C43" s="90"/>
      <c r="D43" s="101"/>
      <c r="E43" s="101"/>
      <c r="F43" s="101"/>
      <c r="G43" s="101"/>
      <c r="H43" s="101"/>
      <c r="I43" s="101"/>
      <c r="J43" s="101"/>
      <c r="K43" s="90"/>
      <c r="L43" s="93"/>
    </row>
    <row r="44" spans="1:12" x14ac:dyDescent="0.55000000000000004">
      <c r="A44" s="90" t="s">
        <v>164</v>
      </c>
      <c r="B44" s="90"/>
      <c r="C44" s="90"/>
      <c r="D44" s="99">
        <v>21175</v>
      </c>
      <c r="E44" s="99">
        <v>21175</v>
      </c>
      <c r="F44" s="99">
        <f>F21*0.241</f>
        <v>23276.041918800005</v>
      </c>
      <c r="G44" s="99">
        <f>G21*0.241</f>
        <v>25603.646110680005</v>
      </c>
      <c r="H44" s="99">
        <f>H21*0.241</f>
        <v>28164.010721748007</v>
      </c>
      <c r="I44" s="99">
        <f>I21*0.241</f>
        <v>30980.411793922809</v>
      </c>
      <c r="J44" s="99">
        <f>J21*0.241</f>
        <v>34078.452973315092</v>
      </c>
      <c r="K44" s="90"/>
      <c r="L44" s="93"/>
    </row>
    <row r="45" spans="1:12" x14ac:dyDescent="0.55000000000000004">
      <c r="A45" s="90" t="s">
        <v>163</v>
      </c>
      <c r="B45" s="90"/>
      <c r="C45" s="90"/>
      <c r="D45" s="99">
        <f>6749</f>
        <v>6749</v>
      </c>
      <c r="E45" s="99">
        <f>6749</f>
        <v>6749</v>
      </c>
      <c r="F45" s="99">
        <f>F21*0.077</f>
        <v>7436.7436836000015</v>
      </c>
      <c r="G45" s="99">
        <f>G21*0.077</f>
        <v>8180.4180519600013</v>
      </c>
      <c r="H45" s="99">
        <f>H21*0.077</f>
        <v>8998.4598571560018</v>
      </c>
      <c r="I45" s="99">
        <f>I21*0.077</f>
        <v>9898.3058428716031</v>
      </c>
      <c r="J45" s="99">
        <f>J21*0.077</f>
        <v>10888.136427158763</v>
      </c>
      <c r="K45" s="90"/>
      <c r="L45" s="93"/>
    </row>
    <row r="46" spans="1:12" x14ac:dyDescent="0.55000000000000004">
      <c r="A46" s="90" t="s">
        <v>162</v>
      </c>
      <c r="B46" s="90"/>
      <c r="C46" s="90"/>
      <c r="D46" s="88">
        <f>1535+7445+1638</f>
        <v>10618</v>
      </c>
      <c r="E46" s="88">
        <f>1535+7445+1638</f>
        <v>10618</v>
      </c>
      <c r="F46" s="88">
        <f>F21*0.121</f>
        <v>11686.311502800001</v>
      </c>
      <c r="G46" s="88">
        <f>G21*0.121</f>
        <v>12854.942653080003</v>
      </c>
      <c r="H46" s="88">
        <f>H21*0.121</f>
        <v>14140.436918388003</v>
      </c>
      <c r="I46" s="88">
        <f>I21*0.121</f>
        <v>15554.480610226805</v>
      </c>
      <c r="J46" s="88">
        <f>J21*0.121</f>
        <v>17109.928671249483</v>
      </c>
      <c r="K46" s="90"/>
      <c r="L46" s="93"/>
    </row>
    <row r="47" spans="1:12" x14ac:dyDescent="0.55000000000000004">
      <c r="A47" s="90" t="s">
        <v>161</v>
      </c>
      <c r="B47" s="90"/>
      <c r="C47" s="90"/>
      <c r="D47" s="99">
        <f>D48-SUM(D44,D45,D46)</f>
        <v>19312</v>
      </c>
      <c r="E47" s="99">
        <f>E48-SUM(E44,E45,E46)</f>
        <v>19312</v>
      </c>
      <c r="F47" s="99">
        <f>F21*0.22</f>
        <v>21247.839096000003</v>
      </c>
      <c r="G47" s="99">
        <f>G21*0.22</f>
        <v>23372.623005600006</v>
      </c>
      <c r="H47" s="99">
        <f>H21*0.22</f>
        <v>25709.885306160006</v>
      </c>
      <c r="I47" s="99">
        <f>I21*0.22</f>
        <v>28280.873836776009</v>
      </c>
      <c r="J47" s="99">
        <f>J21*0.22</f>
        <v>31108.96122045361</v>
      </c>
      <c r="K47" s="90"/>
      <c r="L47" s="93"/>
    </row>
    <row r="48" spans="1:12" x14ac:dyDescent="0.55000000000000004">
      <c r="A48" s="90" t="s">
        <v>160</v>
      </c>
      <c r="B48" s="90"/>
      <c r="C48" s="90"/>
      <c r="D48" s="99">
        <f>57854</f>
        <v>57854</v>
      </c>
      <c r="E48" s="99">
        <f>57854</f>
        <v>57854</v>
      </c>
      <c r="F48" s="99">
        <f>SUM(F44,F45,F46,F47)</f>
        <v>63646.936201200013</v>
      </c>
      <c r="G48" s="99">
        <f>SUM(G44,G45,G46,G47)</f>
        <v>70011.629821320006</v>
      </c>
      <c r="H48" s="99">
        <f>SUM(H44,H45,H46,H47)</f>
        <v>77012.792803452016</v>
      </c>
      <c r="I48" s="99">
        <f>SUM(I44,I45,I46,I47)</f>
        <v>84714.072083797219</v>
      </c>
      <c r="J48" s="99">
        <f>SUM(J44,J45,J46,J47)</f>
        <v>93185.47929217694</v>
      </c>
      <c r="K48" s="90"/>
      <c r="L48" s="93"/>
    </row>
    <row r="49" spans="1:12" x14ac:dyDescent="0.55000000000000004">
      <c r="A49" s="90" t="s">
        <v>159</v>
      </c>
      <c r="B49" s="90"/>
      <c r="C49" s="90"/>
      <c r="D49" s="88">
        <f>118210</f>
        <v>118210</v>
      </c>
      <c r="E49" s="284">
        <f>D49-(121251-E34)</f>
        <v>17039</v>
      </c>
      <c r="F49" s="88">
        <f>E49+F28</f>
        <v>62971.522684399999</v>
      </c>
      <c r="G49" s="88">
        <f>F49+G28</f>
        <v>113497.07597992633</v>
      </c>
      <c r="H49" s="88">
        <f>G49+H28</f>
        <v>169075.18460500531</v>
      </c>
      <c r="I49" s="88">
        <f>H49+I28</f>
        <v>230211.1040925922</v>
      </c>
      <c r="J49" s="88">
        <f>I49+J28</f>
        <v>297460.61552893778</v>
      </c>
      <c r="K49" s="90"/>
      <c r="L49" s="265" t="s">
        <v>369</v>
      </c>
    </row>
    <row r="50" spans="1:12" x14ac:dyDescent="0.55000000000000004">
      <c r="A50" s="90" t="s">
        <v>158</v>
      </c>
      <c r="B50" s="90"/>
      <c r="C50" s="90"/>
      <c r="D50" s="99">
        <f>D48+D49</f>
        <v>176064</v>
      </c>
      <c r="E50" s="99">
        <f>E48+E49</f>
        <v>74893</v>
      </c>
      <c r="F50" s="99">
        <f>F49+F48</f>
        <v>126618.4588856</v>
      </c>
      <c r="G50" s="99">
        <f>G49+G48</f>
        <v>183508.70580124634</v>
      </c>
      <c r="H50" s="99">
        <f>H49+H48</f>
        <v>246087.97740845731</v>
      </c>
      <c r="I50" s="99">
        <f>I49+I48</f>
        <v>314925.17617638945</v>
      </c>
      <c r="J50" s="99">
        <f>J49+J48</f>
        <v>390646.09482111473</v>
      </c>
      <c r="K50" s="90"/>
      <c r="L50" s="93"/>
    </row>
    <row r="51" spans="1:12" x14ac:dyDescent="0.55000000000000004">
      <c r="A51" s="90"/>
      <c r="B51" s="90"/>
      <c r="C51" s="90"/>
      <c r="D51" s="90"/>
      <c r="E51" s="99"/>
      <c r="F51" s="99"/>
      <c r="G51" s="99"/>
      <c r="H51" s="99"/>
      <c r="I51" s="99"/>
      <c r="J51" s="99"/>
      <c r="K51" s="90"/>
      <c r="L51" s="93"/>
    </row>
    <row r="52" spans="1:12" s="97" customFormat="1" x14ac:dyDescent="0.55000000000000004">
      <c r="A52" s="100" t="s">
        <v>157</v>
      </c>
      <c r="B52" s="90"/>
      <c r="C52" s="90"/>
      <c r="D52" s="90"/>
      <c r="E52" s="99"/>
      <c r="F52" s="99"/>
      <c r="G52" s="99"/>
      <c r="H52" s="99"/>
      <c r="I52" s="99"/>
      <c r="J52" s="99"/>
      <c r="K52" s="90"/>
      <c r="L52" s="98"/>
    </row>
    <row r="53" spans="1:12" x14ac:dyDescent="0.55000000000000004">
      <c r="A53" s="89" t="s">
        <v>156</v>
      </c>
      <c r="B53" s="89"/>
      <c r="C53" s="89"/>
      <c r="D53" s="96">
        <f t="shared" ref="D53:J53" si="6">D28/D49</f>
        <v>0.35304119786820065</v>
      </c>
      <c r="E53" s="96">
        <f t="shared" si="6"/>
        <v>2.4492634544280767</v>
      </c>
      <c r="F53" s="96">
        <f t="shared" si="6"/>
        <v>0.72941737354207115</v>
      </c>
      <c r="G53" s="96">
        <f t="shared" si="6"/>
        <v>0.44517052848535532</v>
      </c>
      <c r="H53" s="96">
        <f t="shared" si="6"/>
        <v>0.32871830810015651</v>
      </c>
      <c r="I53" s="96">
        <f t="shared" si="6"/>
        <v>0.26556459875626875</v>
      </c>
      <c r="J53" s="96">
        <f t="shared" si="6"/>
        <v>0.2260787073164762</v>
      </c>
      <c r="K53" s="89"/>
      <c r="L53" s="93"/>
    </row>
    <row r="54" spans="1:12" x14ac:dyDescent="0.55000000000000004">
      <c r="A54" s="90" t="s">
        <v>155</v>
      </c>
      <c r="B54" s="90"/>
      <c r="C54" s="90"/>
      <c r="D54" s="95">
        <f t="shared" ref="D54:J54" si="7">D20/D41</f>
        <v>0.88892675390766995</v>
      </c>
      <c r="E54" s="95">
        <f t="shared" si="7"/>
        <v>2.0897547167292005</v>
      </c>
      <c r="F54" s="95">
        <f t="shared" si="7"/>
        <v>1.3596658932292469</v>
      </c>
      <c r="G54" s="95">
        <f t="shared" si="7"/>
        <v>1.0319656452980874</v>
      </c>
      <c r="H54" s="95">
        <f t="shared" si="7"/>
        <v>0.84649461624955014</v>
      </c>
      <c r="I54" s="95">
        <f t="shared" si="7"/>
        <v>0.72761208100954422</v>
      </c>
      <c r="J54" s="95">
        <f t="shared" si="7"/>
        <v>0.64523286530081081</v>
      </c>
      <c r="K54" s="90"/>
      <c r="L54" s="93"/>
    </row>
    <row r="55" spans="1:12" x14ac:dyDescent="0.55000000000000004">
      <c r="A55" s="90" t="s">
        <v>154</v>
      </c>
      <c r="B55" s="90"/>
      <c r="C55" s="90"/>
      <c r="D55" s="95">
        <f t="shared" ref="D55:J55" si="8">D41/D49</f>
        <v>1.4894171389899331</v>
      </c>
      <c r="E55" s="95">
        <f t="shared" si="8"/>
        <v>4.3953870532308237</v>
      </c>
      <c r="F55" s="95">
        <f t="shared" si="8"/>
        <v>2.010725697712362</v>
      </c>
      <c r="G55" s="95">
        <f t="shared" si="8"/>
        <v>1.6168584451788219</v>
      </c>
      <c r="H55" s="95">
        <f t="shared" si="8"/>
        <v>1.4554943588165812</v>
      </c>
      <c r="I55" s="95">
        <f t="shared" si="8"/>
        <v>1.3679843003998833</v>
      </c>
      <c r="J55" s="95">
        <f t="shared" si="8"/>
        <v>1.3132699739979918</v>
      </c>
      <c r="K55" s="90"/>
      <c r="L55" s="93"/>
    </row>
    <row r="56" spans="1:12" x14ac:dyDescent="0.55000000000000004">
      <c r="A56" s="90" t="s">
        <v>153</v>
      </c>
      <c r="B56" s="90"/>
      <c r="C56" s="90"/>
      <c r="D56" s="94">
        <f t="shared" ref="D56:J56" si="9">D28/D20</f>
        <v>0.26665090602397323</v>
      </c>
      <c r="E56" s="94">
        <f t="shared" si="9"/>
        <v>0.26665090602397323</v>
      </c>
      <c r="F56" s="94">
        <f t="shared" si="9"/>
        <v>0.26680322286400693</v>
      </c>
      <c r="G56" s="94">
        <f t="shared" si="9"/>
        <v>0.26680205239436616</v>
      </c>
      <c r="H56" s="94">
        <f t="shared" si="9"/>
        <v>0.26680205239436616</v>
      </c>
      <c r="I56" s="94">
        <f t="shared" si="9"/>
        <v>0.26680205239436616</v>
      </c>
      <c r="J56" s="94">
        <f t="shared" si="9"/>
        <v>0.26680205239436622</v>
      </c>
      <c r="K56" s="90"/>
      <c r="L56" s="93"/>
    </row>
    <row r="57" spans="1:12" x14ac:dyDescent="0.55000000000000004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3"/>
    </row>
    <row r="58" spans="1:12" x14ac:dyDescent="0.55000000000000004">
      <c r="A58" s="90"/>
      <c r="B58" s="90"/>
      <c r="C58" s="90"/>
      <c r="D58" s="90"/>
      <c r="E58" s="92" t="s">
        <v>152</v>
      </c>
      <c r="F58" s="90"/>
      <c r="G58" s="90"/>
      <c r="H58" s="90"/>
      <c r="I58" s="90"/>
      <c r="J58" s="90"/>
      <c r="K58" s="90"/>
      <c r="L58" s="91"/>
    </row>
    <row r="59" spans="1:12" x14ac:dyDescent="0.55000000000000004">
      <c r="K59" s="90"/>
      <c r="L59" s="91"/>
    </row>
    <row r="60" spans="1:12" x14ac:dyDescent="0.55000000000000004">
      <c r="K60" s="90"/>
    </row>
  </sheetData>
  <mergeCells count="2">
    <mergeCell ref="A1:K1"/>
    <mergeCell ref="A2:K2"/>
  </mergeCells>
  <pageMargins left="0.25" right="0.25" top="1" bottom="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"/>
  <sheetViews>
    <sheetView topLeftCell="A10" zoomScaleNormal="100" workbookViewId="0">
      <selection activeCell="E37" sqref="E37"/>
    </sheetView>
  </sheetViews>
  <sheetFormatPr baseColWidth="10" defaultColWidth="8.83984375" defaultRowHeight="14.4" x14ac:dyDescent="0.55000000000000004"/>
  <cols>
    <col min="1" max="1" width="42.41796875" style="10" bestFit="1" customWidth="1"/>
    <col min="2" max="4" width="14.68359375" style="10" customWidth="1"/>
  </cols>
  <sheetData>
    <row r="1" spans="1:4" x14ac:dyDescent="0.55000000000000004">
      <c r="A1" s="1" t="s">
        <v>42</v>
      </c>
      <c r="B1" s="1"/>
      <c r="C1" s="1"/>
      <c r="D1" s="1"/>
    </row>
    <row r="2" spans="1:4" x14ac:dyDescent="0.55000000000000004">
      <c r="A2" s="11" t="s">
        <v>43</v>
      </c>
      <c r="B2" s="12" t="s">
        <v>2</v>
      </c>
      <c r="C2" s="12" t="s">
        <v>3</v>
      </c>
      <c r="D2" s="12" t="s">
        <v>4</v>
      </c>
    </row>
    <row r="3" spans="1:4" x14ac:dyDescent="0.55000000000000004">
      <c r="A3" s="2" t="s">
        <v>44</v>
      </c>
      <c r="B3" s="6">
        <v>65225</v>
      </c>
      <c r="C3" s="6">
        <v>108249</v>
      </c>
      <c r="D3" s="6">
        <v>156508</v>
      </c>
    </row>
    <row r="4" spans="1:4" x14ac:dyDescent="0.55000000000000004">
      <c r="A4" s="2" t="s">
        <v>45</v>
      </c>
      <c r="B4" s="6">
        <v>39541</v>
      </c>
      <c r="C4" s="6">
        <v>64431</v>
      </c>
      <c r="D4" s="6">
        <v>87846</v>
      </c>
    </row>
    <row r="5" spans="1:4" x14ac:dyDescent="0.55000000000000004">
      <c r="A5" s="2" t="s">
        <v>46</v>
      </c>
      <c r="B5" s="6">
        <v>25684</v>
      </c>
      <c r="C5" s="6">
        <v>43818</v>
      </c>
      <c r="D5" s="6">
        <v>68662</v>
      </c>
    </row>
    <row r="6" spans="1:4" x14ac:dyDescent="0.55000000000000004">
      <c r="A6" s="3" t="s">
        <v>47</v>
      </c>
      <c r="B6" s="13">
        <v>5517</v>
      </c>
      <c r="C6" s="13">
        <v>7599</v>
      </c>
      <c r="D6" s="13">
        <v>10040</v>
      </c>
    </row>
    <row r="7" spans="1:4" x14ac:dyDescent="0.55000000000000004">
      <c r="A7" s="3" t="s">
        <v>48</v>
      </c>
      <c r="B7" s="13">
        <v>1782</v>
      </c>
      <c r="C7" s="13">
        <v>2429</v>
      </c>
      <c r="D7" s="13">
        <v>3381</v>
      </c>
    </row>
    <row r="8" spans="1:4" x14ac:dyDescent="0.55000000000000004">
      <c r="A8" s="2" t="s">
        <v>49</v>
      </c>
      <c r="B8" s="6">
        <v>7299</v>
      </c>
      <c r="C8" s="6">
        <v>10028</v>
      </c>
      <c r="D8" s="6">
        <v>13421</v>
      </c>
    </row>
    <row r="9" spans="1:4" x14ac:dyDescent="0.55000000000000004">
      <c r="A9" s="2" t="s">
        <v>50</v>
      </c>
      <c r="B9" s="6">
        <v>18385</v>
      </c>
      <c r="C9" s="6">
        <v>33790</v>
      </c>
      <c r="D9" s="6">
        <v>55241</v>
      </c>
    </row>
    <row r="10" spans="1:4" x14ac:dyDescent="0.55000000000000004">
      <c r="A10" s="3" t="s">
        <v>51</v>
      </c>
      <c r="B10" s="13" t="s">
        <v>9</v>
      </c>
      <c r="C10" s="13" t="s">
        <v>9</v>
      </c>
      <c r="D10" s="13" t="s">
        <v>9</v>
      </c>
    </row>
    <row r="11" spans="1:4" x14ac:dyDescent="0.55000000000000004">
      <c r="A11" s="3" t="s">
        <v>52</v>
      </c>
      <c r="B11" s="13">
        <v>311</v>
      </c>
      <c r="C11" s="13">
        <v>519</v>
      </c>
      <c r="D11" s="13">
        <v>1088</v>
      </c>
    </row>
    <row r="12" spans="1:4" x14ac:dyDescent="0.55000000000000004">
      <c r="A12" s="2" t="s">
        <v>53</v>
      </c>
      <c r="B12" s="6">
        <v>311</v>
      </c>
      <c r="C12" s="6">
        <v>519</v>
      </c>
      <c r="D12" s="6">
        <v>1088</v>
      </c>
    </row>
    <row r="13" spans="1:4" x14ac:dyDescent="0.55000000000000004">
      <c r="A13" s="3" t="s">
        <v>54</v>
      </c>
      <c r="B13" s="13">
        <v>4527</v>
      </c>
      <c r="C13" s="13">
        <v>8283</v>
      </c>
      <c r="D13" s="13">
        <v>14030</v>
      </c>
    </row>
    <row r="14" spans="1:4" x14ac:dyDescent="0.55000000000000004">
      <c r="A14" s="2" t="s">
        <v>55</v>
      </c>
      <c r="B14" s="6">
        <v>14013</v>
      </c>
      <c r="C14" s="6">
        <v>25922</v>
      </c>
      <c r="D14" s="6">
        <v>41733</v>
      </c>
    </row>
    <row r="15" spans="1:4" x14ac:dyDescent="0.55000000000000004">
      <c r="A15" s="2" t="s">
        <v>56</v>
      </c>
      <c r="B15" s="6">
        <v>14013</v>
      </c>
      <c r="C15" s="6">
        <v>25922</v>
      </c>
      <c r="D15" s="6">
        <v>41733</v>
      </c>
    </row>
    <row r="16" spans="1:4" x14ac:dyDescent="0.55000000000000004">
      <c r="A16" s="3" t="s">
        <v>57</v>
      </c>
      <c r="B16" s="13" t="s">
        <v>9</v>
      </c>
      <c r="C16" s="13" t="s">
        <v>9</v>
      </c>
      <c r="D16" s="13" t="s">
        <v>9</v>
      </c>
    </row>
    <row r="17" spans="1:5" x14ac:dyDescent="0.55000000000000004">
      <c r="A17" s="2" t="s">
        <v>58</v>
      </c>
      <c r="B17" s="6">
        <v>14013</v>
      </c>
      <c r="C17" s="6">
        <v>25922</v>
      </c>
      <c r="D17" s="6">
        <v>41733</v>
      </c>
    </row>
    <row r="18" spans="1:5" x14ac:dyDescent="0.55000000000000004">
      <c r="A18" s="2" t="s">
        <v>59</v>
      </c>
      <c r="B18" s="6">
        <v>14013</v>
      </c>
      <c r="C18" s="6">
        <v>25922</v>
      </c>
      <c r="D18" s="6">
        <v>41733</v>
      </c>
    </row>
    <row r="19" spans="1:5" x14ac:dyDescent="0.55000000000000004">
      <c r="A19" s="2" t="s">
        <v>60</v>
      </c>
      <c r="B19" s="14"/>
      <c r="C19" s="14"/>
      <c r="D19" s="14"/>
    </row>
    <row r="20" spans="1:5" x14ac:dyDescent="0.55000000000000004">
      <c r="A20" s="3" t="s">
        <v>61</v>
      </c>
      <c r="B20" s="15">
        <v>15.41</v>
      </c>
      <c r="C20" s="15">
        <v>28.05</v>
      </c>
      <c r="D20" s="15">
        <v>44.64</v>
      </c>
    </row>
    <row r="21" spans="1:5" x14ac:dyDescent="0.55000000000000004">
      <c r="A21" s="3" t="s">
        <v>62</v>
      </c>
      <c r="B21" s="15">
        <v>15.15</v>
      </c>
      <c r="C21" s="15">
        <v>27.68</v>
      </c>
      <c r="D21" s="15">
        <v>44.15</v>
      </c>
    </row>
    <row r="22" spans="1:5" x14ac:dyDescent="0.55000000000000004">
      <c r="A22" s="2" t="s">
        <v>63</v>
      </c>
      <c r="B22" s="16"/>
      <c r="C22" s="16"/>
      <c r="D22" s="16"/>
    </row>
    <row r="23" spans="1:5" x14ac:dyDescent="0.55000000000000004">
      <c r="A23" s="3" t="s">
        <v>61</v>
      </c>
      <c r="B23" s="13">
        <v>909.46100000000001</v>
      </c>
      <c r="C23" s="13">
        <v>924.25800000000004</v>
      </c>
      <c r="D23" s="13">
        <v>934.81799999999998</v>
      </c>
    </row>
    <row r="24" spans="1:5" x14ac:dyDescent="0.55000000000000004">
      <c r="A24" s="3" t="s">
        <v>62</v>
      </c>
      <c r="B24" s="13">
        <v>924.71199999999999</v>
      </c>
      <c r="C24" s="13">
        <v>936.64499999999998</v>
      </c>
      <c r="D24" s="13">
        <v>945.35500000000002</v>
      </c>
    </row>
    <row r="25" spans="1:5" x14ac:dyDescent="0.55000000000000004">
      <c r="A25" s="2" t="s">
        <v>64</v>
      </c>
      <c r="B25" s="17" t="s">
        <v>9</v>
      </c>
      <c r="C25" s="17" t="s">
        <v>9</v>
      </c>
      <c r="D25" s="16">
        <v>2.65</v>
      </c>
    </row>
    <row r="26" spans="1:5" x14ac:dyDescent="0.55000000000000004">
      <c r="A26" s="2" t="s">
        <v>65</v>
      </c>
      <c r="B26" s="18" t="s">
        <v>9</v>
      </c>
      <c r="C26" s="18" t="s">
        <v>9</v>
      </c>
      <c r="D26" s="19">
        <v>5.9617000000000003E-2</v>
      </c>
      <c r="E26" s="397"/>
    </row>
    <row r="27" spans="1:5" x14ac:dyDescent="0.55000000000000004">
      <c r="A27" s="2" t="s">
        <v>66</v>
      </c>
      <c r="B27" s="6">
        <v>19412</v>
      </c>
      <c r="C27" s="6">
        <v>35604</v>
      </c>
      <c r="D27" s="6">
        <v>58518</v>
      </c>
    </row>
    <row r="28" spans="1:5" x14ac:dyDescent="0.55000000000000004">
      <c r="A28" s="11" t="s">
        <v>67</v>
      </c>
      <c r="B28" s="11"/>
      <c r="C28" s="11"/>
      <c r="D28" s="11"/>
    </row>
    <row r="29" spans="1:5" x14ac:dyDescent="0.55000000000000004">
      <c r="A29" s="1"/>
      <c r="B29" s="1"/>
      <c r="C29" s="1"/>
      <c r="D29" s="1"/>
    </row>
    <row r="30" spans="1:5" x14ac:dyDescent="0.55000000000000004">
      <c r="A30" s="9" t="s">
        <v>68</v>
      </c>
      <c r="B30" s="20"/>
      <c r="C30" s="20"/>
      <c r="D30" s="20"/>
    </row>
    <row r="31" spans="1:5" x14ac:dyDescent="0.55000000000000004">
      <c r="A31" s="9" t="s">
        <v>69</v>
      </c>
      <c r="B31" s="20"/>
      <c r="C31" s="20"/>
      <c r="D31" s="20"/>
    </row>
    <row r="32" spans="1:5" x14ac:dyDescent="0.55000000000000004">
      <c r="B32" s="21">
        <v>2010</v>
      </c>
      <c r="C32" s="21">
        <v>2011</v>
      </c>
      <c r="D32" s="21">
        <v>2012</v>
      </c>
    </row>
    <row r="33" spans="1:4" x14ac:dyDescent="0.55000000000000004">
      <c r="A33" s="409" t="s">
        <v>494</v>
      </c>
      <c r="B33" s="21"/>
      <c r="C33" s="21"/>
      <c r="D33" s="21"/>
    </row>
    <row r="34" spans="1:4" x14ac:dyDescent="0.55000000000000004">
      <c r="A34" s="10" t="s">
        <v>495</v>
      </c>
      <c r="B34" s="13">
        <v>24498</v>
      </c>
      <c r="C34" s="13">
        <v>38315</v>
      </c>
      <c r="D34" s="13">
        <v>57512</v>
      </c>
    </row>
    <row r="35" spans="1:4" x14ac:dyDescent="0.55000000000000004">
      <c r="A35" s="410" t="s">
        <v>497</v>
      </c>
      <c r="B35" s="411">
        <f>B34/B3</f>
        <v>0.3755921809122269</v>
      </c>
      <c r="C35" s="411">
        <f>C34/C3</f>
        <v>0.35395246145460929</v>
      </c>
      <c r="D35" s="411">
        <f>D34/D3</f>
        <v>0.36747003348071666</v>
      </c>
    </row>
    <row r="36" spans="1:4" x14ac:dyDescent="0.55000000000000004">
      <c r="A36" s="10" t="s">
        <v>496</v>
      </c>
      <c r="B36" s="13">
        <v>7590</v>
      </c>
      <c r="C36" s="13">
        <v>13538</v>
      </c>
      <c r="D36" s="13">
        <v>23733</v>
      </c>
    </row>
    <row r="37" spans="1:4" x14ac:dyDescent="0.55000000000000004">
      <c r="A37" s="410" t="s">
        <v>498</v>
      </c>
      <c r="B37" s="411">
        <f>B36/B9</f>
        <v>0.41283655153657872</v>
      </c>
      <c r="C37" s="411">
        <f>C36/C9</f>
        <v>0.40065108020124296</v>
      </c>
      <c r="D37" s="411">
        <f>D36/D9</f>
        <v>0.42962654550062451</v>
      </c>
    </row>
    <row r="38" spans="1:4" x14ac:dyDescent="0.55000000000000004">
      <c r="B38" s="13"/>
      <c r="C38" s="13"/>
      <c r="D38" s="13"/>
    </row>
    <row r="39" spans="1:4" x14ac:dyDescent="0.55000000000000004">
      <c r="B39" s="21"/>
      <c r="C39" s="21"/>
      <c r="D39" s="21"/>
    </row>
    <row r="40" spans="1:4" x14ac:dyDescent="0.55000000000000004">
      <c r="B40" s="21"/>
      <c r="C40" s="21"/>
      <c r="D40" s="21"/>
    </row>
    <row r="41" spans="1:4" x14ac:dyDescent="0.55000000000000004">
      <c r="B41" s="21"/>
      <c r="C41" s="21"/>
      <c r="D41" s="21"/>
    </row>
    <row r="42" spans="1:4" x14ac:dyDescent="0.55000000000000004">
      <c r="B42" s="21"/>
      <c r="C42" s="21"/>
      <c r="D42" s="21"/>
    </row>
    <row r="43" spans="1:4" x14ac:dyDescent="0.55000000000000004">
      <c r="B43" s="21"/>
      <c r="C43" s="21"/>
      <c r="D43" s="21"/>
    </row>
    <row r="44" spans="1:4" x14ac:dyDescent="0.55000000000000004">
      <c r="B44" s="21"/>
      <c r="C44" s="21"/>
      <c r="D44" s="21"/>
    </row>
    <row r="45" spans="1:4" x14ac:dyDescent="0.55000000000000004">
      <c r="B45" s="21"/>
      <c r="C45" s="21"/>
      <c r="D45" s="21"/>
    </row>
    <row r="46" spans="1:4" x14ac:dyDescent="0.55000000000000004">
      <c r="B46" s="21"/>
      <c r="C46" s="21"/>
      <c r="D46" s="21"/>
    </row>
    <row r="47" spans="1:4" x14ac:dyDescent="0.55000000000000004">
      <c r="B47" s="21"/>
      <c r="C47" s="21"/>
      <c r="D47" s="21"/>
    </row>
    <row r="48" spans="1:4" x14ac:dyDescent="0.55000000000000004">
      <c r="B48" s="21"/>
      <c r="C48" s="21"/>
      <c r="D48" s="21"/>
    </row>
    <row r="49" spans="2:4" x14ac:dyDescent="0.55000000000000004">
      <c r="B49" s="21"/>
      <c r="C49" s="21"/>
      <c r="D49" s="21"/>
    </row>
    <row r="50" spans="2:4" x14ac:dyDescent="0.55000000000000004">
      <c r="B50" s="21"/>
      <c r="C50" s="21"/>
      <c r="D50" s="21"/>
    </row>
    <row r="51" spans="2:4" x14ac:dyDescent="0.55000000000000004">
      <c r="B51" s="21"/>
      <c r="C51" s="21"/>
      <c r="D51" s="21"/>
    </row>
    <row r="52" spans="2:4" x14ac:dyDescent="0.55000000000000004">
      <c r="B52" s="21"/>
      <c r="C52" s="21"/>
      <c r="D52" s="21"/>
    </row>
    <row r="53" spans="2:4" x14ac:dyDescent="0.55000000000000004">
      <c r="B53" s="21"/>
      <c r="C53" s="21"/>
      <c r="D53" s="21"/>
    </row>
    <row r="54" spans="2:4" x14ac:dyDescent="0.55000000000000004">
      <c r="B54" s="21"/>
      <c r="C54" s="21"/>
      <c r="D54" s="21"/>
    </row>
    <row r="55" spans="2:4" x14ac:dyDescent="0.55000000000000004">
      <c r="B55" s="21"/>
      <c r="C55" s="21"/>
      <c r="D55" s="21"/>
    </row>
    <row r="56" spans="2:4" x14ac:dyDescent="0.55000000000000004">
      <c r="B56" s="21"/>
      <c r="C56" s="21"/>
      <c r="D56" s="21"/>
    </row>
    <row r="57" spans="2:4" x14ac:dyDescent="0.55000000000000004">
      <c r="B57" s="21"/>
      <c r="C57" s="21"/>
      <c r="D57" s="21"/>
    </row>
    <row r="58" spans="2:4" x14ac:dyDescent="0.55000000000000004">
      <c r="B58" s="21"/>
      <c r="C58" s="21"/>
      <c r="D58" s="21"/>
    </row>
    <row r="59" spans="2:4" x14ac:dyDescent="0.55000000000000004">
      <c r="B59" s="21"/>
      <c r="C59" s="21"/>
      <c r="D59" s="21"/>
    </row>
    <row r="60" spans="2:4" x14ac:dyDescent="0.55000000000000004">
      <c r="B60" s="21"/>
      <c r="C60" s="21"/>
      <c r="D60" s="21"/>
    </row>
    <row r="61" spans="2:4" x14ac:dyDescent="0.55000000000000004">
      <c r="B61" s="21"/>
      <c r="C61" s="21"/>
      <c r="D61" s="21"/>
    </row>
    <row r="62" spans="2:4" x14ac:dyDescent="0.55000000000000004">
      <c r="B62" s="21"/>
      <c r="C62" s="21"/>
      <c r="D62" s="21"/>
    </row>
    <row r="63" spans="2:4" x14ac:dyDescent="0.55000000000000004">
      <c r="B63" s="21"/>
      <c r="C63" s="21"/>
      <c r="D63" s="21"/>
    </row>
    <row r="64" spans="2:4" x14ac:dyDescent="0.55000000000000004">
      <c r="B64" s="21"/>
      <c r="C64" s="21"/>
      <c r="D64" s="21"/>
    </row>
    <row r="65" spans="2:4" x14ac:dyDescent="0.55000000000000004">
      <c r="B65" s="21"/>
      <c r="C65" s="21"/>
      <c r="D65" s="21"/>
    </row>
    <row r="66" spans="2:4" x14ac:dyDescent="0.55000000000000004">
      <c r="B66" s="21"/>
      <c r="C66" s="21"/>
      <c r="D66" s="21"/>
    </row>
    <row r="67" spans="2:4" x14ac:dyDescent="0.55000000000000004">
      <c r="B67" s="21"/>
      <c r="C67" s="21"/>
      <c r="D67" s="21"/>
    </row>
    <row r="68" spans="2:4" x14ac:dyDescent="0.55000000000000004">
      <c r="B68" s="21"/>
      <c r="C68" s="21"/>
      <c r="D68" s="21"/>
    </row>
    <row r="69" spans="2:4" x14ac:dyDescent="0.55000000000000004">
      <c r="B69" s="21"/>
      <c r="C69" s="21"/>
      <c r="D69" s="21"/>
    </row>
    <row r="70" spans="2:4" x14ac:dyDescent="0.55000000000000004">
      <c r="B70" s="21"/>
      <c r="C70" s="21"/>
      <c r="D70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>
      <selection sqref="A1:K1"/>
    </sheetView>
  </sheetViews>
  <sheetFormatPr baseColWidth="10" defaultColWidth="8.83984375" defaultRowHeight="14.4" x14ac:dyDescent="0.55000000000000004"/>
  <cols>
    <col min="1" max="1" width="20.15625" customWidth="1"/>
    <col min="2" max="3" width="10.68359375" customWidth="1"/>
    <col min="4" max="11" width="11.15625" customWidth="1"/>
  </cols>
  <sheetData>
    <row r="1" spans="1:12" ht="21.3" x14ac:dyDescent="0.55000000000000004">
      <c r="A1" s="454" t="s">
        <v>198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</row>
    <row r="2" spans="1:12" ht="17.7" x14ac:dyDescent="0.55000000000000004">
      <c r="A2" s="455" t="s">
        <v>197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</row>
    <row r="3" spans="1:12" x14ac:dyDescent="0.55000000000000004">
      <c r="A3" s="117"/>
      <c r="B3" s="116"/>
      <c r="C3" s="115"/>
      <c r="D3" s="114"/>
      <c r="E3" s="114"/>
      <c r="F3" s="113"/>
      <c r="G3" s="113"/>
      <c r="H3" s="112"/>
      <c r="I3" s="112"/>
      <c r="J3" s="111"/>
      <c r="K3" s="111"/>
    </row>
    <row r="4" spans="1:12" x14ac:dyDescent="0.55000000000000004">
      <c r="A4" s="117"/>
      <c r="B4" s="116"/>
      <c r="C4" s="115"/>
      <c r="D4" s="114"/>
      <c r="E4" s="114"/>
      <c r="F4" s="113"/>
      <c r="G4" s="113"/>
      <c r="H4" s="112"/>
      <c r="I4" s="112"/>
      <c r="J4" s="111"/>
      <c r="K4" s="111"/>
    </row>
    <row r="5" spans="1:12" x14ac:dyDescent="0.55000000000000004">
      <c r="A5" s="90"/>
      <c r="B5" s="90" t="s">
        <v>196</v>
      </c>
      <c r="C5" s="90"/>
      <c r="D5" s="90"/>
      <c r="E5" s="90"/>
      <c r="F5" s="90"/>
      <c r="G5" s="90"/>
      <c r="H5" s="90"/>
      <c r="I5" s="90"/>
      <c r="J5" s="90"/>
      <c r="K5" s="90"/>
    </row>
    <row r="6" spans="1:12" x14ac:dyDescent="0.55000000000000004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</row>
    <row r="7" spans="1:12" x14ac:dyDescent="0.55000000000000004">
      <c r="A7" s="90" t="s">
        <v>195</v>
      </c>
      <c r="B7" s="90"/>
      <c r="C7" s="90"/>
      <c r="D7" s="93"/>
      <c r="E7" s="93"/>
      <c r="F7" s="93" t="s">
        <v>206</v>
      </c>
      <c r="G7" s="93"/>
      <c r="H7" s="291">
        <v>61332</v>
      </c>
      <c r="I7" s="292">
        <f>H7/939.2</f>
        <v>65.302385008517888</v>
      </c>
      <c r="J7" s="265" t="s">
        <v>205</v>
      </c>
      <c r="K7" s="93"/>
    </row>
    <row r="8" spans="1:12" x14ac:dyDescent="0.55000000000000004">
      <c r="A8" s="90" t="s">
        <v>194</v>
      </c>
      <c r="B8" s="90"/>
      <c r="C8" s="90"/>
      <c r="D8" s="107">
        <v>0.1</v>
      </c>
      <c r="E8" s="93"/>
      <c r="F8" s="93" t="s">
        <v>193</v>
      </c>
      <c r="G8" s="93"/>
      <c r="H8" s="110">
        <f>E25/(E47)</f>
        <v>5.6338028169014086E-2</v>
      </c>
      <c r="I8" s="93"/>
      <c r="J8" s="93"/>
      <c r="K8" s="93"/>
    </row>
    <row r="9" spans="1:12" x14ac:dyDescent="0.55000000000000004">
      <c r="A9" s="90"/>
      <c r="B9" s="90"/>
      <c r="C9" s="90"/>
      <c r="D9" s="93"/>
      <c r="E9" s="93"/>
      <c r="F9" s="93"/>
      <c r="G9" s="93"/>
      <c r="H9" s="93"/>
      <c r="I9" s="93"/>
      <c r="J9" s="93"/>
      <c r="K9" s="93"/>
    </row>
    <row r="10" spans="1:12" x14ac:dyDescent="0.55000000000000004">
      <c r="A10" s="90"/>
      <c r="B10" s="90"/>
      <c r="C10" s="90"/>
      <c r="D10" s="109" t="s">
        <v>192</v>
      </c>
      <c r="E10" s="109" t="s">
        <v>191</v>
      </c>
      <c r="F10" s="108">
        <v>2013</v>
      </c>
      <c r="G10" s="108">
        <v>2014</v>
      </c>
      <c r="H10" s="108">
        <v>2015</v>
      </c>
      <c r="I10" s="108">
        <v>2016</v>
      </c>
      <c r="J10" s="108">
        <v>2017</v>
      </c>
      <c r="K10" s="93"/>
      <c r="L10" s="93"/>
    </row>
    <row r="11" spans="1:12" x14ac:dyDescent="0.55000000000000004">
      <c r="A11" s="90" t="s">
        <v>190</v>
      </c>
      <c r="B11" s="90"/>
      <c r="C11" s="90"/>
      <c r="D11" s="92">
        <f>D36/D20</f>
        <v>0.11943159455107726</v>
      </c>
      <c r="E11" s="92">
        <f>E36/E20</f>
        <v>0.11943159455107726</v>
      </c>
      <c r="F11" s="107">
        <v>0.11899999999999999</v>
      </c>
      <c r="G11" s="107">
        <v>0.11899999999999999</v>
      </c>
      <c r="H11" s="107">
        <v>0.11899999999999999</v>
      </c>
      <c r="I11" s="107">
        <v>0.11899999999999999</v>
      </c>
      <c r="J11" s="107">
        <v>0.11899999999999999</v>
      </c>
      <c r="K11" s="93"/>
      <c r="L11" s="93"/>
    </row>
    <row r="12" spans="1:12" x14ac:dyDescent="0.55000000000000004">
      <c r="A12" s="90" t="s">
        <v>189</v>
      </c>
      <c r="B12" s="90"/>
      <c r="C12" s="90"/>
      <c r="D12" s="92">
        <f>D37/D21</f>
        <v>9.0043940532295152E-3</v>
      </c>
      <c r="E12" s="92">
        <f>E37/E21</f>
        <v>9.0043940532295152E-3</v>
      </c>
      <c r="F12" s="107">
        <v>8.9999999999999993E-3</v>
      </c>
      <c r="G12" s="107">
        <v>8.9999999999999993E-3</v>
      </c>
      <c r="H12" s="107">
        <v>8.9999999999999993E-3</v>
      </c>
      <c r="I12" s="107">
        <v>8.9999999999999993E-3</v>
      </c>
      <c r="J12" s="107">
        <v>8.9999999999999993E-3</v>
      </c>
      <c r="K12" s="93"/>
      <c r="L12" s="93"/>
    </row>
    <row r="13" spans="1:12" x14ac:dyDescent="0.55000000000000004">
      <c r="A13" s="90" t="s">
        <v>188</v>
      </c>
      <c r="B13" s="90"/>
      <c r="C13" s="90"/>
      <c r="D13" s="92">
        <f>D21/D20</f>
        <v>0.56128760191172333</v>
      </c>
      <c r="E13" s="92">
        <f>E21/E20</f>
        <v>0.56128760191172333</v>
      </c>
      <c r="F13" s="107">
        <v>0.56100000000000005</v>
      </c>
      <c r="G13" s="107">
        <v>0.56100000000000005</v>
      </c>
      <c r="H13" s="107">
        <v>0.56100000000000005</v>
      </c>
      <c r="I13" s="107">
        <v>0.56100000000000005</v>
      </c>
      <c r="J13" s="107">
        <v>0.56100000000000005</v>
      </c>
      <c r="K13" s="93"/>
      <c r="L13" s="93"/>
    </row>
    <row r="14" spans="1:12" x14ac:dyDescent="0.55000000000000004">
      <c r="A14" s="90" t="s">
        <v>187</v>
      </c>
      <c r="B14" s="90"/>
      <c r="C14" s="90"/>
      <c r="D14" s="92">
        <f>D22/D20</f>
        <v>2.1602729572929181E-2</v>
      </c>
      <c r="E14" s="92">
        <f>E22/E20</f>
        <v>2.1602729572929181E-2</v>
      </c>
      <c r="F14" s="107">
        <v>2.1999999999999999E-2</v>
      </c>
      <c r="G14" s="107">
        <v>2.1999999999999999E-2</v>
      </c>
      <c r="H14" s="107">
        <v>2.1999999999999999E-2</v>
      </c>
      <c r="I14" s="107">
        <v>2.1999999999999999E-2</v>
      </c>
      <c r="J14" s="107">
        <v>2.1999999999999999E-2</v>
      </c>
      <c r="K14" s="93"/>
      <c r="L14" s="93"/>
    </row>
    <row r="15" spans="1:12" x14ac:dyDescent="0.55000000000000004">
      <c r="A15" s="90" t="s">
        <v>186</v>
      </c>
      <c r="B15" s="90"/>
      <c r="C15" s="90"/>
      <c r="D15" s="92">
        <f>D23/D20</f>
        <v>6.4150075395506934E-2</v>
      </c>
      <c r="E15" s="92">
        <f>E23/E20</f>
        <v>6.4150075395506934E-2</v>
      </c>
      <c r="F15" s="107">
        <v>6.4000000000000001E-2</v>
      </c>
      <c r="G15" s="107">
        <v>6.4000000000000001E-2</v>
      </c>
      <c r="H15" s="107">
        <v>6.4000000000000001E-2</v>
      </c>
      <c r="I15" s="107">
        <v>6.4000000000000001E-2</v>
      </c>
      <c r="J15" s="107">
        <v>6.4000000000000001E-2</v>
      </c>
      <c r="K15" s="93"/>
      <c r="L15" s="93"/>
    </row>
    <row r="16" spans="1:12" x14ac:dyDescent="0.55000000000000004">
      <c r="A16" s="90" t="s">
        <v>185</v>
      </c>
      <c r="B16" s="90"/>
      <c r="C16" s="90"/>
      <c r="D16" s="92">
        <f>(D26-D28)/D26</f>
        <v>0.22935017450556755</v>
      </c>
      <c r="E16" s="92">
        <f>(E26-E28)/E26</f>
        <v>0.22935017450556755</v>
      </c>
      <c r="F16" s="107">
        <v>0.22900000000000001</v>
      </c>
      <c r="G16" s="107">
        <v>0.22900000000000001</v>
      </c>
      <c r="H16" s="107">
        <v>0.22900000000000001</v>
      </c>
      <c r="I16" s="107">
        <v>0.22900000000000001</v>
      </c>
      <c r="J16" s="107">
        <v>0.22900000000000001</v>
      </c>
      <c r="K16" s="93"/>
      <c r="L16" s="93"/>
    </row>
    <row r="17" spans="1:17" x14ac:dyDescent="0.55000000000000004">
      <c r="A17" s="90" t="s">
        <v>184</v>
      </c>
      <c r="B17" s="90"/>
      <c r="C17" s="90"/>
      <c r="D17" s="92">
        <f>D39/D21</f>
        <v>0.17589873187168453</v>
      </c>
      <c r="E17" s="92">
        <f>E39/E21</f>
        <v>0.17589873187168453</v>
      </c>
      <c r="F17" s="107">
        <v>0.17599999999999999</v>
      </c>
      <c r="G17" s="107">
        <v>0.17599999999999999</v>
      </c>
      <c r="H17" s="107">
        <v>0.17599999999999999</v>
      </c>
      <c r="I17" s="107">
        <v>0.17599999999999999</v>
      </c>
      <c r="J17" s="107">
        <v>0.17599999999999999</v>
      </c>
      <c r="K17" s="93"/>
      <c r="L17" s="93"/>
    </row>
    <row r="18" spans="1:17" x14ac:dyDescent="0.55000000000000004">
      <c r="A18" s="90"/>
      <c r="B18" s="90"/>
      <c r="C18" s="90"/>
      <c r="D18" s="90"/>
      <c r="E18" s="92"/>
      <c r="F18" s="107"/>
      <c r="G18" s="107"/>
      <c r="H18" s="107"/>
      <c r="I18" s="107"/>
      <c r="J18" s="107"/>
      <c r="K18" s="93"/>
      <c r="L18" s="93"/>
    </row>
    <row r="19" spans="1:17" x14ac:dyDescent="0.55000000000000004">
      <c r="A19" s="102" t="s">
        <v>42</v>
      </c>
      <c r="B19" s="90"/>
      <c r="C19" s="90"/>
      <c r="D19" s="90"/>
      <c r="E19" s="95"/>
      <c r="F19" s="95"/>
      <c r="G19" s="95"/>
      <c r="H19" s="95"/>
      <c r="I19" s="95"/>
      <c r="J19" s="95"/>
      <c r="K19" s="90"/>
      <c r="L19" s="93"/>
    </row>
    <row r="20" spans="1:17" x14ac:dyDescent="0.55000000000000004">
      <c r="A20" s="89" t="s">
        <v>183</v>
      </c>
      <c r="B20" s="90"/>
      <c r="C20" s="90"/>
      <c r="D20" s="88">
        <v>156508</v>
      </c>
      <c r="E20" s="88">
        <v>156508</v>
      </c>
      <c r="F20" s="88">
        <f>E20*(1+$D$8)</f>
        <v>172158.80000000002</v>
      </c>
      <c r="G20" s="88">
        <f>F20*(1+$D$8)</f>
        <v>189374.68000000002</v>
      </c>
      <c r="H20" s="88">
        <f>G20*(1+$D$8)</f>
        <v>208312.14800000004</v>
      </c>
      <c r="I20" s="88">
        <f>H20*(1+$D$8)</f>
        <v>229143.36280000006</v>
      </c>
      <c r="J20" s="88">
        <f>I20*(1+$D$8)</f>
        <v>252057.69908000008</v>
      </c>
      <c r="K20" s="90"/>
      <c r="L20" s="93"/>
    </row>
    <row r="21" spans="1:17" x14ac:dyDescent="0.55000000000000004">
      <c r="A21" s="90" t="s">
        <v>182</v>
      </c>
      <c r="B21" s="90"/>
      <c r="C21" s="90"/>
      <c r="D21" s="88">
        <v>87846</v>
      </c>
      <c r="E21" s="88">
        <v>87846</v>
      </c>
      <c r="F21" s="88">
        <f>F20*F13</f>
        <v>96581.086800000019</v>
      </c>
      <c r="G21" s="88">
        <f>G20*G13</f>
        <v>106239.19548000002</v>
      </c>
      <c r="H21" s="88">
        <f>H20*H13</f>
        <v>116863.11502800003</v>
      </c>
      <c r="I21" s="88">
        <f>I20*I13</f>
        <v>128549.42653080005</v>
      </c>
      <c r="J21" s="88">
        <f>J20*J13</f>
        <v>141404.36918388004</v>
      </c>
      <c r="K21" s="90"/>
      <c r="L21" s="106"/>
    </row>
    <row r="22" spans="1:17" x14ac:dyDescent="0.55000000000000004">
      <c r="A22" s="90" t="s">
        <v>181</v>
      </c>
      <c r="B22" s="90"/>
      <c r="C22" s="90"/>
      <c r="D22" s="88">
        <v>3381</v>
      </c>
      <c r="E22" s="88">
        <v>3381</v>
      </c>
      <c r="F22" s="88">
        <f>F20*F14</f>
        <v>3787.4936000000002</v>
      </c>
      <c r="G22" s="88">
        <f>G20*G14</f>
        <v>4166.2429600000005</v>
      </c>
      <c r="H22" s="88">
        <f>H20*H14</f>
        <v>4582.8672560000005</v>
      </c>
      <c r="I22" s="88">
        <f>I20*I14</f>
        <v>5041.1539816000013</v>
      </c>
      <c r="J22" s="88">
        <f>J20*J14</f>
        <v>5545.2693797600014</v>
      </c>
      <c r="K22" s="90"/>
      <c r="L22" s="93"/>
    </row>
    <row r="23" spans="1:17" x14ac:dyDescent="0.55000000000000004">
      <c r="A23" s="90" t="s">
        <v>180</v>
      </c>
      <c r="B23" s="90"/>
      <c r="C23" s="90"/>
      <c r="D23" s="88">
        <v>10040</v>
      </c>
      <c r="E23" s="88">
        <v>10040</v>
      </c>
      <c r="F23" s="88">
        <f>F20*F15</f>
        <v>11018.163200000001</v>
      </c>
      <c r="G23" s="88">
        <f>G20*G15</f>
        <v>12119.979520000001</v>
      </c>
      <c r="H23" s="88">
        <f>H20*H15</f>
        <v>13331.977472000002</v>
      </c>
      <c r="I23" s="88">
        <f>I20*I15</f>
        <v>14665.175219200004</v>
      </c>
      <c r="J23" s="88">
        <f>J20*J15</f>
        <v>16131.692741120005</v>
      </c>
      <c r="K23" s="90"/>
      <c r="L23" s="93"/>
    </row>
    <row r="24" spans="1:17" x14ac:dyDescent="0.55000000000000004">
      <c r="A24" s="90" t="s">
        <v>133</v>
      </c>
      <c r="B24" s="90"/>
      <c r="C24" s="90"/>
      <c r="D24" s="88">
        <v>55241</v>
      </c>
      <c r="E24" s="88">
        <v>55241</v>
      </c>
      <c r="F24" s="88">
        <f>F20-SUM(F21:F23)</f>
        <v>60772.056400000001</v>
      </c>
      <c r="G24" s="88">
        <f>G20-SUM(G21:G23)</f>
        <v>66849.262040000001</v>
      </c>
      <c r="H24" s="88">
        <f>H20-SUM(H21:H23)</f>
        <v>73534.188244000019</v>
      </c>
      <c r="I24" s="88">
        <f>I20-SUM(I21:I23)</f>
        <v>80887.607068400015</v>
      </c>
      <c r="J24" s="88">
        <f>J20-SUM(J21:J23)</f>
        <v>88976.36777524004</v>
      </c>
      <c r="K24" s="90"/>
      <c r="L24" s="93"/>
    </row>
    <row r="25" spans="1:17" x14ac:dyDescent="0.55000000000000004">
      <c r="A25" s="90" t="s">
        <v>179</v>
      </c>
      <c r="B25" s="90"/>
      <c r="C25" s="90"/>
      <c r="D25" s="88">
        <v>1088</v>
      </c>
      <c r="E25" s="88">
        <v>1088</v>
      </c>
      <c r="F25" s="88">
        <f>(E47)*$H$8*(1+$D$8)</f>
        <v>1196.8000000000002</v>
      </c>
      <c r="G25" s="88">
        <f>(F47)*$H$8*(1+$D$8)</f>
        <v>1316.7674932732396</v>
      </c>
      <c r="H25" s="88">
        <f>(G47)*$H$8*(1+$D$8)</f>
        <v>1448.4442426005639</v>
      </c>
      <c r="I25" s="88">
        <f>(H47)*$H$8*(1+$D$8)</f>
        <v>1593.2886668606202</v>
      </c>
      <c r="J25" s="88">
        <f>(I47)*$H$8*(1+$D$8)</f>
        <v>1752.6175335466824</v>
      </c>
      <c r="K25" s="90"/>
      <c r="L25" s="93"/>
    </row>
    <row r="26" spans="1:17" x14ac:dyDescent="0.55000000000000004">
      <c r="A26" s="90" t="s">
        <v>178</v>
      </c>
      <c r="B26" s="90"/>
      <c r="C26" s="90"/>
      <c r="D26" s="88">
        <f t="shared" ref="D26:J26" si="0">D24-D25</f>
        <v>54153</v>
      </c>
      <c r="E26" s="88">
        <f t="shared" si="0"/>
        <v>54153</v>
      </c>
      <c r="F26" s="88">
        <f t="shared" si="0"/>
        <v>59575.256399999998</v>
      </c>
      <c r="G26" s="88">
        <f t="shared" si="0"/>
        <v>65532.494546726761</v>
      </c>
      <c r="H26" s="88">
        <f t="shared" si="0"/>
        <v>72085.744001399449</v>
      </c>
      <c r="I26" s="88">
        <f t="shared" si="0"/>
        <v>79294.318401539393</v>
      </c>
      <c r="J26" s="88">
        <f t="shared" si="0"/>
        <v>87223.750241693357</v>
      </c>
      <c r="K26" s="90"/>
      <c r="L26" s="93"/>
    </row>
    <row r="27" spans="1:17" x14ac:dyDescent="0.55000000000000004">
      <c r="A27" s="90" t="s">
        <v>177</v>
      </c>
      <c r="B27" s="90"/>
      <c r="C27" s="90"/>
      <c r="D27" s="88">
        <f>D26-D28</f>
        <v>12420</v>
      </c>
      <c r="E27" s="88">
        <f>E26-E28</f>
        <v>12420</v>
      </c>
      <c r="F27" s="88">
        <f>F26*F16</f>
        <v>13642.733715599999</v>
      </c>
      <c r="G27" s="88">
        <f>G26*G16</f>
        <v>15006.941251200429</v>
      </c>
      <c r="H27" s="88">
        <f>H26*H16</f>
        <v>16507.635376320475</v>
      </c>
      <c r="I27" s="88">
        <f>I26*I16</f>
        <v>18158.398913952522</v>
      </c>
      <c r="J27" s="88">
        <f>J26*J16</f>
        <v>19974.238805347781</v>
      </c>
      <c r="K27" s="90"/>
      <c r="L27" s="93"/>
    </row>
    <row r="28" spans="1:17" x14ac:dyDescent="0.55000000000000004">
      <c r="A28" s="90" t="s">
        <v>176</v>
      </c>
      <c r="B28" s="90"/>
      <c r="C28" s="90"/>
      <c r="D28" s="88">
        <v>41733</v>
      </c>
      <c r="E28" s="88">
        <v>41733</v>
      </c>
      <c r="F28" s="88">
        <f>F26-F27</f>
        <v>45932.522684399999</v>
      </c>
      <c r="G28" s="88">
        <f>G26-G27</f>
        <v>50525.553295526333</v>
      </c>
      <c r="H28" s="88">
        <f>H26-H27</f>
        <v>55578.108625078974</v>
      </c>
      <c r="I28" s="88">
        <f>I26-I27</f>
        <v>61135.919487586871</v>
      </c>
      <c r="J28" s="88">
        <f>J26-J27</f>
        <v>67249.51143634558</v>
      </c>
      <c r="K28" s="90"/>
      <c r="L28" s="93"/>
      <c r="M28" s="93"/>
      <c r="N28" s="93"/>
      <c r="O28" s="93"/>
      <c r="P28" s="93"/>
      <c r="Q28" s="93"/>
    </row>
    <row r="29" spans="1:17" x14ac:dyDescent="0.55000000000000004">
      <c r="A29" s="90"/>
      <c r="B29" s="90"/>
      <c r="C29" s="90"/>
      <c r="D29" s="90"/>
      <c r="E29" s="101"/>
      <c r="F29" s="101"/>
      <c r="G29" s="101"/>
      <c r="H29" s="101"/>
      <c r="I29" s="101"/>
      <c r="J29" s="101"/>
      <c r="K29" s="90"/>
      <c r="L29" s="93"/>
    </row>
    <row r="30" spans="1:17" x14ac:dyDescent="0.55000000000000004">
      <c r="A30" s="90" t="s">
        <v>175</v>
      </c>
      <c r="B30" s="90"/>
      <c r="C30" s="90"/>
      <c r="D30" s="105">
        <f t="shared" ref="D30:J30" si="1">D24/D25</f>
        <v>50.772977941176471</v>
      </c>
      <c r="E30" s="105">
        <f t="shared" si="1"/>
        <v>50.772977941176471</v>
      </c>
      <c r="F30" s="105">
        <f t="shared" si="1"/>
        <v>50.778790441176461</v>
      </c>
      <c r="G30" s="105">
        <f t="shared" si="1"/>
        <v>50.76770377572516</v>
      </c>
      <c r="H30" s="105">
        <f t="shared" si="1"/>
        <v>50.76770377572516</v>
      </c>
      <c r="I30" s="105">
        <f t="shared" si="1"/>
        <v>50.76770377572516</v>
      </c>
      <c r="J30" s="105">
        <f t="shared" si="1"/>
        <v>50.767703775725167</v>
      </c>
      <c r="K30" s="90"/>
      <c r="L30" s="93"/>
    </row>
    <row r="31" spans="1:17" x14ac:dyDescent="0.55000000000000004">
      <c r="A31" s="90"/>
      <c r="B31" s="90"/>
      <c r="C31" s="90"/>
      <c r="D31" s="105"/>
      <c r="E31" s="105"/>
      <c r="F31" s="105"/>
      <c r="G31" s="105"/>
      <c r="H31" s="105"/>
      <c r="I31" s="105"/>
      <c r="J31" s="105"/>
      <c r="K31" s="90"/>
      <c r="L31" s="93"/>
    </row>
    <row r="32" spans="1:17" x14ac:dyDescent="0.55000000000000004">
      <c r="A32" s="102" t="s">
        <v>0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3"/>
    </row>
    <row r="33" spans="1:12" x14ac:dyDescent="0.55000000000000004">
      <c r="A33" s="89" t="s">
        <v>174</v>
      </c>
      <c r="B33" s="90"/>
      <c r="C33" s="90"/>
      <c r="D33" s="99">
        <v>121251</v>
      </c>
      <c r="E33" s="99">
        <f t="shared" ref="E33:J33" si="2">SUM(E34:E35)</f>
        <v>59919</v>
      </c>
      <c r="F33" s="99">
        <f t="shared" si="2"/>
        <v>44943.735010800003</v>
      </c>
      <c r="G33" s="99">
        <f t="shared" si="2"/>
        <v>34483.809538966321</v>
      </c>
      <c r="H33" s="99">
        <f t="shared" si="2"/>
        <v>29111.091519949317</v>
      </c>
      <c r="I33" s="99">
        <f t="shared" si="2"/>
        <v>29334.301699030577</v>
      </c>
      <c r="J33" s="99">
        <f t="shared" si="2"/>
        <v>35713.032896019999</v>
      </c>
      <c r="K33" s="90"/>
      <c r="L33" s="93"/>
    </row>
    <row r="34" spans="1:12" x14ac:dyDescent="0.55000000000000004">
      <c r="A34" s="90" t="s">
        <v>173</v>
      </c>
      <c r="B34" s="90"/>
      <c r="C34" s="90"/>
      <c r="D34" s="99">
        <f t="shared" ref="D34:J34" si="3">2*D23</f>
        <v>20080</v>
      </c>
      <c r="E34" s="99">
        <f t="shared" si="3"/>
        <v>20080</v>
      </c>
      <c r="F34" s="99">
        <f t="shared" si="3"/>
        <v>22036.326400000002</v>
      </c>
      <c r="G34" s="99">
        <f t="shared" si="3"/>
        <v>24239.959040000002</v>
      </c>
      <c r="H34" s="99">
        <f t="shared" si="3"/>
        <v>26663.954944000005</v>
      </c>
      <c r="I34" s="99">
        <f t="shared" si="3"/>
        <v>29330.350438400008</v>
      </c>
      <c r="J34" s="99">
        <f t="shared" si="3"/>
        <v>32263.38548224001</v>
      </c>
      <c r="K34" s="90"/>
      <c r="L34" s="93"/>
    </row>
    <row r="35" spans="1:12" x14ac:dyDescent="0.55000000000000004">
      <c r="A35" s="100" t="s">
        <v>172</v>
      </c>
      <c r="B35" s="100"/>
      <c r="C35" s="100"/>
      <c r="D35" s="104">
        <f>(29129+92122)-D34</f>
        <v>101171</v>
      </c>
      <c r="E35" s="290">
        <f>D35-H7</f>
        <v>39839</v>
      </c>
      <c r="F35" s="104">
        <f>F50-SUM(F36:F40)-F34</f>
        <v>22907.408610800001</v>
      </c>
      <c r="G35" s="104">
        <f>G50-SUM(G36:G40)-G34</f>
        <v>10243.85049896632</v>
      </c>
      <c r="H35" s="104">
        <f>H50-SUM(H36:H40)-H34</f>
        <v>2447.1365759493128</v>
      </c>
      <c r="I35" s="104">
        <f>I50-SUM(I36:I40)-I34</f>
        <v>3.9512606305688678</v>
      </c>
      <c r="J35" s="104">
        <f>J50-SUM(J36:J40)-J34</f>
        <v>3449.6474137799887</v>
      </c>
      <c r="K35" s="90"/>
      <c r="L35" s="93"/>
    </row>
    <row r="36" spans="1:12" x14ac:dyDescent="0.55000000000000004">
      <c r="A36" s="90" t="s">
        <v>171</v>
      </c>
      <c r="B36" s="90"/>
      <c r="C36" s="90"/>
      <c r="D36" s="99">
        <v>18692</v>
      </c>
      <c r="E36" s="99">
        <v>18692</v>
      </c>
      <c r="F36" s="99">
        <f t="shared" ref="F36:J37" si="4">F20*F11</f>
        <v>20486.897199999999</v>
      </c>
      <c r="G36" s="99">
        <f t="shared" si="4"/>
        <v>22535.586920000002</v>
      </c>
      <c r="H36" s="99">
        <f t="shared" si="4"/>
        <v>24789.145612000004</v>
      </c>
      <c r="I36" s="99">
        <f t="shared" si="4"/>
        <v>27268.060173200007</v>
      </c>
      <c r="J36" s="99">
        <f t="shared" si="4"/>
        <v>29994.86619052001</v>
      </c>
      <c r="K36" s="90"/>
      <c r="L36" s="93"/>
    </row>
    <row r="37" spans="1:12" x14ac:dyDescent="0.55000000000000004">
      <c r="A37" s="90" t="s">
        <v>170</v>
      </c>
      <c r="B37" s="90"/>
      <c r="C37" s="90"/>
      <c r="D37" s="88">
        <v>791</v>
      </c>
      <c r="E37" s="88">
        <v>791</v>
      </c>
      <c r="F37" s="88">
        <f t="shared" si="4"/>
        <v>869.22978120000016</v>
      </c>
      <c r="G37" s="88">
        <f t="shared" si="4"/>
        <v>956.1527593200002</v>
      </c>
      <c r="H37" s="88">
        <f t="shared" si="4"/>
        <v>1051.7680352520001</v>
      </c>
      <c r="I37" s="88">
        <f t="shared" si="4"/>
        <v>1156.9448387772004</v>
      </c>
      <c r="J37" s="88">
        <f t="shared" si="4"/>
        <v>1272.6393226549203</v>
      </c>
      <c r="K37" s="90"/>
      <c r="L37" s="93"/>
    </row>
    <row r="38" spans="1:12" x14ac:dyDescent="0.55000000000000004">
      <c r="A38" s="90" t="s">
        <v>17</v>
      </c>
      <c r="B38" s="90"/>
      <c r="C38" s="90"/>
      <c r="D38" s="88">
        <f>2583+278+6180</f>
        <v>9041</v>
      </c>
      <c r="E38" s="88">
        <f>2583+278+6180</f>
        <v>9041</v>
      </c>
      <c r="F38" s="99">
        <f>F21*0.103</f>
        <v>9947.8519404000017</v>
      </c>
      <c r="G38" s="99">
        <f>G21*0.103</f>
        <v>10942.637134440001</v>
      </c>
      <c r="H38" s="99">
        <f>H21*0.103</f>
        <v>12036.900847884002</v>
      </c>
      <c r="I38" s="99">
        <f>I21*0.103</f>
        <v>13240.590932672405</v>
      </c>
      <c r="J38" s="99">
        <f>J21*0.103</f>
        <v>14564.650025939643</v>
      </c>
      <c r="K38" s="90"/>
      <c r="L38" s="93"/>
    </row>
    <row r="39" spans="1:12" x14ac:dyDescent="0.55000000000000004">
      <c r="A39" s="90" t="s">
        <v>168</v>
      </c>
      <c r="B39" s="90"/>
      <c r="C39" s="90"/>
      <c r="D39" s="99">
        <v>15452</v>
      </c>
      <c r="E39" s="99">
        <v>15452</v>
      </c>
      <c r="F39" s="99">
        <f>F21*F17</f>
        <v>16998.271276800002</v>
      </c>
      <c r="G39" s="99">
        <f>G21*G17</f>
        <v>18698.098404480003</v>
      </c>
      <c r="H39" s="99">
        <f>H21*H17</f>
        <v>20567.908244928003</v>
      </c>
      <c r="I39" s="99">
        <f>I21*I17</f>
        <v>22624.699069420807</v>
      </c>
      <c r="J39" s="99">
        <f>J21*J17</f>
        <v>24887.168976362886</v>
      </c>
      <c r="K39" s="90"/>
      <c r="L39" s="93"/>
    </row>
    <row r="40" spans="1:12" x14ac:dyDescent="0.55000000000000004">
      <c r="A40" s="90" t="s">
        <v>204</v>
      </c>
      <c r="B40" s="90"/>
      <c r="C40" s="90"/>
      <c r="D40" s="103">
        <f>1135+4224+5478</f>
        <v>10837</v>
      </c>
      <c r="E40" s="103">
        <f>1135+4224+5478</f>
        <v>10837</v>
      </c>
      <c r="F40" s="103">
        <f>F21*0.123</f>
        <v>11879.473676400003</v>
      </c>
      <c r="G40" s="103">
        <f>G21*0.123</f>
        <v>13067.421044040002</v>
      </c>
      <c r="H40" s="103">
        <f>H21*0.123</f>
        <v>14374.163148444004</v>
      </c>
      <c r="I40" s="103">
        <f>I21*0.123</f>
        <v>15811.579463288406</v>
      </c>
      <c r="J40" s="103">
        <f>J21*0.123</f>
        <v>17392.737409617246</v>
      </c>
      <c r="K40" s="90"/>
      <c r="L40" s="93"/>
    </row>
    <row r="41" spans="1:12" x14ac:dyDescent="0.55000000000000004">
      <c r="A41" s="90" t="s">
        <v>166</v>
      </c>
      <c r="B41" s="90"/>
      <c r="C41" s="90"/>
      <c r="D41" s="99">
        <f t="shared" ref="D41:J41" si="5">SUM(D34:D40)</f>
        <v>176064</v>
      </c>
      <c r="E41" s="99">
        <f t="shared" si="5"/>
        <v>114732</v>
      </c>
      <c r="F41" s="99">
        <f t="shared" si="5"/>
        <v>105125.4588856</v>
      </c>
      <c r="G41" s="99">
        <f t="shared" si="5"/>
        <v>100683.70580124632</v>
      </c>
      <c r="H41" s="99">
        <f t="shared" si="5"/>
        <v>101930.97740845731</v>
      </c>
      <c r="I41" s="99">
        <f t="shared" si="5"/>
        <v>109436.1761763894</v>
      </c>
      <c r="J41" s="99">
        <f t="shared" si="5"/>
        <v>123825.0948211147</v>
      </c>
      <c r="K41" s="90"/>
      <c r="L41" s="93"/>
    </row>
    <row r="42" spans="1:12" x14ac:dyDescent="0.55000000000000004">
      <c r="A42" s="90"/>
      <c r="B42" s="90"/>
      <c r="C42" s="90"/>
      <c r="D42" s="101"/>
      <c r="E42" s="101"/>
      <c r="F42" s="101"/>
      <c r="G42" s="101"/>
      <c r="H42" s="101"/>
      <c r="I42" s="101"/>
      <c r="J42" s="101"/>
      <c r="K42" s="90"/>
      <c r="L42" s="93"/>
    </row>
    <row r="43" spans="1:12" x14ac:dyDescent="0.55000000000000004">
      <c r="A43" s="102" t="s">
        <v>165</v>
      </c>
      <c r="B43" s="90"/>
      <c r="C43" s="90"/>
      <c r="D43" s="101"/>
      <c r="E43" s="101"/>
      <c r="F43" s="101"/>
      <c r="G43" s="101"/>
      <c r="H43" s="101"/>
      <c r="I43" s="101"/>
      <c r="J43" s="101"/>
      <c r="K43" s="90"/>
      <c r="L43" s="93"/>
    </row>
    <row r="44" spans="1:12" x14ac:dyDescent="0.55000000000000004">
      <c r="A44" s="90" t="s">
        <v>203</v>
      </c>
      <c r="B44" s="90"/>
      <c r="C44" s="90"/>
      <c r="D44" s="99">
        <v>21175</v>
      </c>
      <c r="E44" s="99">
        <v>21175</v>
      </c>
      <c r="F44" s="99">
        <f>F21*0.241</f>
        <v>23276.041918800005</v>
      </c>
      <c r="G44" s="99">
        <f>G21*0.241</f>
        <v>25603.646110680005</v>
      </c>
      <c r="H44" s="99">
        <f>H21*0.241</f>
        <v>28164.010721748007</v>
      </c>
      <c r="I44" s="99">
        <f>I21*0.241</f>
        <v>30980.411793922809</v>
      </c>
      <c r="J44" s="99">
        <f>J21*0.241</f>
        <v>34078.452973315092</v>
      </c>
      <c r="K44" s="90"/>
      <c r="L44" s="93"/>
    </row>
    <row r="45" spans="1:12" x14ac:dyDescent="0.55000000000000004">
      <c r="A45" s="90" t="s">
        <v>202</v>
      </c>
      <c r="B45" s="90"/>
      <c r="C45" s="90"/>
      <c r="D45" s="99">
        <f>6749</f>
        <v>6749</v>
      </c>
      <c r="E45" s="99">
        <f>6749</f>
        <v>6749</v>
      </c>
      <c r="F45" s="99">
        <f>F21*0.077</f>
        <v>7436.7436836000015</v>
      </c>
      <c r="G45" s="99">
        <f>G21*0.077</f>
        <v>8180.4180519600013</v>
      </c>
      <c r="H45" s="99">
        <f>H21*0.077</f>
        <v>8998.4598571560018</v>
      </c>
      <c r="I45" s="99">
        <f>I21*0.077</f>
        <v>9898.3058428716031</v>
      </c>
      <c r="J45" s="99">
        <f>J21*0.077</f>
        <v>10888.136427158763</v>
      </c>
      <c r="K45" s="90"/>
      <c r="L45" s="93"/>
    </row>
    <row r="46" spans="1:12" x14ac:dyDescent="0.55000000000000004">
      <c r="A46" s="90" t="s">
        <v>201</v>
      </c>
      <c r="B46" s="90"/>
      <c r="C46" s="90"/>
      <c r="D46" s="88">
        <f>1535+7445+1638</f>
        <v>10618</v>
      </c>
      <c r="E46" s="88">
        <f>1535+7445+1638</f>
        <v>10618</v>
      </c>
      <c r="F46" s="88">
        <f>F21*0.121</f>
        <v>11686.311502800001</v>
      </c>
      <c r="G46" s="88">
        <f>G21*0.121</f>
        <v>12854.942653080003</v>
      </c>
      <c r="H46" s="88">
        <f>H21*0.121</f>
        <v>14140.436918388003</v>
      </c>
      <c r="I46" s="88">
        <f>I21*0.121</f>
        <v>15554.480610226805</v>
      </c>
      <c r="J46" s="88">
        <f>J21*0.121</f>
        <v>17109.928671249483</v>
      </c>
      <c r="K46" s="90"/>
      <c r="L46" s="93"/>
    </row>
    <row r="47" spans="1:12" x14ac:dyDescent="0.55000000000000004">
      <c r="A47" s="90" t="s">
        <v>200</v>
      </c>
      <c r="B47" s="90"/>
      <c r="C47" s="90"/>
      <c r="D47" s="99">
        <f>D48-SUM(D44,D45,D46)</f>
        <v>19312</v>
      </c>
      <c r="E47" s="99">
        <f>E48-SUM(E44,E45,E46)</f>
        <v>19312</v>
      </c>
      <c r="F47" s="99">
        <f>F21*0.22</f>
        <v>21247.839096000003</v>
      </c>
      <c r="G47" s="99">
        <f>G21*0.22</f>
        <v>23372.623005600006</v>
      </c>
      <c r="H47" s="99">
        <f>H21*0.22</f>
        <v>25709.885306160006</v>
      </c>
      <c r="I47" s="99">
        <f>I21*0.22</f>
        <v>28280.873836776009</v>
      </c>
      <c r="J47" s="99">
        <f>J21*0.22</f>
        <v>31108.96122045361</v>
      </c>
      <c r="K47" s="90"/>
      <c r="L47" s="93"/>
    </row>
    <row r="48" spans="1:12" x14ac:dyDescent="0.55000000000000004">
      <c r="A48" s="90" t="s">
        <v>160</v>
      </c>
      <c r="B48" s="90"/>
      <c r="C48" s="90"/>
      <c r="D48" s="99">
        <f>57854</f>
        <v>57854</v>
      </c>
      <c r="E48" s="99">
        <f>57854</f>
        <v>57854</v>
      </c>
      <c r="F48" s="99">
        <f>SUM(F44,F45,F46,F47)</f>
        <v>63646.936201200013</v>
      </c>
      <c r="G48" s="99">
        <f>SUM(G44,G45,G46,G47)</f>
        <v>70011.629821320006</v>
      </c>
      <c r="H48" s="99">
        <f>SUM(H44,H45,H46,H47)</f>
        <v>77012.792803452016</v>
      </c>
      <c r="I48" s="99">
        <f>SUM(I44,I45,I46,I47)</f>
        <v>84714.072083797219</v>
      </c>
      <c r="J48" s="99">
        <f>SUM(J44,J45,J46,J47)</f>
        <v>93185.47929217694</v>
      </c>
      <c r="K48" s="90"/>
      <c r="L48" s="93"/>
    </row>
    <row r="49" spans="1:12" x14ac:dyDescent="0.55000000000000004">
      <c r="A49" s="90" t="s">
        <v>159</v>
      </c>
      <c r="B49" s="90"/>
      <c r="C49" s="90"/>
      <c r="D49" s="88">
        <f>118210</f>
        <v>118210</v>
      </c>
      <c r="E49" s="284">
        <f>D49-$H$7</f>
        <v>56878</v>
      </c>
      <c r="F49" s="284">
        <f>E49+F28-$H$7</f>
        <v>41478.522684399999</v>
      </c>
      <c r="G49" s="284">
        <f>F49+G28-$H$7</f>
        <v>30672.075979926332</v>
      </c>
      <c r="H49" s="284">
        <f>G49+H28-$H$7</f>
        <v>24918.184605005314</v>
      </c>
      <c r="I49" s="284">
        <f>H49+I28-$H$7</f>
        <v>24722.104092592184</v>
      </c>
      <c r="J49" s="284">
        <f>I49+J28-$H$7</f>
        <v>30639.615528937764</v>
      </c>
      <c r="K49" s="90"/>
      <c r="L49" s="93"/>
    </row>
    <row r="50" spans="1:12" x14ac:dyDescent="0.55000000000000004">
      <c r="A50" s="90" t="s">
        <v>158</v>
      </c>
      <c r="B50" s="90"/>
      <c r="C50" s="90"/>
      <c r="D50" s="99">
        <f>D48+D49</f>
        <v>176064</v>
      </c>
      <c r="E50" s="99">
        <f>E48+E49</f>
        <v>114732</v>
      </c>
      <c r="F50" s="99">
        <f>F49+F48</f>
        <v>105125.4588856</v>
      </c>
      <c r="G50" s="99">
        <f>G49+G48</f>
        <v>100683.70580124634</v>
      </c>
      <c r="H50" s="99">
        <f>H49+H48</f>
        <v>101930.97740845733</v>
      </c>
      <c r="I50" s="99">
        <f>I49+I48</f>
        <v>109436.1761763894</v>
      </c>
      <c r="J50" s="99">
        <f>J49+J48</f>
        <v>123825.0948211147</v>
      </c>
      <c r="K50" s="90"/>
      <c r="L50" s="93"/>
    </row>
    <row r="51" spans="1:12" x14ac:dyDescent="0.55000000000000004">
      <c r="A51" s="90"/>
      <c r="B51" s="90"/>
      <c r="C51" s="90"/>
      <c r="D51" s="90"/>
      <c r="E51" s="99"/>
      <c r="F51" s="99"/>
      <c r="G51" s="99"/>
      <c r="H51" s="99"/>
      <c r="I51" s="99"/>
      <c r="J51" s="99"/>
      <c r="K51" s="90"/>
      <c r="L51" s="93"/>
    </row>
    <row r="52" spans="1:12" x14ac:dyDescent="0.55000000000000004">
      <c r="A52" s="100" t="s">
        <v>157</v>
      </c>
      <c r="B52" s="90"/>
      <c r="C52" s="90"/>
      <c r="D52" s="90"/>
      <c r="E52" s="99"/>
      <c r="F52" s="99"/>
      <c r="G52" s="99"/>
      <c r="H52" s="99"/>
      <c r="I52" s="99"/>
      <c r="J52" s="99"/>
      <c r="K52" s="90"/>
      <c r="L52" s="93"/>
    </row>
    <row r="53" spans="1:12" s="97" customFormat="1" x14ac:dyDescent="0.55000000000000004">
      <c r="A53" s="89" t="s">
        <v>156</v>
      </c>
      <c r="B53" s="89"/>
      <c r="C53" s="89"/>
      <c r="D53" s="96">
        <f t="shared" ref="D53:J53" si="6">D28/D49</f>
        <v>0.35304119786820065</v>
      </c>
      <c r="E53" s="96">
        <f t="shared" si="6"/>
        <v>0.73372833081331978</v>
      </c>
      <c r="F53" s="96">
        <f t="shared" si="6"/>
        <v>1.1073808735641191</v>
      </c>
      <c r="G53" s="96">
        <f t="shared" si="6"/>
        <v>1.6472818249600489</v>
      </c>
      <c r="H53" s="96">
        <f t="shared" si="6"/>
        <v>2.2304236647285696</v>
      </c>
      <c r="I53" s="96">
        <f t="shared" si="6"/>
        <v>2.4729254135737517</v>
      </c>
      <c r="J53" s="96">
        <f t="shared" si="6"/>
        <v>2.1948549378118463</v>
      </c>
      <c r="K53" s="89"/>
      <c r="L53" s="98"/>
    </row>
    <row r="54" spans="1:12" x14ac:dyDescent="0.55000000000000004">
      <c r="A54" s="90" t="s">
        <v>155</v>
      </c>
      <c r="B54" s="90"/>
      <c r="C54" s="90"/>
      <c r="D54" s="95">
        <f t="shared" ref="D54:J54" si="7">D20/D41</f>
        <v>0.88892675390766995</v>
      </c>
      <c r="E54" s="95">
        <f t="shared" si="7"/>
        <v>1.3641181187462956</v>
      </c>
      <c r="F54" s="95">
        <f t="shared" si="7"/>
        <v>1.6376508775799712</v>
      </c>
      <c r="G54" s="95">
        <f t="shared" si="7"/>
        <v>1.8808870660147654</v>
      </c>
      <c r="H54" s="95">
        <f t="shared" si="7"/>
        <v>2.0436588885560534</v>
      </c>
      <c r="I54" s="95">
        <f t="shared" si="7"/>
        <v>2.0938538864028513</v>
      </c>
      <c r="J54" s="95">
        <f t="shared" si="7"/>
        <v>2.0355946380993126</v>
      </c>
      <c r="K54" s="90"/>
      <c r="L54" s="93"/>
    </row>
    <row r="55" spans="1:12" x14ac:dyDescent="0.55000000000000004">
      <c r="A55" s="90" t="s">
        <v>154</v>
      </c>
      <c r="B55" s="90"/>
      <c r="C55" s="90"/>
      <c r="D55" s="95">
        <f t="shared" ref="D55:J55" si="8">D41/D49</f>
        <v>1.4894171389899331</v>
      </c>
      <c r="E55" s="95">
        <f t="shared" si="8"/>
        <v>2.0171595344421394</v>
      </c>
      <c r="F55" s="95">
        <f t="shared" si="8"/>
        <v>2.5344552332655161</v>
      </c>
      <c r="G55" s="95">
        <f t="shared" si="8"/>
        <v>3.2825853022514631</v>
      </c>
      <c r="H55" s="95">
        <f t="shared" si="8"/>
        <v>4.0906261440884597</v>
      </c>
      <c r="I55" s="95">
        <f t="shared" si="8"/>
        <v>4.426652997112055</v>
      </c>
      <c r="J55" s="95">
        <f t="shared" si="8"/>
        <v>4.0413397062429643</v>
      </c>
      <c r="K55" s="90"/>
      <c r="L55" s="93"/>
    </row>
    <row r="56" spans="1:12" x14ac:dyDescent="0.55000000000000004">
      <c r="A56" s="90" t="s">
        <v>153</v>
      </c>
      <c r="B56" s="90"/>
      <c r="C56" s="90"/>
      <c r="D56" s="94">
        <f t="shared" ref="D56:J56" si="9">D28/D20</f>
        <v>0.26665090602397323</v>
      </c>
      <c r="E56" s="94">
        <f t="shared" si="9"/>
        <v>0.26665090602397323</v>
      </c>
      <c r="F56" s="94">
        <f t="shared" si="9"/>
        <v>0.26680322286400693</v>
      </c>
      <c r="G56" s="94">
        <f t="shared" si="9"/>
        <v>0.26680205239436616</v>
      </c>
      <c r="H56" s="94">
        <f t="shared" si="9"/>
        <v>0.26680205239436616</v>
      </c>
      <c r="I56" s="94">
        <f t="shared" si="9"/>
        <v>0.26680205239436616</v>
      </c>
      <c r="J56" s="94">
        <f t="shared" si="9"/>
        <v>0.26680205239436622</v>
      </c>
      <c r="K56" s="90"/>
      <c r="L56" s="93"/>
    </row>
    <row r="57" spans="1:12" x14ac:dyDescent="0.55000000000000004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3"/>
    </row>
    <row r="58" spans="1:12" x14ac:dyDescent="0.55000000000000004">
      <c r="A58" s="90"/>
      <c r="B58" s="90"/>
      <c r="C58" s="90"/>
      <c r="D58" s="90"/>
      <c r="E58" s="92" t="s">
        <v>199</v>
      </c>
      <c r="F58" s="90"/>
      <c r="G58" s="90"/>
      <c r="H58" s="90"/>
      <c r="I58" s="90"/>
      <c r="J58" s="90"/>
      <c r="K58" s="90"/>
      <c r="L58" s="93"/>
    </row>
    <row r="59" spans="1:12" x14ac:dyDescent="0.55000000000000004">
      <c r="K59" s="90"/>
      <c r="L59" s="91"/>
    </row>
    <row r="60" spans="1:12" x14ac:dyDescent="0.55000000000000004">
      <c r="K60" s="90"/>
      <c r="L60" s="91"/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990C-D249-43EE-95BA-72BA5567006F}">
  <dimension ref="A1:M26"/>
  <sheetViews>
    <sheetView showGridLines="0" zoomScaleNormal="100" workbookViewId="0">
      <selection activeCell="C13" sqref="C13"/>
    </sheetView>
  </sheetViews>
  <sheetFormatPr baseColWidth="10" defaultColWidth="8.83984375" defaultRowHeight="14.4" x14ac:dyDescent="0.55000000000000004"/>
  <cols>
    <col min="1" max="1" width="2.7890625" customWidth="1"/>
    <col min="2" max="2" width="20.68359375" customWidth="1"/>
    <col min="3" max="4" width="9.578125" customWidth="1"/>
    <col min="5" max="5" width="20.68359375" customWidth="1"/>
    <col min="6" max="6" width="8.15625" bestFit="1" customWidth="1"/>
    <col min="7" max="7" width="12.578125" bestFit="1" customWidth="1"/>
    <col min="8" max="10" width="10.26171875" customWidth="1"/>
  </cols>
  <sheetData>
    <row r="1" spans="1:13" ht="18.600000000000001" thickBot="1" x14ac:dyDescent="0.75">
      <c r="A1" s="251" t="s">
        <v>398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3" ht="15.9" thickTop="1" x14ac:dyDescent="0.6">
      <c r="A2" s="250" t="s">
        <v>348</v>
      </c>
      <c r="B2" s="270"/>
      <c r="C2" s="270"/>
      <c r="D2" s="270"/>
      <c r="E2" s="270"/>
      <c r="F2" s="270"/>
      <c r="G2" s="270"/>
      <c r="H2" s="270"/>
      <c r="I2" s="270"/>
      <c r="J2" s="270"/>
    </row>
    <row r="4" spans="1:13" ht="14.7" thickBot="1" x14ac:dyDescent="0.6">
      <c r="B4" s="456" t="s">
        <v>224</v>
      </c>
      <c r="C4" s="456"/>
      <c r="D4" s="456"/>
      <c r="E4" s="456"/>
    </row>
    <row r="5" spans="1:13" ht="14.7" thickTop="1" x14ac:dyDescent="0.55000000000000004">
      <c r="B5" t="s">
        <v>221</v>
      </c>
      <c r="C5" s="298">
        <f>('Quarterly Summary'!H10+'Quarterly Summary'!G10+'Quarterly Summary'!F10+'Quarterly Summary'!E10)*2</f>
        <v>20550</v>
      </c>
      <c r="D5" s="160" t="s">
        <v>391</v>
      </c>
      <c r="E5" s="159">
        <f>C8-E6</f>
        <v>68742</v>
      </c>
      <c r="G5" s="293"/>
    </row>
    <row r="6" spans="1:13" x14ac:dyDescent="0.55000000000000004">
      <c r="B6" t="s">
        <v>150</v>
      </c>
      <c r="C6" s="159">
        <f>'Quarterly Summary'!H18-C5</f>
        <v>116562</v>
      </c>
      <c r="D6" s="147" t="s">
        <v>159</v>
      </c>
      <c r="E6" s="159">
        <f>'Quarterly Summary'!H30</f>
        <v>127346</v>
      </c>
    </row>
    <row r="7" spans="1:13" x14ac:dyDescent="0.55000000000000004">
      <c r="B7" s="141" t="s">
        <v>219</v>
      </c>
      <c r="C7" s="158">
        <f>C8-C5-C6</f>
        <v>58976</v>
      </c>
      <c r="D7" s="143"/>
      <c r="E7" s="141"/>
    </row>
    <row r="8" spans="1:13" x14ac:dyDescent="0.55000000000000004">
      <c r="B8" t="s">
        <v>24</v>
      </c>
      <c r="C8" s="157">
        <f>'Quarterly Summary'!H24</f>
        <v>196088</v>
      </c>
      <c r="D8" s="147" t="s">
        <v>394</v>
      </c>
      <c r="E8" s="157">
        <f>SUM(E5:E7)</f>
        <v>196088</v>
      </c>
    </row>
    <row r="10" spans="1:13" x14ac:dyDescent="0.55000000000000004">
      <c r="B10" t="s">
        <v>151</v>
      </c>
      <c r="C10" s="159">
        <f>ROUND(0.69*0.35*SUM(C5:C6),0)</f>
        <v>33113</v>
      </c>
      <c r="L10" s="294">
        <f>C8-C16-C10</f>
        <v>0</v>
      </c>
      <c r="M10" s="295" t="s">
        <v>393</v>
      </c>
    </row>
    <row r="12" spans="1:13" ht="14.7" thickBot="1" x14ac:dyDescent="0.6">
      <c r="B12" s="456" t="s">
        <v>223</v>
      </c>
      <c r="C12" s="456"/>
      <c r="D12" s="456"/>
      <c r="E12" s="456"/>
      <c r="G12" s="456" t="s">
        <v>222</v>
      </c>
      <c r="H12" s="456"/>
      <c r="I12" s="456"/>
      <c r="J12" s="456"/>
    </row>
    <row r="13" spans="1:13" ht="14.7" thickTop="1" x14ac:dyDescent="0.55000000000000004">
      <c r="B13" t="s">
        <v>221</v>
      </c>
      <c r="C13" s="159">
        <f>C5</f>
        <v>20550</v>
      </c>
      <c r="D13" s="160" t="s">
        <v>220</v>
      </c>
      <c r="E13" s="159">
        <f>E5</f>
        <v>68742</v>
      </c>
      <c r="G13" t="s">
        <v>221</v>
      </c>
      <c r="H13" s="159">
        <f>C13</f>
        <v>20550</v>
      </c>
      <c r="I13" s="160" t="s">
        <v>220</v>
      </c>
      <c r="J13" s="159">
        <f>E13</f>
        <v>68742</v>
      </c>
    </row>
    <row r="14" spans="1:13" x14ac:dyDescent="0.55000000000000004">
      <c r="B14" t="s">
        <v>150</v>
      </c>
      <c r="C14" s="159">
        <f>C6-C10</f>
        <v>83449</v>
      </c>
      <c r="D14" s="147" t="s">
        <v>159</v>
      </c>
      <c r="E14" s="159">
        <f>E6-C10</f>
        <v>94233</v>
      </c>
      <c r="G14" t="s">
        <v>150</v>
      </c>
      <c r="H14" s="159">
        <f>0</f>
        <v>0</v>
      </c>
      <c r="I14" s="147" t="s">
        <v>159</v>
      </c>
      <c r="J14" s="159">
        <f>E14-C14</f>
        <v>10784</v>
      </c>
    </row>
    <row r="15" spans="1:13" x14ac:dyDescent="0.55000000000000004">
      <c r="B15" s="141" t="s">
        <v>219</v>
      </c>
      <c r="C15" s="158">
        <f>C7</f>
        <v>58976</v>
      </c>
      <c r="D15" s="143"/>
      <c r="E15" s="141"/>
      <c r="G15" s="141" t="s">
        <v>219</v>
      </c>
      <c r="H15" s="158">
        <f>C15</f>
        <v>58976</v>
      </c>
      <c r="I15" s="143"/>
      <c r="J15" s="141"/>
    </row>
    <row r="16" spans="1:13" x14ac:dyDescent="0.55000000000000004">
      <c r="B16" t="s">
        <v>218</v>
      </c>
      <c r="C16" s="157">
        <f>SUM(C13:C15)</f>
        <v>162975</v>
      </c>
      <c r="D16" s="147" t="s">
        <v>218</v>
      </c>
      <c r="E16" s="157">
        <f>SUM(E13:E15)</f>
        <v>162975</v>
      </c>
      <c r="G16" t="s">
        <v>218</v>
      </c>
      <c r="H16" s="157">
        <f>SUM(H13:H15)</f>
        <v>79526</v>
      </c>
      <c r="I16" s="147" t="s">
        <v>218</v>
      </c>
      <c r="J16" s="157">
        <f>SUM(J13:J15)</f>
        <v>79526</v>
      </c>
    </row>
    <row r="18" spans="2:6" x14ac:dyDescent="0.55000000000000004">
      <c r="B18" s="156" t="s">
        <v>217</v>
      </c>
      <c r="D18" s="155">
        <f>C14</f>
        <v>83449</v>
      </c>
    </row>
    <row r="19" spans="2:6" x14ac:dyDescent="0.55000000000000004">
      <c r="B19" t="s">
        <v>216</v>
      </c>
      <c r="D19">
        <v>939.1</v>
      </c>
    </row>
    <row r="20" spans="2:6" x14ac:dyDescent="0.55000000000000004">
      <c r="B20" t="s">
        <v>215</v>
      </c>
      <c r="D20" s="154">
        <f>D18/D19</f>
        <v>88.860611223511867</v>
      </c>
    </row>
    <row r="21" spans="2:6" x14ac:dyDescent="0.55000000000000004">
      <c r="B21" t="s">
        <v>58</v>
      </c>
      <c r="D21" s="153">
        <f>'Quarterly Summary'!H14+'Quarterly Summary'!G14+'Quarterly Summary'!F14+'Quarterly Summary'!E14</f>
        <v>41747</v>
      </c>
      <c r="E21" s="159"/>
    </row>
    <row r="23" spans="2:6" x14ac:dyDescent="0.55000000000000004">
      <c r="B23" s="152" t="s">
        <v>214</v>
      </c>
      <c r="C23" s="151">
        <f>D19</f>
        <v>939.1</v>
      </c>
      <c r="D23" s="151"/>
      <c r="E23" s="151" t="s">
        <v>213</v>
      </c>
      <c r="F23" s="150">
        <f>D19</f>
        <v>939.1</v>
      </c>
    </row>
    <row r="24" spans="2:6" x14ac:dyDescent="0.55000000000000004">
      <c r="B24" s="147" t="s">
        <v>212</v>
      </c>
      <c r="C24" s="149">
        <f>D21/C23</f>
        <v>44.454264721541904</v>
      </c>
      <c r="D24" s="145"/>
      <c r="E24" s="145" t="s">
        <v>211</v>
      </c>
      <c r="F24" s="148">
        <f>D21/F23</f>
        <v>44.454264721541904</v>
      </c>
    </row>
    <row r="25" spans="2:6" x14ac:dyDescent="0.55000000000000004">
      <c r="B25" s="147" t="s">
        <v>210</v>
      </c>
      <c r="C25" s="146">
        <v>450.5</v>
      </c>
      <c r="D25" s="145"/>
      <c r="E25" s="145" t="s">
        <v>209</v>
      </c>
      <c r="F25" s="144">
        <f>C25-D20</f>
        <v>361.63938877648815</v>
      </c>
    </row>
    <row r="26" spans="2:6" x14ac:dyDescent="0.55000000000000004">
      <c r="B26" s="143" t="s">
        <v>208</v>
      </c>
      <c r="C26" s="142">
        <f>C25/C24</f>
        <v>10.134010827125302</v>
      </c>
      <c r="D26" s="141"/>
      <c r="E26" s="141" t="s">
        <v>207</v>
      </c>
      <c r="F26" s="140">
        <f>F25/F24</f>
        <v>8.1350887488921355</v>
      </c>
    </row>
  </sheetData>
  <mergeCells count="3">
    <mergeCell ref="B4:E4"/>
    <mergeCell ref="B12:E12"/>
    <mergeCell ref="G12:J12"/>
  </mergeCells>
  <pageMargins left="0.7" right="0.7" top="0.75" bottom="0.75" header="0.3" footer="0.3"/>
  <pageSetup orientation="landscape" r:id="rId1"/>
  <headerFooter>
    <oddHeader xml:space="preserve">&amp;C&amp;20Dividend Analysis&amp;11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showGridLines="0" topLeftCell="A3" zoomScaleNormal="100" workbookViewId="0">
      <selection activeCell="C13" sqref="C13"/>
    </sheetView>
  </sheetViews>
  <sheetFormatPr baseColWidth="10" defaultColWidth="8.83984375" defaultRowHeight="14.4" x14ac:dyDescent="0.55000000000000004"/>
  <cols>
    <col min="2" max="2" width="20.68359375" customWidth="1"/>
    <col min="3" max="3" width="11.68359375" customWidth="1"/>
    <col min="4" max="5" width="13.26171875" customWidth="1"/>
    <col min="6" max="6" width="8.15625" bestFit="1" customWidth="1"/>
    <col min="7" max="7" width="12.578125" bestFit="1" customWidth="1"/>
    <col min="8" max="8" width="12.83984375" customWidth="1"/>
    <col min="9" max="9" width="8.578125" customWidth="1"/>
    <col min="10" max="10" width="13.578125" customWidth="1"/>
  </cols>
  <sheetData>
    <row r="1" spans="1:10" ht="18.600000000000001" thickBot="1" x14ac:dyDescent="0.75">
      <c r="A1" s="251" t="s">
        <v>399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ht="15.9" thickTop="1" x14ac:dyDescent="0.6">
      <c r="A2" s="250" t="s">
        <v>348</v>
      </c>
      <c r="B2" s="270"/>
      <c r="C2" s="270"/>
      <c r="D2" s="270"/>
      <c r="E2" s="270"/>
      <c r="F2" s="270"/>
      <c r="G2" s="270"/>
      <c r="H2" s="270"/>
      <c r="I2" s="270"/>
      <c r="J2" s="270"/>
    </row>
    <row r="4" spans="1:10" ht="14.7" thickBot="1" x14ac:dyDescent="0.6">
      <c r="B4" s="456" t="s">
        <v>224</v>
      </c>
      <c r="C4" s="456"/>
      <c r="D4" s="456"/>
      <c r="E4" s="456"/>
    </row>
    <row r="5" spans="1:10" ht="14.7" thickTop="1" x14ac:dyDescent="0.55000000000000004">
      <c r="B5" t="s">
        <v>221</v>
      </c>
      <c r="C5" s="298">
        <f>('Quarterly Summary'!H10+'Quarterly Summary'!G10+'Quarterly Summary'!F10+'Quarterly Summary'!E10)*2</f>
        <v>20550</v>
      </c>
      <c r="D5" s="160" t="s">
        <v>220</v>
      </c>
      <c r="E5" s="159">
        <v>68742</v>
      </c>
    </row>
    <row r="6" spans="1:10" x14ac:dyDescent="0.55000000000000004">
      <c r="B6" t="s">
        <v>150</v>
      </c>
      <c r="C6" s="159">
        <v>116562</v>
      </c>
      <c r="D6" s="147" t="s">
        <v>159</v>
      </c>
      <c r="E6" s="159">
        <f>'Quarterly Summary'!H30</f>
        <v>127346</v>
      </c>
    </row>
    <row r="7" spans="1:10" x14ac:dyDescent="0.55000000000000004">
      <c r="B7" s="141" t="s">
        <v>219</v>
      </c>
      <c r="C7" s="158">
        <v>58976</v>
      </c>
      <c r="D7" s="143"/>
      <c r="E7" s="141"/>
    </row>
    <row r="8" spans="1:10" x14ac:dyDescent="0.55000000000000004">
      <c r="B8" t="s">
        <v>218</v>
      </c>
      <c r="C8" s="157">
        <f>SUM(C5:C7)</f>
        <v>196088</v>
      </c>
      <c r="D8" s="147" t="s">
        <v>218</v>
      </c>
      <c r="E8" s="157">
        <f>SUM(E5:E7)</f>
        <v>196088</v>
      </c>
    </row>
    <row r="9" spans="1:10" x14ac:dyDescent="0.55000000000000004">
      <c r="C9" s="159"/>
    </row>
    <row r="10" spans="1:10" x14ac:dyDescent="0.55000000000000004">
      <c r="B10" t="s">
        <v>151</v>
      </c>
      <c r="C10" s="159">
        <f>ROUND(0.69*0.35*SUM(C5:C6),0)</f>
        <v>33113</v>
      </c>
    </row>
    <row r="12" spans="1:10" ht="14.7" thickBot="1" x14ac:dyDescent="0.6">
      <c r="B12" s="456" t="s">
        <v>223</v>
      </c>
      <c r="C12" s="456"/>
      <c r="D12" s="456"/>
      <c r="E12" s="456"/>
      <c r="G12" s="456" t="s">
        <v>231</v>
      </c>
      <c r="H12" s="456"/>
      <c r="I12" s="456"/>
      <c r="J12" s="456"/>
    </row>
    <row r="13" spans="1:10" ht="14.7" thickTop="1" x14ac:dyDescent="0.55000000000000004">
      <c r="B13" t="s">
        <v>221</v>
      </c>
      <c r="C13" s="159">
        <v>20550</v>
      </c>
      <c r="D13" s="160" t="s">
        <v>220</v>
      </c>
      <c r="E13" s="159">
        <v>68472</v>
      </c>
      <c r="G13" t="s">
        <v>221</v>
      </c>
      <c r="H13" s="159">
        <v>20550</v>
      </c>
      <c r="I13" s="160" t="s">
        <v>220</v>
      </c>
      <c r="J13" s="159">
        <v>68472</v>
      </c>
    </row>
    <row r="14" spans="1:10" x14ac:dyDescent="0.55000000000000004">
      <c r="B14" t="s">
        <v>150</v>
      </c>
      <c r="C14" s="159">
        <f>C6-C10</f>
        <v>83449</v>
      </c>
      <c r="D14" s="147" t="s">
        <v>159</v>
      </c>
      <c r="E14" s="159">
        <f>E6-C10</f>
        <v>94233</v>
      </c>
      <c r="G14" t="s">
        <v>150</v>
      </c>
      <c r="H14">
        <v>0</v>
      </c>
      <c r="I14" s="147" t="s">
        <v>159</v>
      </c>
      <c r="J14" s="159">
        <f>E14-C14</f>
        <v>10784</v>
      </c>
    </row>
    <row r="15" spans="1:10" x14ac:dyDescent="0.55000000000000004">
      <c r="B15" s="141" t="s">
        <v>219</v>
      </c>
      <c r="C15" s="158">
        <v>58976</v>
      </c>
      <c r="D15" s="143"/>
      <c r="E15" s="141"/>
      <c r="G15" s="141" t="s">
        <v>219</v>
      </c>
      <c r="H15" s="158">
        <v>58976</v>
      </c>
      <c r="I15" s="143"/>
      <c r="J15" s="158"/>
    </row>
    <row r="16" spans="1:10" x14ac:dyDescent="0.55000000000000004">
      <c r="B16" t="s">
        <v>218</v>
      </c>
      <c r="C16" s="157">
        <f>SUM(C13:C15)</f>
        <v>162975</v>
      </c>
      <c r="D16" s="147" t="s">
        <v>218</v>
      </c>
      <c r="E16" s="157">
        <f>SUM(E13:E15)</f>
        <v>162705</v>
      </c>
      <c r="G16" t="s">
        <v>218</v>
      </c>
      <c r="H16" s="157">
        <f>SUM(H13:H15)</f>
        <v>79526</v>
      </c>
      <c r="I16" s="147" t="s">
        <v>218</v>
      </c>
      <c r="J16" s="157">
        <f>SUM(J13:J15)</f>
        <v>79256</v>
      </c>
    </row>
    <row r="18" spans="2:6" x14ac:dyDescent="0.55000000000000004">
      <c r="B18" s="156" t="s">
        <v>230</v>
      </c>
      <c r="C18" s="156"/>
      <c r="D18" s="155">
        <f>C14</f>
        <v>83449</v>
      </c>
    </row>
    <row r="19" spans="2:6" x14ac:dyDescent="0.55000000000000004">
      <c r="B19" t="s">
        <v>229</v>
      </c>
      <c r="D19" s="164">
        <v>450.5</v>
      </c>
    </row>
    <row r="20" spans="2:6" x14ac:dyDescent="0.55000000000000004">
      <c r="B20" t="s">
        <v>228</v>
      </c>
      <c r="D20" s="163">
        <f>D18/D19</f>
        <v>185.23640399556049</v>
      </c>
    </row>
    <row r="21" spans="2:6" x14ac:dyDescent="0.55000000000000004">
      <c r="B21" t="s">
        <v>227</v>
      </c>
      <c r="D21">
        <v>939.1</v>
      </c>
    </row>
    <row r="22" spans="2:6" x14ac:dyDescent="0.55000000000000004">
      <c r="B22" t="s">
        <v>226</v>
      </c>
      <c r="D22" s="163">
        <f>D21-D20</f>
        <v>753.8635960044395</v>
      </c>
    </row>
    <row r="23" spans="2:6" x14ac:dyDescent="0.55000000000000004">
      <c r="B23" t="s">
        <v>225</v>
      </c>
      <c r="D23" s="162">
        <f>D20/D21</f>
        <v>0.19724885954164678</v>
      </c>
    </row>
    <row r="24" spans="2:6" x14ac:dyDescent="0.55000000000000004">
      <c r="B24" t="s">
        <v>58</v>
      </c>
      <c r="D24" s="159">
        <v>41747</v>
      </c>
    </row>
    <row r="26" spans="2:6" x14ac:dyDescent="0.55000000000000004">
      <c r="B26" s="152" t="s">
        <v>214</v>
      </c>
      <c r="C26" s="151">
        <f>D21</f>
        <v>939.1</v>
      </c>
      <c r="D26" s="151"/>
      <c r="E26" s="151" t="s">
        <v>213</v>
      </c>
      <c r="F26" s="161">
        <f>D22</f>
        <v>753.8635960044395</v>
      </c>
    </row>
    <row r="27" spans="2:6" x14ac:dyDescent="0.55000000000000004">
      <c r="B27" s="147" t="s">
        <v>212</v>
      </c>
      <c r="C27" s="149">
        <f>D24/C26</f>
        <v>44.454264721541904</v>
      </c>
      <c r="D27" s="145"/>
      <c r="E27" s="145" t="s">
        <v>211</v>
      </c>
      <c r="F27" s="148">
        <f>D24/F26</f>
        <v>55.37739217182488</v>
      </c>
    </row>
    <row r="28" spans="2:6" x14ac:dyDescent="0.55000000000000004">
      <c r="B28" s="147" t="s">
        <v>210</v>
      </c>
      <c r="C28" s="146">
        <f>D19</f>
        <v>450.5</v>
      </c>
      <c r="D28" s="145"/>
      <c r="E28" s="145" t="s">
        <v>209</v>
      </c>
      <c r="F28" s="144">
        <v>450.5</v>
      </c>
    </row>
    <row r="29" spans="2:6" x14ac:dyDescent="0.55000000000000004">
      <c r="B29" s="143" t="s">
        <v>208</v>
      </c>
      <c r="C29" s="142">
        <f>C28/C27</f>
        <v>10.134010827125302</v>
      </c>
      <c r="D29" s="141"/>
      <c r="E29" s="141" t="s">
        <v>207</v>
      </c>
      <c r="F29" s="140">
        <f>F28/F27</f>
        <v>8.1350887488921355</v>
      </c>
    </row>
  </sheetData>
  <mergeCells count="3">
    <mergeCell ref="B4:E4"/>
    <mergeCell ref="B12:E12"/>
    <mergeCell ref="G12:J12"/>
  </mergeCells>
  <pageMargins left="0.7" right="0.7" top="0.75" bottom="0.75" header="0.3" footer="0.3"/>
  <pageSetup orientation="landscape" r:id="rId1"/>
  <headerFooter>
    <oddHeader xml:space="preserve">&amp;C&amp;20Share Repurchase Analysis
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Q32"/>
  <sheetViews>
    <sheetView topLeftCell="B3" zoomScale="104" zoomScaleNormal="100" workbookViewId="0">
      <selection activeCell="E14" sqref="E14"/>
    </sheetView>
  </sheetViews>
  <sheetFormatPr baseColWidth="10" defaultColWidth="8.83984375" defaultRowHeight="14.4" x14ac:dyDescent="0.55000000000000004"/>
  <cols>
    <col min="2" max="2" width="28" customWidth="1"/>
    <col min="3" max="3" width="7.41796875" bestFit="1" customWidth="1"/>
    <col min="4" max="4" width="13.68359375" customWidth="1"/>
    <col min="5" max="5" width="10" bestFit="1" customWidth="1"/>
    <col min="6" max="6" width="5" bestFit="1" customWidth="1"/>
    <col min="7" max="7" width="5.83984375" bestFit="1" customWidth="1"/>
    <col min="8" max="8" width="3.41796875" customWidth="1"/>
    <col min="9" max="9" width="18.68359375" bestFit="1" customWidth="1"/>
    <col min="10" max="10" width="5.68359375" bestFit="1" customWidth="1"/>
    <col min="13" max="13" width="35.26171875" bestFit="1" customWidth="1"/>
    <col min="14" max="14" width="6" bestFit="1" customWidth="1"/>
    <col min="15" max="15" width="10" bestFit="1" customWidth="1"/>
    <col min="16" max="16" width="5" bestFit="1" customWidth="1"/>
    <col min="17" max="17" width="5.83984375" bestFit="1" customWidth="1"/>
  </cols>
  <sheetData>
    <row r="4" spans="2:17" ht="14.7" thickBot="1" x14ac:dyDescent="0.6">
      <c r="B4" s="456" t="s">
        <v>224</v>
      </c>
      <c r="C4" s="456"/>
      <c r="D4" s="456"/>
      <c r="E4" s="456"/>
      <c r="M4" t="s">
        <v>251</v>
      </c>
      <c r="N4">
        <v>50</v>
      </c>
    </row>
    <row r="5" spans="2:17" ht="14.7" thickTop="1" x14ac:dyDescent="0.55000000000000004">
      <c r="B5" t="s">
        <v>221</v>
      </c>
      <c r="C5" s="159">
        <v>20550</v>
      </c>
      <c r="D5" s="160" t="s">
        <v>220</v>
      </c>
      <c r="E5" s="159">
        <v>68742</v>
      </c>
      <c r="M5" t="s">
        <v>250</v>
      </c>
      <c r="N5">
        <v>2</v>
      </c>
    </row>
    <row r="6" spans="2:17" x14ac:dyDescent="0.55000000000000004">
      <c r="B6" t="s">
        <v>150</v>
      </c>
      <c r="C6" s="159">
        <v>116562</v>
      </c>
      <c r="D6" s="147" t="s">
        <v>159</v>
      </c>
      <c r="E6" s="159">
        <v>127346</v>
      </c>
      <c r="M6" t="s">
        <v>227</v>
      </c>
      <c r="N6">
        <v>939.1</v>
      </c>
      <c r="O6" t="s">
        <v>248</v>
      </c>
      <c r="P6">
        <v>0.94</v>
      </c>
      <c r="Q6" t="s">
        <v>246</v>
      </c>
    </row>
    <row r="7" spans="2:17" x14ac:dyDescent="0.55000000000000004">
      <c r="B7" s="141" t="s">
        <v>219</v>
      </c>
      <c r="C7" s="158">
        <v>58976</v>
      </c>
      <c r="D7" s="143"/>
      <c r="E7" s="158"/>
      <c r="M7" t="s">
        <v>249</v>
      </c>
      <c r="N7">
        <v>9391</v>
      </c>
      <c r="O7" t="s">
        <v>248</v>
      </c>
      <c r="P7">
        <v>9.4</v>
      </c>
      <c r="Q7" t="s">
        <v>246</v>
      </c>
    </row>
    <row r="8" spans="2:17" x14ac:dyDescent="0.55000000000000004">
      <c r="B8" t="s">
        <v>218</v>
      </c>
      <c r="C8" s="157">
        <f>SUM(C5:C7)</f>
        <v>196088</v>
      </c>
      <c r="D8" s="147" t="s">
        <v>218</v>
      </c>
      <c r="E8" s="157">
        <f>SUM(E5:E7)</f>
        <v>196088</v>
      </c>
      <c r="M8" t="s">
        <v>58</v>
      </c>
      <c r="N8">
        <v>41747</v>
      </c>
      <c r="P8">
        <v>42</v>
      </c>
      <c r="Q8" t="s">
        <v>246</v>
      </c>
    </row>
    <row r="9" spans="2:17" x14ac:dyDescent="0.55000000000000004">
      <c r="C9" s="159"/>
    </row>
    <row r="10" spans="2:17" x14ac:dyDescent="0.55000000000000004">
      <c r="B10" t="s">
        <v>151</v>
      </c>
      <c r="C10" s="159">
        <f>ROUND(0.69*0.35*SUM(C5:C6),0)</f>
        <v>33113</v>
      </c>
      <c r="I10" t="s">
        <v>253</v>
      </c>
      <c r="J10" s="167">
        <v>450</v>
      </c>
      <c r="K10" t="s">
        <v>252</v>
      </c>
      <c r="N10" s="168" t="s">
        <v>246</v>
      </c>
      <c r="O10" s="168" t="s">
        <v>236</v>
      </c>
    </row>
    <row r="11" spans="2:17" x14ac:dyDescent="0.55000000000000004">
      <c r="M11" t="s">
        <v>227</v>
      </c>
      <c r="N11">
        <v>0.94</v>
      </c>
    </row>
    <row r="12" spans="2:17" ht="14.7" thickBot="1" x14ac:dyDescent="0.6">
      <c r="B12" s="456" t="s">
        <v>223</v>
      </c>
      <c r="C12" s="456"/>
      <c r="D12" s="456"/>
      <c r="E12" s="456"/>
      <c r="I12" s="457" t="s">
        <v>245</v>
      </c>
      <c r="J12" s="165">
        <v>250</v>
      </c>
      <c r="K12" t="s">
        <v>244</v>
      </c>
      <c r="M12" t="s">
        <v>240</v>
      </c>
      <c r="N12">
        <v>42</v>
      </c>
      <c r="O12">
        <v>45</v>
      </c>
    </row>
    <row r="13" spans="2:17" ht="14.7" thickTop="1" x14ac:dyDescent="0.55000000000000004">
      <c r="B13" t="s">
        <v>221</v>
      </c>
      <c r="C13" s="159">
        <v>20550</v>
      </c>
      <c r="D13" s="160" t="s">
        <v>220</v>
      </c>
      <c r="E13" s="159">
        <v>68472</v>
      </c>
      <c r="I13" s="457"/>
      <c r="J13" s="165">
        <v>350</v>
      </c>
      <c r="K13" t="s">
        <v>241</v>
      </c>
      <c r="M13" t="s">
        <v>239</v>
      </c>
      <c r="N13">
        <v>9.4</v>
      </c>
      <c r="O13">
        <v>10</v>
      </c>
    </row>
    <row r="14" spans="2:17" x14ac:dyDescent="0.55000000000000004">
      <c r="B14" t="s">
        <v>150</v>
      </c>
      <c r="C14" s="159">
        <f>C6-C10</f>
        <v>83449</v>
      </c>
      <c r="D14" s="147" t="s">
        <v>159</v>
      </c>
      <c r="E14" s="159">
        <f>E6-C10</f>
        <v>94233</v>
      </c>
      <c r="J14" s="167">
        <f>SUM(J12:J13)</f>
        <v>600</v>
      </c>
      <c r="M14" t="s">
        <v>238</v>
      </c>
      <c r="N14">
        <v>33</v>
      </c>
      <c r="O14">
        <v>35</v>
      </c>
    </row>
    <row r="15" spans="2:17" x14ac:dyDescent="0.55000000000000004">
      <c r="B15" s="141" t="s">
        <v>219</v>
      </c>
      <c r="C15" s="158">
        <v>58976</v>
      </c>
      <c r="D15" s="143"/>
      <c r="E15" s="158"/>
      <c r="M15" t="s">
        <v>235</v>
      </c>
      <c r="O15">
        <v>10</v>
      </c>
    </row>
    <row r="16" spans="2:17" x14ac:dyDescent="0.55000000000000004">
      <c r="B16" t="s">
        <v>218</v>
      </c>
      <c r="C16" s="157">
        <f>SUM(C13:C15)</f>
        <v>162975</v>
      </c>
      <c r="D16" s="147" t="s">
        <v>218</v>
      </c>
      <c r="E16" s="157">
        <f>SUM(E13:E15)</f>
        <v>162705</v>
      </c>
      <c r="I16" s="156" t="s">
        <v>237</v>
      </c>
      <c r="J16" s="167">
        <f>J14-J10</f>
        <v>150</v>
      </c>
      <c r="K16" s="156" t="s">
        <v>236</v>
      </c>
      <c r="M16" t="s">
        <v>234</v>
      </c>
      <c r="O16">
        <v>350</v>
      </c>
    </row>
    <row r="18" spans="2:15" x14ac:dyDescent="0.55000000000000004">
      <c r="B18" t="s">
        <v>251</v>
      </c>
      <c r="D18" s="165">
        <v>50</v>
      </c>
      <c r="M18" t="s">
        <v>233</v>
      </c>
      <c r="O18">
        <v>450</v>
      </c>
    </row>
    <row r="19" spans="2:15" x14ac:dyDescent="0.55000000000000004">
      <c r="B19" t="s">
        <v>250</v>
      </c>
      <c r="D19" s="165">
        <v>2</v>
      </c>
      <c r="M19" t="s">
        <v>232</v>
      </c>
      <c r="O19">
        <v>-100</v>
      </c>
    </row>
    <row r="20" spans="2:15" x14ac:dyDescent="0.55000000000000004">
      <c r="B20" t="s">
        <v>227</v>
      </c>
      <c r="D20">
        <v>939.1</v>
      </c>
      <c r="E20" t="s">
        <v>248</v>
      </c>
      <c r="F20">
        <f>ROUND(D20/1000,2)</f>
        <v>0.94</v>
      </c>
      <c r="G20" t="s">
        <v>246</v>
      </c>
    </row>
    <row r="21" spans="2:15" x14ac:dyDescent="0.55000000000000004">
      <c r="B21" t="s">
        <v>249</v>
      </c>
      <c r="D21">
        <f>D20*2*5</f>
        <v>9391</v>
      </c>
      <c r="E21" t="s">
        <v>248</v>
      </c>
      <c r="F21">
        <f>ROUND(D21/1000,1)</f>
        <v>9.4</v>
      </c>
      <c r="G21" t="s">
        <v>246</v>
      </c>
      <c r="M21" t="s">
        <v>247</v>
      </c>
      <c r="N21">
        <v>450</v>
      </c>
    </row>
    <row r="22" spans="2:15" x14ac:dyDescent="0.55000000000000004">
      <c r="B22" t="s">
        <v>58</v>
      </c>
      <c r="D22" s="159">
        <v>41747</v>
      </c>
      <c r="F22">
        <f>ROUND(D22/1000,0)</f>
        <v>42</v>
      </c>
      <c r="G22" t="s">
        <v>246</v>
      </c>
    </row>
    <row r="23" spans="2:15" x14ac:dyDescent="0.55000000000000004">
      <c r="M23" t="s">
        <v>245</v>
      </c>
      <c r="N23">
        <v>250</v>
      </c>
      <c r="O23" t="s">
        <v>244</v>
      </c>
    </row>
    <row r="24" spans="2:15" x14ac:dyDescent="0.55000000000000004">
      <c r="D24" t="s">
        <v>243</v>
      </c>
      <c r="E24" t="s">
        <v>242</v>
      </c>
      <c r="N24">
        <v>350</v>
      </c>
      <c r="O24" t="s">
        <v>241</v>
      </c>
    </row>
    <row r="25" spans="2:15" x14ac:dyDescent="0.55000000000000004">
      <c r="B25" t="s">
        <v>240</v>
      </c>
      <c r="D25" s="165">
        <f>F22</f>
        <v>42</v>
      </c>
      <c r="E25" s="165">
        <f>ROUND(D25/(D20/1000),0)</f>
        <v>45</v>
      </c>
      <c r="N25">
        <v>600</v>
      </c>
    </row>
    <row r="26" spans="2:15" x14ac:dyDescent="0.55000000000000004">
      <c r="B26" t="s">
        <v>239</v>
      </c>
      <c r="D26" s="166">
        <f>ROUND(2*5*F20,1)</f>
        <v>9.4</v>
      </c>
      <c r="E26" s="165">
        <f>10</f>
        <v>10</v>
      </c>
    </row>
    <row r="27" spans="2:15" x14ac:dyDescent="0.55000000000000004">
      <c r="B27" t="s">
        <v>238</v>
      </c>
      <c r="D27" s="165">
        <f>ROUND(D25-D26,0)</f>
        <v>33</v>
      </c>
      <c r="E27" s="165">
        <f>E25-E26</f>
        <v>35</v>
      </c>
      <c r="M27" t="s">
        <v>237</v>
      </c>
      <c r="N27">
        <v>150</v>
      </c>
      <c r="O27" t="s">
        <v>236</v>
      </c>
    </row>
    <row r="28" spans="2:15" x14ac:dyDescent="0.55000000000000004">
      <c r="B28" t="s">
        <v>235</v>
      </c>
      <c r="D28" s="163"/>
      <c r="E28" s="163">
        <v>10</v>
      </c>
    </row>
    <row r="29" spans="2:15" x14ac:dyDescent="0.55000000000000004">
      <c r="B29" t="s">
        <v>234</v>
      </c>
      <c r="E29" s="165">
        <f>E28*E27</f>
        <v>350</v>
      </c>
    </row>
    <row r="31" spans="2:15" x14ac:dyDescent="0.55000000000000004">
      <c r="B31" t="s">
        <v>233</v>
      </c>
      <c r="E31" s="165">
        <v>450</v>
      </c>
    </row>
    <row r="32" spans="2:15" x14ac:dyDescent="0.55000000000000004">
      <c r="B32" t="s">
        <v>232</v>
      </c>
      <c r="E32" s="165">
        <f>ROUND(E29-E31,0)</f>
        <v>-100</v>
      </c>
    </row>
  </sheetData>
  <mergeCells count="3">
    <mergeCell ref="B4:E4"/>
    <mergeCell ref="B12:E12"/>
    <mergeCell ref="I12:I13"/>
  </mergeCells>
  <pageMargins left="0.7" right="0.7" top="0.75" bottom="0.75" header="0.3" footer="0.3"/>
  <pageSetup orientation="landscape" r:id="rId1"/>
  <headerFooter>
    <oddHeader>&amp;C&amp;20iPref Analysis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"/>
  <sheetViews>
    <sheetView view="pageLayout" zoomScaleNormal="100" workbookViewId="0">
      <selection activeCell="A9" sqref="A9"/>
    </sheetView>
  </sheetViews>
  <sheetFormatPr baseColWidth="10" defaultColWidth="8.83984375" defaultRowHeight="14.4" x14ac:dyDescent="0.55000000000000004"/>
  <cols>
    <col min="1" max="1" width="34.68359375" style="10" bestFit="1" customWidth="1"/>
    <col min="2" max="4" width="12.68359375" style="10" customWidth="1"/>
  </cols>
  <sheetData>
    <row r="1" spans="1:4" x14ac:dyDescent="0.55000000000000004">
      <c r="A1" s="1" t="s">
        <v>70</v>
      </c>
      <c r="B1" s="1"/>
      <c r="C1" s="1"/>
      <c r="D1" s="1"/>
    </row>
    <row r="2" spans="1:4" x14ac:dyDescent="0.55000000000000004">
      <c r="A2" s="11" t="s">
        <v>43</v>
      </c>
      <c r="B2" s="23" t="s">
        <v>2</v>
      </c>
      <c r="C2" s="23" t="s">
        <v>3</v>
      </c>
      <c r="D2" s="23" t="s">
        <v>4</v>
      </c>
    </row>
    <row r="3" spans="1:4" x14ac:dyDescent="0.55000000000000004">
      <c r="A3" s="2" t="s">
        <v>58</v>
      </c>
      <c r="B3" s="22">
        <v>14013</v>
      </c>
      <c r="C3" s="22">
        <v>25922</v>
      </c>
      <c r="D3" s="22">
        <v>41733</v>
      </c>
    </row>
    <row r="4" spans="1:4" x14ac:dyDescent="0.55000000000000004">
      <c r="A4" s="3" t="s">
        <v>71</v>
      </c>
      <c r="B4" s="4">
        <v>958</v>
      </c>
      <c r="C4" s="4">
        <v>1622</v>
      </c>
      <c r="D4" s="4">
        <v>2672</v>
      </c>
    </row>
    <row r="5" spans="1:4" x14ac:dyDescent="0.55000000000000004">
      <c r="A5" s="3" t="s">
        <v>72</v>
      </c>
      <c r="B5" s="4">
        <v>69</v>
      </c>
      <c r="C5" s="4">
        <v>192</v>
      </c>
      <c r="D5" s="4">
        <v>605</v>
      </c>
    </row>
    <row r="6" spans="1:4" x14ac:dyDescent="0.55000000000000004">
      <c r="A6" s="2" t="s">
        <v>73</v>
      </c>
      <c r="B6" s="5">
        <v>1027</v>
      </c>
      <c r="C6" s="5">
        <v>1814</v>
      </c>
      <c r="D6" s="5">
        <v>3277</v>
      </c>
    </row>
    <row r="7" spans="1:4" x14ac:dyDescent="0.55000000000000004">
      <c r="A7" s="3" t="s">
        <v>74</v>
      </c>
      <c r="B7" s="4">
        <v>879</v>
      </c>
      <c r="C7" s="4">
        <v>1168</v>
      </c>
      <c r="D7" s="4">
        <v>1740</v>
      </c>
    </row>
    <row r="8" spans="1:4" x14ac:dyDescent="0.55000000000000004">
      <c r="A8" s="3" t="s">
        <v>468</v>
      </c>
      <c r="B8" s="4">
        <v>1440</v>
      </c>
      <c r="C8" s="4">
        <v>2868</v>
      </c>
      <c r="D8" s="4">
        <v>4405</v>
      </c>
    </row>
    <row r="9" spans="1:4" x14ac:dyDescent="0.55000000000000004">
      <c r="A9" s="3" t="s">
        <v>75</v>
      </c>
      <c r="B9" s="4">
        <v>-2142</v>
      </c>
      <c r="C9" s="4">
        <v>143</v>
      </c>
      <c r="D9" s="4">
        <v>-5551</v>
      </c>
    </row>
    <row r="10" spans="1:4" x14ac:dyDescent="0.55000000000000004">
      <c r="A10" s="3" t="s">
        <v>76</v>
      </c>
      <c r="B10" s="4">
        <v>-596</v>
      </c>
      <c r="C10" s="4">
        <v>275</v>
      </c>
      <c r="D10" s="4">
        <v>-15</v>
      </c>
    </row>
    <row r="11" spans="1:4" x14ac:dyDescent="0.55000000000000004">
      <c r="A11" s="3" t="s">
        <v>77</v>
      </c>
      <c r="B11" s="4">
        <v>6307</v>
      </c>
      <c r="C11" s="4">
        <v>2515</v>
      </c>
      <c r="D11" s="4">
        <v>4467</v>
      </c>
    </row>
    <row r="12" spans="1:4" x14ac:dyDescent="0.55000000000000004">
      <c r="A12" s="3" t="s">
        <v>78</v>
      </c>
      <c r="B12" s="4">
        <v>1217</v>
      </c>
      <c r="C12" s="4">
        <v>1654</v>
      </c>
      <c r="D12" s="4">
        <v>2824</v>
      </c>
    </row>
    <row r="13" spans="1:4" x14ac:dyDescent="0.55000000000000004">
      <c r="A13" s="3" t="s">
        <v>79</v>
      </c>
      <c r="B13" s="4">
        <v>-3550</v>
      </c>
      <c r="C13" s="4">
        <v>1170</v>
      </c>
      <c r="D13" s="4">
        <v>-2024</v>
      </c>
    </row>
    <row r="14" spans="1:4" x14ac:dyDescent="0.55000000000000004">
      <c r="A14" s="2" t="s">
        <v>80</v>
      </c>
      <c r="B14" s="5">
        <v>18595</v>
      </c>
      <c r="C14" s="5">
        <v>37529</v>
      </c>
      <c r="D14" s="5">
        <v>50856</v>
      </c>
    </row>
    <row r="15" spans="1:4" x14ac:dyDescent="0.55000000000000004">
      <c r="A15" s="3" t="s">
        <v>81</v>
      </c>
      <c r="B15" s="4">
        <v>-2005</v>
      </c>
      <c r="C15" s="4">
        <v>-4260</v>
      </c>
      <c r="D15" s="4">
        <v>-8295</v>
      </c>
    </row>
    <row r="16" spans="1:4" x14ac:dyDescent="0.55000000000000004">
      <c r="A16" s="3" t="s">
        <v>82</v>
      </c>
      <c r="B16" s="4">
        <v>-638</v>
      </c>
      <c r="C16" s="4">
        <v>-244</v>
      </c>
      <c r="D16" s="4">
        <v>-350</v>
      </c>
    </row>
    <row r="17" spans="1:4" x14ac:dyDescent="0.55000000000000004">
      <c r="A17" s="3" t="s">
        <v>83</v>
      </c>
      <c r="B17" s="4" t="s">
        <v>9</v>
      </c>
      <c r="C17" s="4" t="s">
        <v>9</v>
      </c>
      <c r="D17" s="4" t="s">
        <v>9</v>
      </c>
    </row>
    <row r="18" spans="1:4" x14ac:dyDescent="0.55000000000000004">
      <c r="A18" s="3" t="s">
        <v>84</v>
      </c>
      <c r="B18" s="4">
        <v>-116</v>
      </c>
      <c r="C18" s="4">
        <v>-3192</v>
      </c>
      <c r="D18" s="4">
        <v>-1107</v>
      </c>
    </row>
    <row r="19" spans="1:4" x14ac:dyDescent="0.55000000000000004">
      <c r="A19" s="3" t="s">
        <v>85</v>
      </c>
      <c r="B19" s="4">
        <v>-11075</v>
      </c>
      <c r="C19" s="4">
        <v>-32464</v>
      </c>
      <c r="D19" s="4">
        <v>-38427</v>
      </c>
    </row>
    <row r="20" spans="1:4" x14ac:dyDescent="0.55000000000000004">
      <c r="A20" s="3" t="s">
        <v>86</v>
      </c>
      <c r="B20" s="4" t="s">
        <v>9</v>
      </c>
      <c r="C20" s="4" t="s">
        <v>9</v>
      </c>
      <c r="D20" s="4" t="s">
        <v>9</v>
      </c>
    </row>
    <row r="21" spans="1:4" x14ac:dyDescent="0.55000000000000004">
      <c r="A21" s="3" t="s">
        <v>87</v>
      </c>
      <c r="B21" s="4">
        <v>-20</v>
      </c>
      <c r="C21" s="4">
        <v>-259</v>
      </c>
      <c r="D21" s="4">
        <v>-48</v>
      </c>
    </row>
    <row r="22" spans="1:4" x14ac:dyDescent="0.55000000000000004">
      <c r="A22" s="2" t="s">
        <v>88</v>
      </c>
      <c r="B22" s="5">
        <v>-13854</v>
      </c>
      <c r="C22" s="5">
        <v>-40419</v>
      </c>
      <c r="D22" s="5">
        <v>-48227</v>
      </c>
    </row>
    <row r="23" spans="1:4" x14ac:dyDescent="0.55000000000000004">
      <c r="A23" s="3" t="s">
        <v>89</v>
      </c>
      <c r="B23" s="4" t="s">
        <v>9</v>
      </c>
      <c r="C23" s="4" t="s">
        <v>9</v>
      </c>
      <c r="D23" s="4" t="s">
        <v>9</v>
      </c>
    </row>
    <row r="24" spans="1:4" x14ac:dyDescent="0.55000000000000004">
      <c r="A24" s="3" t="s">
        <v>90</v>
      </c>
      <c r="B24" s="4" t="s">
        <v>9</v>
      </c>
      <c r="C24" s="4" t="s">
        <v>9</v>
      </c>
      <c r="D24" s="4" t="s">
        <v>9</v>
      </c>
    </row>
    <row r="25" spans="1:4" x14ac:dyDescent="0.55000000000000004">
      <c r="A25" s="2" t="s">
        <v>91</v>
      </c>
      <c r="B25" s="5" t="s">
        <v>9</v>
      </c>
      <c r="C25" s="5" t="s">
        <v>9</v>
      </c>
      <c r="D25" s="5" t="s">
        <v>9</v>
      </c>
    </row>
    <row r="26" spans="1:4" x14ac:dyDescent="0.55000000000000004">
      <c r="A26" s="3" t="s">
        <v>92</v>
      </c>
      <c r="B26" s="4" t="s">
        <v>9</v>
      </c>
      <c r="C26" s="4" t="s">
        <v>9</v>
      </c>
      <c r="D26" s="4" t="s">
        <v>9</v>
      </c>
    </row>
    <row r="27" spans="1:4" x14ac:dyDescent="0.55000000000000004">
      <c r="A27" s="3" t="s">
        <v>93</v>
      </c>
      <c r="B27" s="4" t="s">
        <v>9</v>
      </c>
      <c r="C27" s="4" t="s">
        <v>9</v>
      </c>
      <c r="D27" s="4" t="s">
        <v>9</v>
      </c>
    </row>
    <row r="28" spans="1:4" x14ac:dyDescent="0.55000000000000004">
      <c r="A28" s="2" t="s">
        <v>94</v>
      </c>
      <c r="B28" s="5" t="s">
        <v>9</v>
      </c>
      <c r="C28" s="5" t="s">
        <v>9</v>
      </c>
      <c r="D28" s="5" t="s">
        <v>9</v>
      </c>
    </row>
    <row r="29" spans="1:4" x14ac:dyDescent="0.55000000000000004">
      <c r="A29" s="3" t="s">
        <v>95</v>
      </c>
      <c r="B29" s="4">
        <v>912</v>
      </c>
      <c r="C29" s="4">
        <v>831</v>
      </c>
      <c r="D29" s="4">
        <v>665</v>
      </c>
    </row>
    <row r="30" spans="1:4" x14ac:dyDescent="0.55000000000000004">
      <c r="A30" s="3" t="s">
        <v>96</v>
      </c>
      <c r="B30" s="4" t="s">
        <v>9</v>
      </c>
      <c r="C30" s="4" t="s">
        <v>9</v>
      </c>
      <c r="D30" s="4" t="s">
        <v>9</v>
      </c>
    </row>
    <row r="31" spans="1:4" x14ac:dyDescent="0.55000000000000004">
      <c r="A31" s="3" t="s">
        <v>97</v>
      </c>
      <c r="B31" s="4" t="s">
        <v>9</v>
      </c>
      <c r="C31" s="4" t="s">
        <v>9</v>
      </c>
      <c r="D31" s="4">
        <v>-2488</v>
      </c>
    </row>
    <row r="32" spans="1:4" x14ac:dyDescent="0.55000000000000004">
      <c r="A32" s="3" t="s">
        <v>98</v>
      </c>
      <c r="B32" s="4">
        <v>345</v>
      </c>
      <c r="C32" s="4">
        <v>613</v>
      </c>
      <c r="D32" s="4">
        <v>125</v>
      </c>
    </row>
    <row r="33" spans="1:4" x14ac:dyDescent="0.55000000000000004">
      <c r="A33" s="2" t="s">
        <v>99</v>
      </c>
      <c r="B33" s="5">
        <v>1257</v>
      </c>
      <c r="C33" s="5">
        <v>1444</v>
      </c>
      <c r="D33" s="5">
        <v>-1698</v>
      </c>
    </row>
    <row r="34" spans="1:4" x14ac:dyDescent="0.55000000000000004">
      <c r="A34" s="2" t="s">
        <v>100</v>
      </c>
      <c r="B34" s="7">
        <v>5998</v>
      </c>
      <c r="C34" s="7">
        <v>-1446</v>
      </c>
      <c r="D34" s="7">
        <v>931</v>
      </c>
    </row>
    <row r="35" spans="1:4" x14ac:dyDescent="0.55000000000000004">
      <c r="A35" s="3" t="s">
        <v>101</v>
      </c>
      <c r="B35" s="4" t="s">
        <v>102</v>
      </c>
      <c r="C35" s="4" t="s">
        <v>102</v>
      </c>
      <c r="D35" s="4" t="s">
        <v>102</v>
      </c>
    </row>
    <row r="36" spans="1:4" x14ac:dyDescent="0.55000000000000004">
      <c r="A36" s="3" t="s">
        <v>103</v>
      </c>
      <c r="B36" s="4">
        <v>2697</v>
      </c>
      <c r="C36" s="4">
        <v>3338</v>
      </c>
      <c r="D36" s="4">
        <v>7682</v>
      </c>
    </row>
    <row r="37" spans="1:4" x14ac:dyDescent="0.55000000000000004">
      <c r="A37" s="3" t="s">
        <v>104</v>
      </c>
      <c r="B37" s="4">
        <v>12524.625</v>
      </c>
      <c r="C37" s="4">
        <v>20918.75</v>
      </c>
      <c r="D37" s="4">
        <v>31224.625</v>
      </c>
    </row>
    <row r="38" spans="1:4" x14ac:dyDescent="0.55000000000000004">
      <c r="A38" s="3" t="s">
        <v>105</v>
      </c>
      <c r="B38" s="4">
        <v>12524.625</v>
      </c>
      <c r="C38" s="4">
        <v>20918.75</v>
      </c>
      <c r="D38" s="4">
        <v>31224.625</v>
      </c>
    </row>
    <row r="39" spans="1:4" x14ac:dyDescent="0.55000000000000004">
      <c r="A39" s="3" t="s">
        <v>106</v>
      </c>
      <c r="B39" s="4">
        <v>-1249</v>
      </c>
      <c r="C39" s="4">
        <v>-4270</v>
      </c>
      <c r="D39" s="4">
        <v>-1084</v>
      </c>
    </row>
    <row r="40" spans="1:4" x14ac:dyDescent="0.55000000000000004">
      <c r="A40" s="3" t="s">
        <v>107</v>
      </c>
      <c r="B40" s="4" t="s">
        <v>102</v>
      </c>
      <c r="C40" s="4" t="s">
        <v>102</v>
      </c>
      <c r="D40" s="4" t="s">
        <v>102</v>
      </c>
    </row>
    <row r="41" spans="1:4" x14ac:dyDescent="0.55000000000000004">
      <c r="A41" s="11"/>
      <c r="B41" s="11"/>
      <c r="C41" s="11"/>
      <c r="D41" s="11"/>
    </row>
    <row r="42" spans="1:4" x14ac:dyDescent="0.55000000000000004">
      <c r="A42" s="1" t="s">
        <v>108</v>
      </c>
      <c r="B42" s="1"/>
      <c r="C42" s="1"/>
      <c r="D42" s="1"/>
    </row>
    <row r="43" spans="1:4" x14ac:dyDescent="0.55000000000000004">
      <c r="A43" s="9"/>
      <c r="B43" s="9"/>
      <c r="C43" s="9"/>
      <c r="D43" s="9"/>
    </row>
    <row r="44" spans="1:4" x14ac:dyDescent="0.55000000000000004">
      <c r="A44" s="9" t="s">
        <v>325</v>
      </c>
      <c r="B44" s="9"/>
      <c r="C44" s="9"/>
      <c r="D44" s="9"/>
    </row>
    <row r="45" spans="1:4" x14ac:dyDescent="0.55000000000000004">
      <c r="A45" s="9" t="s">
        <v>327</v>
      </c>
      <c r="B45" s="9"/>
      <c r="C45" s="9"/>
      <c r="D45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5"/>
  <sheetViews>
    <sheetView showGridLines="0" zoomScaleNormal="100" workbookViewId="0">
      <selection activeCell="C8" sqref="C8"/>
    </sheetView>
  </sheetViews>
  <sheetFormatPr baseColWidth="10" defaultColWidth="8.83984375" defaultRowHeight="12.9" outlineLevelRow="1" x14ac:dyDescent="0.5"/>
  <cols>
    <col min="1" max="1" width="1.7890625" style="194" customWidth="1"/>
    <col min="2" max="2" width="50.3125" style="194" customWidth="1"/>
    <col min="3" max="3" width="11.20703125" style="194" customWidth="1"/>
    <col min="4" max="4" width="1.05078125" style="194" customWidth="1"/>
    <col min="5" max="5" width="35.20703125" style="194" customWidth="1"/>
    <col min="6" max="16384" width="8.83984375" style="194"/>
  </cols>
  <sheetData>
    <row r="1" spans="1:5" ht="18.600000000000001" thickBot="1" x14ac:dyDescent="0.75">
      <c r="A1" s="251" t="s">
        <v>383</v>
      </c>
      <c r="B1" s="251"/>
      <c r="C1" s="251"/>
      <c r="D1" s="251"/>
      <c r="E1" s="251"/>
    </row>
    <row r="2" spans="1:5" ht="15.9" thickTop="1" x14ac:dyDescent="0.6">
      <c r="A2" s="250" t="s">
        <v>348</v>
      </c>
      <c r="B2" s="270"/>
      <c r="C2" s="270"/>
      <c r="D2" s="270"/>
      <c r="E2" s="270"/>
    </row>
    <row r="3" spans="1:5" ht="14.7" customHeight="1" x14ac:dyDescent="0.6">
      <c r="A3" s="250"/>
      <c r="B3" s="270"/>
      <c r="C3" s="270" t="s">
        <v>384</v>
      </c>
      <c r="D3" s="270"/>
      <c r="E3" s="270"/>
    </row>
    <row r="4" spans="1:5" ht="14.7" customHeight="1" thickBot="1" x14ac:dyDescent="0.65">
      <c r="A4" s="250"/>
      <c r="B4" s="270"/>
      <c r="C4" s="296" t="s">
        <v>385</v>
      </c>
      <c r="E4" s="280" t="s">
        <v>376</v>
      </c>
    </row>
    <row r="5" spans="1:5" ht="3.9" customHeight="1" thickTop="1" x14ac:dyDescent="0.6">
      <c r="A5" s="250"/>
      <c r="B5" s="270"/>
      <c r="C5" s="270"/>
    </row>
    <row r="6" spans="1:5" s="275" customFormat="1" ht="15.6" x14ac:dyDescent="0.6">
      <c r="B6" s="289" t="s">
        <v>364</v>
      </c>
      <c r="C6" s="283">
        <f>'Bce Sheet'!D4+'Bce Sheet'!D5+'Bce Sheet'!D21</f>
        <v>121251</v>
      </c>
      <c r="E6" s="254" t="s">
        <v>387</v>
      </c>
    </row>
    <row r="7" spans="1:5" s="275" customFormat="1" ht="15.6" x14ac:dyDescent="0.6">
      <c r="B7" s="276" t="s">
        <v>373</v>
      </c>
      <c r="C7" s="282">
        <f>C6*0.69</f>
        <v>83663.189999999988</v>
      </c>
      <c r="E7" s="254" t="s">
        <v>377</v>
      </c>
    </row>
    <row r="8" spans="1:5" s="275" customFormat="1" ht="15.6" x14ac:dyDescent="0.6">
      <c r="B8" s="276" t="s">
        <v>411</v>
      </c>
      <c r="C8" s="282">
        <f>C6-C7</f>
        <v>37587.810000000012</v>
      </c>
      <c r="E8" s="254" t="s">
        <v>412</v>
      </c>
    </row>
    <row r="9" spans="1:5" s="275" customFormat="1" ht="15.6" x14ac:dyDescent="0.6">
      <c r="B9" s="276"/>
      <c r="C9" s="282"/>
      <c r="E9" s="254"/>
    </row>
    <row r="10" spans="1:5" s="275" customFormat="1" ht="15.6" x14ac:dyDescent="0.6">
      <c r="B10" s="276" t="s">
        <v>404</v>
      </c>
      <c r="C10" s="282">
        <f>-C7*0.35</f>
        <v>-29282.116499999993</v>
      </c>
      <c r="E10" s="254" t="s">
        <v>365</v>
      </c>
    </row>
    <row r="11" spans="1:5" s="275" customFormat="1" ht="6" customHeight="1" thickBot="1" x14ac:dyDescent="0.65">
      <c r="B11" s="276"/>
      <c r="C11" s="281"/>
      <c r="E11" s="254"/>
    </row>
    <row r="12" spans="1:5" s="275" customFormat="1" ht="6" customHeight="1" thickTop="1" x14ac:dyDescent="0.6">
      <c r="B12" s="276"/>
      <c r="C12" s="277"/>
      <c r="E12" s="254"/>
    </row>
    <row r="13" spans="1:5" s="275" customFormat="1" ht="15.6" x14ac:dyDescent="0.6">
      <c r="B13" s="314" t="s">
        <v>367</v>
      </c>
      <c r="C13" s="315">
        <f>C6+C10</f>
        <v>91968.883500000011</v>
      </c>
      <c r="E13" s="254" t="s">
        <v>381</v>
      </c>
    </row>
    <row r="14" spans="1:5" s="275" customFormat="1" ht="15.6" x14ac:dyDescent="0.6">
      <c r="B14" s="278"/>
      <c r="C14" s="282"/>
      <c r="E14" s="254"/>
    </row>
    <row r="15" spans="1:5" ht="15.6" x14ac:dyDescent="0.6">
      <c r="B15" s="275" t="s">
        <v>370</v>
      </c>
      <c r="C15" s="282">
        <f>'Exhibit 11 (Model)'!G184</f>
        <v>8020.833333333333</v>
      </c>
      <c r="E15" s="254" t="s">
        <v>378</v>
      </c>
    </row>
    <row r="16" spans="1:5" ht="15.6" x14ac:dyDescent="0.6">
      <c r="B16" s="276" t="s">
        <v>371</v>
      </c>
      <c r="C16" s="286">
        <f>C17/C15</f>
        <v>2.5034805194805196</v>
      </c>
      <c r="E16" s="254" t="s">
        <v>397</v>
      </c>
    </row>
    <row r="17" spans="1:5" s="275" customFormat="1" ht="15.6" x14ac:dyDescent="0.6">
      <c r="B17" s="312" t="s">
        <v>380</v>
      </c>
      <c r="C17" s="313">
        <f>'Exhibit 11 (Model)'!G183</f>
        <v>20080</v>
      </c>
      <c r="E17" s="254" t="s">
        <v>379</v>
      </c>
    </row>
    <row r="18" spans="1:5" s="275" customFormat="1" ht="15.6" x14ac:dyDescent="0.6">
      <c r="B18" s="278"/>
      <c r="C18" s="282"/>
      <c r="E18" s="254"/>
    </row>
    <row r="19" spans="1:5" s="275" customFormat="1" ht="15.6" x14ac:dyDescent="0.6">
      <c r="B19" s="310" t="s">
        <v>372</v>
      </c>
      <c r="C19" s="311">
        <f>C13-C17</f>
        <v>71888.883500000011</v>
      </c>
      <c r="E19" s="254" t="s">
        <v>382</v>
      </c>
    </row>
    <row r="20" spans="1:5" ht="15.6" x14ac:dyDescent="0.6">
      <c r="B20" s="270"/>
      <c r="C20" s="283"/>
      <c r="E20" s="254"/>
    </row>
    <row r="21" spans="1:5" ht="14.4" x14ac:dyDescent="0.55000000000000004">
      <c r="B21" s="287" t="s">
        <v>374</v>
      </c>
      <c r="C21" s="181"/>
      <c r="E21" s="254"/>
    </row>
    <row r="22" spans="1:5" x14ac:dyDescent="0.5">
      <c r="B22" s="194" t="s">
        <v>375</v>
      </c>
      <c r="C22" s="181"/>
    </row>
    <row r="23" spans="1:5" x14ac:dyDescent="0.5">
      <c r="B23" s="172"/>
      <c r="C23" s="181"/>
    </row>
    <row r="24" spans="1:5" ht="14.7" hidden="1" customHeight="1" outlineLevel="1" x14ac:dyDescent="0.6">
      <c r="A24" s="250"/>
      <c r="B24" s="270"/>
      <c r="C24" s="270" t="s">
        <v>384</v>
      </c>
      <c r="D24" s="270"/>
      <c r="E24" s="270"/>
    </row>
    <row r="25" spans="1:5" ht="14.7" hidden="1" customHeight="1" outlineLevel="1" thickBot="1" x14ac:dyDescent="0.65">
      <c r="A25" s="250"/>
      <c r="B25" s="270"/>
      <c r="C25" s="296" t="s">
        <v>386</v>
      </c>
      <c r="E25" s="280" t="s">
        <v>376</v>
      </c>
    </row>
    <row r="26" spans="1:5" ht="3.9" hidden="1" customHeight="1" outlineLevel="1" thickTop="1" x14ac:dyDescent="0.6">
      <c r="A26" s="250"/>
      <c r="B26" s="270"/>
      <c r="C26" s="270"/>
    </row>
    <row r="27" spans="1:5" s="275" customFormat="1" ht="15.6" hidden="1" outlineLevel="1" x14ac:dyDescent="0.6">
      <c r="B27" s="276" t="s">
        <v>364</v>
      </c>
      <c r="C27" s="282">
        <f>'Quarterly Summary'!H18</f>
        <v>137112</v>
      </c>
      <c r="E27" s="254" t="s">
        <v>388</v>
      </c>
    </row>
    <row r="28" spans="1:5" s="275" customFormat="1" ht="15.6" hidden="1" outlineLevel="1" x14ac:dyDescent="0.6">
      <c r="B28" s="276"/>
      <c r="C28" s="282"/>
      <c r="E28" s="254"/>
    </row>
    <row r="29" spans="1:5" s="275" customFormat="1" ht="15.6" hidden="1" outlineLevel="1" x14ac:dyDescent="0.6">
      <c r="B29" s="276" t="s">
        <v>373</v>
      </c>
      <c r="C29" s="282">
        <f>C27*0.69</f>
        <v>94607.28</v>
      </c>
      <c r="E29" s="254" t="s">
        <v>389</v>
      </c>
    </row>
    <row r="30" spans="1:5" s="275" customFormat="1" ht="15.6" hidden="1" outlineLevel="1" x14ac:dyDescent="0.6">
      <c r="B30" s="276"/>
      <c r="C30" s="282"/>
      <c r="E30" s="254"/>
    </row>
    <row r="31" spans="1:5" s="275" customFormat="1" ht="15.6" hidden="1" outlineLevel="1" x14ac:dyDescent="0.6">
      <c r="B31" s="276" t="s">
        <v>366</v>
      </c>
      <c r="C31" s="282">
        <f>-C29*0.35</f>
        <v>-33112.547999999995</v>
      </c>
      <c r="E31" s="254" t="s">
        <v>390</v>
      </c>
    </row>
    <row r="32" spans="1:5" s="275" customFormat="1" ht="6" hidden="1" customHeight="1" outlineLevel="1" thickBot="1" x14ac:dyDescent="0.65">
      <c r="B32" s="276"/>
      <c r="C32" s="281"/>
      <c r="E32" s="254"/>
    </row>
    <row r="33" spans="2:5" s="275" customFormat="1" ht="6" hidden="1" customHeight="1" outlineLevel="1" thickTop="1" x14ac:dyDescent="0.6">
      <c r="B33" s="276"/>
      <c r="C33" s="277"/>
      <c r="E33" s="254"/>
    </row>
    <row r="34" spans="2:5" s="275" customFormat="1" ht="15.6" hidden="1" outlineLevel="1" x14ac:dyDescent="0.6">
      <c r="B34" s="289" t="s">
        <v>367</v>
      </c>
      <c r="C34" s="283">
        <f>C27+C31</f>
        <v>103999.452</v>
      </c>
      <c r="E34" s="254" t="s">
        <v>392</v>
      </c>
    </row>
    <row r="35" spans="2:5" s="275" customFormat="1" ht="15.6" hidden="1" outlineLevel="1" x14ac:dyDescent="0.6">
      <c r="B35" s="278"/>
      <c r="C35" s="282"/>
      <c r="E35" s="254"/>
    </row>
    <row r="36" spans="2:5" ht="15.6" hidden="1" outlineLevel="1" x14ac:dyDescent="0.6">
      <c r="B36" s="275" t="s">
        <v>370</v>
      </c>
      <c r="C36" s="282">
        <f>('Quarterly Summary'!H4-'Quarterly Summary'!H12-1588-545)/3</f>
        <v>11723</v>
      </c>
      <c r="E36" s="254" t="s">
        <v>378</v>
      </c>
    </row>
    <row r="37" spans="2:5" ht="15.6" hidden="1" outlineLevel="1" x14ac:dyDescent="0.6">
      <c r="B37" s="276" t="s">
        <v>371</v>
      </c>
      <c r="C37" s="286">
        <f>C16</f>
        <v>2.5034805194805196</v>
      </c>
      <c r="E37" s="254" t="s">
        <v>397</v>
      </c>
    </row>
    <row r="38" spans="2:5" s="275" customFormat="1" ht="15.6" hidden="1" outlineLevel="1" x14ac:dyDescent="0.6">
      <c r="B38" s="288" t="s">
        <v>380</v>
      </c>
      <c r="C38" s="283">
        <f>C36*C37</f>
        <v>29348.302129870131</v>
      </c>
      <c r="E38" s="254" t="s">
        <v>395</v>
      </c>
    </row>
    <row r="39" spans="2:5" s="275" customFormat="1" ht="15.6" hidden="1" outlineLevel="1" x14ac:dyDescent="0.6">
      <c r="B39" s="278"/>
      <c r="C39" s="282"/>
      <c r="E39" s="254"/>
    </row>
    <row r="40" spans="2:5" s="275" customFormat="1" ht="15.6" hidden="1" outlineLevel="1" x14ac:dyDescent="0.6">
      <c r="B40" s="279" t="s">
        <v>372</v>
      </c>
      <c r="C40" s="283">
        <f>C34-C38</f>
        <v>74651.14987012987</v>
      </c>
      <c r="E40" s="254" t="s">
        <v>396</v>
      </c>
    </row>
    <row r="41" spans="2:5" ht="15.6" hidden="1" outlineLevel="1" x14ac:dyDescent="0.6">
      <c r="B41" s="270"/>
      <c r="C41" s="283"/>
      <c r="E41" s="254"/>
    </row>
    <row r="42" spans="2:5" ht="14.4" hidden="1" outlineLevel="1" x14ac:dyDescent="0.55000000000000004">
      <c r="B42" s="287" t="s">
        <v>374</v>
      </c>
      <c r="C42" s="181"/>
      <c r="E42" s="254"/>
    </row>
    <row r="43" spans="2:5" hidden="1" outlineLevel="1" x14ac:dyDescent="0.5">
      <c r="B43" s="194" t="s">
        <v>375</v>
      </c>
      <c r="C43" s="181"/>
    </row>
    <row r="44" spans="2:5" collapsed="1" x14ac:dyDescent="0.5">
      <c r="B44" s="271"/>
      <c r="C44" s="272"/>
    </row>
    <row r="45" spans="2:5" x14ac:dyDescent="0.5">
      <c r="B45" s="273"/>
      <c r="C45" s="2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0"/>
  <sheetViews>
    <sheetView showGridLines="0" topLeftCell="A20" zoomScaleNormal="100" workbookViewId="0">
      <selection activeCell="I18" sqref="I18"/>
    </sheetView>
  </sheetViews>
  <sheetFormatPr baseColWidth="10" defaultColWidth="8.83984375" defaultRowHeight="14.4" x14ac:dyDescent="0.55000000000000004"/>
  <cols>
    <col min="1" max="1" width="2.7890625" customWidth="1"/>
    <col min="2" max="2" width="20.68359375" customWidth="1"/>
    <col min="3" max="3" width="9.578125" customWidth="1"/>
    <col min="4" max="4" width="0.68359375" customWidth="1"/>
    <col min="5" max="5" width="9.578125" customWidth="1"/>
    <col min="6" max="6" width="4.734375" customWidth="1"/>
    <col min="7" max="7" width="24.47265625" customWidth="1"/>
    <col min="8" max="8" width="9.9453125" customWidth="1"/>
    <col min="9" max="9" width="24.47265625" customWidth="1"/>
    <col min="10" max="10" width="9.9453125" customWidth="1"/>
  </cols>
  <sheetData>
    <row r="1" spans="1:13" ht="18.600000000000001" thickBot="1" x14ac:dyDescent="0.75">
      <c r="A1" s="251" t="s">
        <v>398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3" ht="15.9" thickTop="1" x14ac:dyDescent="0.6">
      <c r="A2" s="250" t="s">
        <v>348</v>
      </c>
      <c r="B2" s="270"/>
      <c r="C2" s="270"/>
      <c r="D2" s="270"/>
      <c r="E2" s="270"/>
      <c r="F2" s="270"/>
      <c r="G2" s="270"/>
      <c r="H2" s="270"/>
      <c r="I2" s="270"/>
      <c r="J2" s="270"/>
    </row>
    <row r="4" spans="1:13" ht="15.6" x14ac:dyDescent="0.6">
      <c r="B4" s="329" t="s">
        <v>431</v>
      </c>
      <c r="C4" s="329"/>
      <c r="D4" s="329"/>
      <c r="E4" s="329"/>
      <c r="G4" s="330" t="s">
        <v>432</v>
      </c>
      <c r="H4" s="330"/>
      <c r="I4" s="330"/>
      <c r="J4" s="330"/>
    </row>
    <row r="5" spans="1:13" ht="7.2" customHeight="1" x14ac:dyDescent="0.55000000000000004"/>
    <row r="6" spans="1:13" ht="14.7" thickBot="1" x14ac:dyDescent="0.6">
      <c r="B6" s="299" t="s">
        <v>421</v>
      </c>
      <c r="C6" s="299"/>
      <c r="D6" s="299"/>
      <c r="E6" s="299"/>
      <c r="G6" s="299" t="s">
        <v>419</v>
      </c>
      <c r="H6" s="299"/>
      <c r="I6" s="299"/>
      <c r="J6" s="299"/>
    </row>
    <row r="7" spans="1:13" ht="14.7" thickTop="1" x14ac:dyDescent="0.55000000000000004">
      <c r="B7" t="s">
        <v>416</v>
      </c>
      <c r="E7" s="322">
        <f>H7+H8</f>
        <v>121251</v>
      </c>
      <c r="G7" t="s">
        <v>522</v>
      </c>
      <c r="H7" s="303">
        <f>'Excess Cash'!C17</f>
        <v>20080</v>
      </c>
      <c r="I7" s="160" t="s">
        <v>391</v>
      </c>
      <c r="J7" s="303">
        <f>H10-J8</f>
        <v>57854</v>
      </c>
    </row>
    <row r="8" spans="1:13" x14ac:dyDescent="0.55000000000000004">
      <c r="B8" t="s">
        <v>422</v>
      </c>
      <c r="E8" s="301">
        <f>ROUND(0.69*0.35*SUM(H7:H8),0)</f>
        <v>29282</v>
      </c>
      <c r="G8" t="s">
        <v>150</v>
      </c>
      <c r="H8" s="301">
        <f>'Excess Cash'!C6-H7</f>
        <v>101171</v>
      </c>
      <c r="I8" s="147" t="s">
        <v>159</v>
      </c>
      <c r="J8" s="303">
        <f>'Bce Sheet'!D44</f>
        <v>118210</v>
      </c>
    </row>
    <row r="9" spans="1:13" x14ac:dyDescent="0.55000000000000004">
      <c r="B9" t="s">
        <v>423</v>
      </c>
      <c r="E9" s="322">
        <f>H7</f>
        <v>20080</v>
      </c>
      <c r="F9" s="145"/>
      <c r="G9" s="141" t="s">
        <v>219</v>
      </c>
      <c r="H9" s="302">
        <f>H10-H7-H8</f>
        <v>54813</v>
      </c>
      <c r="I9" s="143"/>
      <c r="J9" s="305"/>
    </row>
    <row r="10" spans="1:13" x14ac:dyDescent="0.55000000000000004">
      <c r="B10" s="328" t="s">
        <v>401</v>
      </c>
      <c r="C10" s="328"/>
      <c r="D10" s="328"/>
      <c r="E10" s="327">
        <f>E7-E8-E9</f>
        <v>71889</v>
      </c>
      <c r="G10" t="s">
        <v>24</v>
      </c>
      <c r="H10" s="301">
        <f>'Bce Sheet'!D25</f>
        <v>176064</v>
      </c>
      <c r="I10" s="147" t="s">
        <v>394</v>
      </c>
      <c r="J10" s="303">
        <f>SUM(J7:J9)</f>
        <v>176064</v>
      </c>
    </row>
    <row r="11" spans="1:13" x14ac:dyDescent="0.55000000000000004">
      <c r="B11" t="s">
        <v>405</v>
      </c>
      <c r="E11" s="309">
        <v>939.1</v>
      </c>
    </row>
    <row r="12" spans="1:13" ht="14.7" thickBot="1" x14ac:dyDescent="0.6">
      <c r="B12" s="324" t="s">
        <v>400</v>
      </c>
      <c r="C12" s="324"/>
      <c r="D12" s="324"/>
      <c r="E12" s="325">
        <f>E10/E11</f>
        <v>76.550953040144819</v>
      </c>
      <c r="G12" s="299" t="s">
        <v>417</v>
      </c>
      <c r="H12" s="299"/>
      <c r="I12" s="299"/>
      <c r="J12" s="299"/>
    </row>
    <row r="13" spans="1:13" ht="14.7" thickTop="1" x14ac:dyDescent="0.55000000000000004">
      <c r="B13" t="s">
        <v>408</v>
      </c>
      <c r="E13" s="301">
        <f>'P&amp;L'!D17</f>
        <v>41733</v>
      </c>
      <c r="G13" t="s">
        <v>522</v>
      </c>
      <c r="H13" s="303">
        <f>H7</f>
        <v>20080</v>
      </c>
      <c r="I13" s="160" t="s">
        <v>391</v>
      </c>
      <c r="J13" s="303">
        <f>J7</f>
        <v>57854</v>
      </c>
    </row>
    <row r="14" spans="1:13" x14ac:dyDescent="0.55000000000000004">
      <c r="B14" s="254" t="s">
        <v>426</v>
      </c>
      <c r="C14" s="254"/>
      <c r="D14" s="254"/>
      <c r="E14" s="154">
        <v>450.5</v>
      </c>
      <c r="G14" s="326" t="s">
        <v>420</v>
      </c>
      <c r="H14" s="327">
        <f>H8-E8</f>
        <v>71889</v>
      </c>
      <c r="I14" s="335" t="s">
        <v>434</v>
      </c>
      <c r="J14" s="327">
        <f>J8-E8</f>
        <v>88928</v>
      </c>
    </row>
    <row r="15" spans="1:13" x14ac:dyDescent="0.55000000000000004">
      <c r="G15" s="141" t="s">
        <v>219</v>
      </c>
      <c r="H15" s="304">
        <f>H9</f>
        <v>54813</v>
      </c>
      <c r="I15" s="307"/>
      <c r="J15" s="305"/>
    </row>
    <row r="16" spans="1:13" x14ac:dyDescent="0.55000000000000004">
      <c r="G16" t="s">
        <v>218</v>
      </c>
      <c r="H16" s="303">
        <f>SUM(H13:H15)</f>
        <v>146782</v>
      </c>
      <c r="I16" s="306" t="s">
        <v>218</v>
      </c>
      <c r="J16" s="303">
        <f>SUM(J13:J15)</f>
        <v>146782</v>
      </c>
      <c r="L16" s="294">
        <f>H10-H16-E8</f>
        <v>0</v>
      </c>
      <c r="M16" s="295" t="s">
        <v>393</v>
      </c>
    </row>
    <row r="17" spans="2:13" ht="9.6" customHeight="1" x14ac:dyDescent="0.55000000000000004">
      <c r="H17" s="303"/>
      <c r="I17" s="338"/>
      <c r="J17" s="303"/>
      <c r="L17" s="294"/>
      <c r="M17" s="295"/>
    </row>
    <row r="18" spans="2:13" ht="14.7" thickBot="1" x14ac:dyDescent="0.6">
      <c r="B18" s="299" t="s">
        <v>433</v>
      </c>
      <c r="C18" s="299"/>
      <c r="D18" s="299"/>
      <c r="E18" s="299"/>
    </row>
    <row r="19" spans="2:13" ht="14.7" thickTop="1" x14ac:dyDescent="0.55000000000000004">
      <c r="C19" s="168" t="s">
        <v>429</v>
      </c>
      <c r="D19" s="168"/>
      <c r="E19" s="168" t="s">
        <v>430</v>
      </c>
    </row>
    <row r="20" spans="2:13" ht="14.7" thickBot="1" x14ac:dyDescent="0.6">
      <c r="C20" s="297" t="s">
        <v>206</v>
      </c>
      <c r="D20" s="168"/>
      <c r="E20" s="297" t="s">
        <v>206</v>
      </c>
      <c r="G20" s="299" t="s">
        <v>418</v>
      </c>
      <c r="H20" s="299"/>
      <c r="I20" s="299"/>
      <c r="J20" s="299"/>
    </row>
    <row r="21" spans="2:13" ht="14.7" thickTop="1" x14ac:dyDescent="0.55000000000000004">
      <c r="B21" s="145" t="s">
        <v>216</v>
      </c>
      <c r="C21" s="320">
        <f>E11</f>
        <v>939.1</v>
      </c>
      <c r="D21" s="320"/>
      <c r="E21" s="320">
        <f>E11</f>
        <v>939.1</v>
      </c>
      <c r="G21" t="s">
        <v>522</v>
      </c>
      <c r="H21" s="303">
        <f>H13</f>
        <v>20080</v>
      </c>
      <c r="I21" s="160" t="s">
        <v>391</v>
      </c>
      <c r="J21" s="303">
        <f>J13</f>
        <v>57854</v>
      </c>
    </row>
    <row r="22" spans="2:13" x14ac:dyDescent="0.55000000000000004">
      <c r="B22" s="145" t="s">
        <v>425</v>
      </c>
      <c r="C22" s="149">
        <f>E13/C21</f>
        <v>44.439356831008411</v>
      </c>
      <c r="D22" s="149"/>
      <c r="E22" s="149">
        <f>E13/E21</f>
        <v>44.439356831008411</v>
      </c>
      <c r="G22" s="326" t="s">
        <v>435</v>
      </c>
      <c r="H22" s="327">
        <f>0</f>
        <v>0</v>
      </c>
      <c r="I22" s="335" t="s">
        <v>436</v>
      </c>
      <c r="J22" s="327">
        <f>J14-H14</f>
        <v>17039</v>
      </c>
    </row>
    <row r="23" spans="2:13" x14ac:dyDescent="0.55000000000000004">
      <c r="B23" s="331" t="s">
        <v>427</v>
      </c>
      <c r="C23" s="332">
        <v>450.5</v>
      </c>
      <c r="D23" s="332"/>
      <c r="E23" s="339">
        <f>C23-E12</f>
        <v>373.9490469598552</v>
      </c>
      <c r="G23" s="141" t="s">
        <v>219</v>
      </c>
      <c r="H23" s="304">
        <f>H15</f>
        <v>54813</v>
      </c>
      <c r="I23" s="307"/>
      <c r="J23" s="305"/>
    </row>
    <row r="24" spans="2:13" x14ac:dyDescent="0.55000000000000004">
      <c r="B24" s="331" t="s">
        <v>428</v>
      </c>
      <c r="C24" s="334">
        <f>C23/C22</f>
        <v>10.137410442575421</v>
      </c>
      <c r="D24" s="334"/>
      <c r="E24" s="334">
        <f>E23/E22</f>
        <v>8.4148168116358768</v>
      </c>
      <c r="G24" t="s">
        <v>218</v>
      </c>
      <c r="H24" s="303">
        <f>SUM(H21:H23)</f>
        <v>74893</v>
      </c>
      <c r="I24" s="306" t="s">
        <v>218</v>
      </c>
      <c r="J24" s="303">
        <f>SUM(J21:J22)</f>
        <v>74893</v>
      </c>
    </row>
    <row r="28" spans="2:13" x14ac:dyDescent="0.55000000000000004">
      <c r="F28" s="402" t="s">
        <v>476</v>
      </c>
    </row>
    <row r="29" spans="2:13" ht="5.7" customHeight="1" x14ac:dyDescent="0.55000000000000004">
      <c r="F29" s="402"/>
    </row>
    <row r="30" spans="2:13" x14ac:dyDescent="0.55000000000000004">
      <c r="F30" s="402" t="s">
        <v>484</v>
      </c>
    </row>
    <row r="31" spans="2:13" x14ac:dyDescent="0.55000000000000004">
      <c r="F31" t="s">
        <v>477</v>
      </c>
      <c r="J31" s="149">
        <v>2.65</v>
      </c>
    </row>
    <row r="32" spans="2:13" x14ac:dyDescent="0.55000000000000004">
      <c r="F32" t="s">
        <v>478</v>
      </c>
      <c r="J32" s="320">
        <v>932.37</v>
      </c>
    </row>
    <row r="33" spans="3:10" x14ac:dyDescent="0.55000000000000004">
      <c r="C33" s="156"/>
      <c r="D33" s="156"/>
      <c r="F33" s="156" t="s">
        <v>479</v>
      </c>
      <c r="J33" s="300">
        <f>J31*4*J32</f>
        <v>9883.1219999999994</v>
      </c>
    </row>
    <row r="34" spans="3:10" x14ac:dyDescent="0.55000000000000004">
      <c r="C34" s="156"/>
      <c r="D34" s="156"/>
      <c r="F34" s="403" t="s">
        <v>486</v>
      </c>
      <c r="G34" s="326"/>
      <c r="H34" s="326"/>
      <c r="I34" s="326"/>
      <c r="J34" s="404">
        <f>J33*3</f>
        <v>29649.365999999998</v>
      </c>
    </row>
    <row r="35" spans="3:10" ht="5.7" customHeight="1" x14ac:dyDescent="0.55000000000000004">
      <c r="F35" s="402"/>
    </row>
    <row r="36" spans="3:10" x14ac:dyDescent="0.55000000000000004">
      <c r="F36" s="402" t="s">
        <v>485</v>
      </c>
    </row>
    <row r="37" spans="3:10" x14ac:dyDescent="0.55000000000000004">
      <c r="F37" s="403" t="s">
        <v>481</v>
      </c>
      <c r="G37" s="403"/>
      <c r="H37" s="403"/>
      <c r="I37" s="403"/>
      <c r="J37" s="404">
        <v>10000</v>
      </c>
    </row>
    <row r="38" spans="3:10" x14ac:dyDescent="0.55000000000000004">
      <c r="F38" s="156" t="s">
        <v>487</v>
      </c>
      <c r="G38" s="156"/>
      <c r="H38" s="156"/>
      <c r="I38" s="156"/>
      <c r="J38" s="300">
        <f>J37/3</f>
        <v>3333.3333333333335</v>
      </c>
    </row>
    <row r="40" spans="3:10" x14ac:dyDescent="0.55000000000000004">
      <c r="F40" s="402" t="s">
        <v>482</v>
      </c>
    </row>
    <row r="41" spans="3:10" x14ac:dyDescent="0.55000000000000004">
      <c r="F41" s="403" t="s">
        <v>483</v>
      </c>
      <c r="G41" s="403"/>
      <c r="H41" s="403"/>
      <c r="I41" s="403"/>
      <c r="J41" s="404">
        <f>J34+J37</f>
        <v>39649.365999999995</v>
      </c>
    </row>
    <row r="42" spans="3:10" x14ac:dyDescent="0.55000000000000004">
      <c r="F42" s="156" t="s">
        <v>480</v>
      </c>
      <c r="J42" s="300">
        <f>J33+J38</f>
        <v>13216.455333333333</v>
      </c>
    </row>
    <row r="44" spans="3:10" x14ac:dyDescent="0.55000000000000004">
      <c r="I44" s="408" t="s">
        <v>492</v>
      </c>
      <c r="J44" s="408" t="s">
        <v>493</v>
      </c>
    </row>
    <row r="45" spans="3:10" x14ac:dyDescent="0.55000000000000004">
      <c r="I45" s="407">
        <v>40969</v>
      </c>
      <c r="J45" s="407">
        <v>41153</v>
      </c>
    </row>
    <row r="46" spans="3:10" x14ac:dyDescent="0.55000000000000004">
      <c r="F46" s="156" t="s">
        <v>491</v>
      </c>
      <c r="I46" s="300">
        <f>'Quarterly Summary'!E14+'Quarterly Summary'!D14+'Quarterly Summary'!C14+'Quarterly Summary'!B14</f>
        <v>38617</v>
      </c>
      <c r="J46" s="300">
        <f>'P&amp;L'!D17</f>
        <v>41733</v>
      </c>
    </row>
    <row r="47" spans="3:10" x14ac:dyDescent="0.55000000000000004">
      <c r="F47" s="156" t="s">
        <v>490</v>
      </c>
      <c r="I47" s="406">
        <f>J42/I46</f>
        <v>0.34224448645242594</v>
      </c>
      <c r="J47" s="406">
        <f>J42/J46</f>
        <v>0.31669075631594501</v>
      </c>
    </row>
    <row r="48" spans="3:10" x14ac:dyDescent="0.55000000000000004">
      <c r="F48" s="254" t="s">
        <v>489</v>
      </c>
      <c r="I48" s="405">
        <f>J33/I46</f>
        <v>0.25592671621306678</v>
      </c>
      <c r="J48" s="405">
        <f>J33/J46</f>
        <v>0.23681791388110127</v>
      </c>
    </row>
    <row r="49" spans="6:10" x14ac:dyDescent="0.55000000000000004">
      <c r="F49" s="254" t="s">
        <v>488</v>
      </c>
      <c r="I49" s="405">
        <f>J38/I46</f>
        <v>8.6317770239359187E-2</v>
      </c>
      <c r="J49" s="405">
        <f>J38/J46</f>
        <v>7.987284243484373E-2</v>
      </c>
    </row>
    <row r="50" spans="6:10" x14ac:dyDescent="0.55000000000000004">
      <c r="I50" s="373">
        <f>I47-I48-I49</f>
        <v>0</v>
      </c>
      <c r="J50" s="373">
        <f>J47-J48-J49</f>
        <v>0</v>
      </c>
    </row>
  </sheetData>
  <pageMargins left="0.7" right="0.7" top="0.75" bottom="0.75" header="0.3" footer="0.3"/>
  <pageSetup orientation="landscape" r:id="rId1"/>
  <headerFooter>
    <oddHeader xml:space="preserve">&amp;C&amp;20Dividend Analysis&amp;11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93C7-ED80-41D2-95EA-4FC6FDEA767C}">
  <dimension ref="A1:M32"/>
  <sheetViews>
    <sheetView showGridLines="0" zoomScaleNormal="100" workbookViewId="0">
      <selection activeCell="B4" sqref="B4:C4"/>
    </sheetView>
  </sheetViews>
  <sheetFormatPr baseColWidth="10" defaultColWidth="8.83984375" defaultRowHeight="14.4" x14ac:dyDescent="0.55000000000000004"/>
  <cols>
    <col min="1" max="1" width="2.7890625" customWidth="1"/>
    <col min="2" max="2" width="20.68359375" customWidth="1"/>
    <col min="3" max="3" width="9.578125" customWidth="1"/>
    <col min="4" max="4" width="0.68359375" customWidth="1"/>
    <col min="5" max="5" width="9.578125" customWidth="1"/>
    <col min="6" max="6" width="4.734375" customWidth="1"/>
    <col min="7" max="7" width="24.47265625" customWidth="1"/>
    <col min="8" max="8" width="9.9453125" customWidth="1"/>
    <col min="9" max="9" width="24.47265625" customWidth="1"/>
    <col min="10" max="10" width="9.9453125" customWidth="1"/>
  </cols>
  <sheetData>
    <row r="1" spans="1:13" ht="18.600000000000001" thickBot="1" x14ac:dyDescent="0.75">
      <c r="A1" s="251" t="s">
        <v>399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3" ht="15.9" thickTop="1" x14ac:dyDescent="0.6">
      <c r="A2" s="250" t="s">
        <v>348</v>
      </c>
      <c r="B2" s="270"/>
      <c r="C2" s="270"/>
      <c r="D2" s="270"/>
      <c r="E2" s="270"/>
      <c r="F2" s="270"/>
      <c r="G2" s="270"/>
      <c r="H2" s="270"/>
      <c r="I2" s="270"/>
      <c r="J2" s="270"/>
    </row>
    <row r="4" spans="1:13" ht="15.6" x14ac:dyDescent="0.6">
      <c r="B4" s="329" t="s">
        <v>440</v>
      </c>
      <c r="C4" s="329"/>
      <c r="D4" s="329"/>
      <c r="E4" s="329"/>
      <c r="G4" s="330" t="s">
        <v>432</v>
      </c>
      <c r="H4" s="330"/>
      <c r="I4" s="330"/>
      <c r="J4" s="330"/>
    </row>
    <row r="5" spans="1:13" ht="7.2" customHeight="1" x14ac:dyDescent="0.55000000000000004"/>
    <row r="6" spans="1:13" ht="14.7" thickBot="1" x14ac:dyDescent="0.6">
      <c r="B6" s="299" t="s">
        <v>421</v>
      </c>
      <c r="C6" s="299"/>
      <c r="D6" s="299"/>
      <c r="E6" s="299"/>
      <c r="G6" s="299" t="s">
        <v>419</v>
      </c>
      <c r="H6" s="299"/>
      <c r="I6" s="299"/>
      <c r="J6" s="299"/>
    </row>
    <row r="7" spans="1:13" ht="14.7" thickTop="1" x14ac:dyDescent="0.55000000000000004">
      <c r="B7" t="s">
        <v>416</v>
      </c>
      <c r="E7" s="322">
        <f>H7+H8</f>
        <v>121251</v>
      </c>
      <c r="G7" t="s">
        <v>522</v>
      </c>
      <c r="H7" s="303">
        <f>'Excess Cash'!C17</f>
        <v>20080</v>
      </c>
      <c r="I7" s="160" t="s">
        <v>391</v>
      </c>
      <c r="J7" s="303">
        <f>H10-J8</f>
        <v>57854</v>
      </c>
    </row>
    <row r="8" spans="1:13" x14ac:dyDescent="0.55000000000000004">
      <c r="B8" t="s">
        <v>422</v>
      </c>
      <c r="E8" s="301">
        <f>ROUND(0.69*0.35*SUM(H7:H8),0)</f>
        <v>29282</v>
      </c>
      <c r="G8" t="s">
        <v>150</v>
      </c>
      <c r="H8" s="301">
        <f>'Excess Cash'!C6-H7</f>
        <v>101171</v>
      </c>
      <c r="I8" s="147" t="s">
        <v>159</v>
      </c>
      <c r="J8" s="303">
        <f>'Bce Sheet'!D44</f>
        <v>118210</v>
      </c>
    </row>
    <row r="9" spans="1:13" x14ac:dyDescent="0.55000000000000004">
      <c r="B9" t="s">
        <v>423</v>
      </c>
      <c r="E9" s="322">
        <f>H7</f>
        <v>20080</v>
      </c>
      <c r="F9" s="145"/>
      <c r="G9" s="141" t="s">
        <v>219</v>
      </c>
      <c r="H9" s="302">
        <f>H10-H7-H8</f>
        <v>54813</v>
      </c>
      <c r="I9" s="143"/>
      <c r="J9" s="305"/>
    </row>
    <row r="10" spans="1:13" x14ac:dyDescent="0.55000000000000004">
      <c r="B10" s="328" t="s">
        <v>439</v>
      </c>
      <c r="C10" s="328"/>
      <c r="D10" s="328"/>
      <c r="E10" s="327">
        <f>E7-E8-E9</f>
        <v>71889</v>
      </c>
      <c r="G10" t="s">
        <v>24</v>
      </c>
      <c r="H10" s="301">
        <f>'Bce Sheet'!D25</f>
        <v>176064</v>
      </c>
      <c r="I10" s="147" t="s">
        <v>394</v>
      </c>
      <c r="J10" s="303">
        <f>SUM(J7:J9)</f>
        <v>176064</v>
      </c>
    </row>
    <row r="11" spans="1:13" x14ac:dyDescent="0.55000000000000004">
      <c r="B11" s="254" t="s">
        <v>426</v>
      </c>
      <c r="C11" s="254"/>
      <c r="D11" s="254"/>
      <c r="E11" s="154">
        <v>450.5</v>
      </c>
    </row>
    <row r="12" spans="1:13" ht="14.7" thickBot="1" x14ac:dyDescent="0.6">
      <c r="B12" t="s">
        <v>402</v>
      </c>
      <c r="D12" s="309"/>
      <c r="E12" s="309">
        <f>E10/E11</f>
        <v>159.57602663706993</v>
      </c>
      <c r="G12" s="299" t="s">
        <v>417</v>
      </c>
      <c r="H12" s="299"/>
      <c r="I12" s="299"/>
      <c r="J12" s="299"/>
    </row>
    <row r="13" spans="1:13" ht="14.7" thickTop="1" x14ac:dyDescent="0.55000000000000004">
      <c r="B13" t="s">
        <v>406</v>
      </c>
      <c r="D13" s="309"/>
      <c r="E13" s="309">
        <v>939.1</v>
      </c>
      <c r="G13" t="s">
        <v>522</v>
      </c>
      <c r="H13" s="303">
        <f>H7</f>
        <v>20080</v>
      </c>
      <c r="I13" s="160" t="s">
        <v>391</v>
      </c>
      <c r="J13" s="303">
        <f>J7</f>
        <v>57854</v>
      </c>
    </row>
    <row r="14" spans="1:13" x14ac:dyDescent="0.55000000000000004">
      <c r="B14" t="s">
        <v>441</v>
      </c>
      <c r="D14" s="309"/>
      <c r="E14" s="309">
        <f>E13-E12</f>
        <v>779.52397336293006</v>
      </c>
      <c r="G14" s="326" t="s">
        <v>420</v>
      </c>
      <c r="H14" s="327">
        <f>H8-E8</f>
        <v>71889</v>
      </c>
      <c r="I14" s="335" t="s">
        <v>434</v>
      </c>
      <c r="J14" s="327">
        <f>J8-E8</f>
        <v>88928</v>
      </c>
    </row>
    <row r="15" spans="1:13" ht="14.7" thickBot="1" x14ac:dyDescent="0.6">
      <c r="B15" s="336" t="s">
        <v>442</v>
      </c>
      <c r="C15" s="336"/>
      <c r="D15" s="337"/>
      <c r="E15" s="337">
        <f>E12/E13</f>
        <v>0.16992442406247463</v>
      </c>
      <c r="G15" s="141" t="s">
        <v>219</v>
      </c>
      <c r="H15" s="304">
        <f>H9</f>
        <v>54813</v>
      </c>
      <c r="I15" s="307"/>
      <c r="J15" s="305"/>
    </row>
    <row r="16" spans="1:13" x14ac:dyDescent="0.55000000000000004">
      <c r="B16" t="s">
        <v>408</v>
      </c>
      <c r="E16" s="301">
        <f>'P&amp;L'!D17</f>
        <v>41733</v>
      </c>
      <c r="G16" t="s">
        <v>218</v>
      </c>
      <c r="H16" s="303">
        <f>SUM(H13:H15)</f>
        <v>146782</v>
      </c>
      <c r="I16" s="306" t="s">
        <v>218</v>
      </c>
      <c r="J16" s="303">
        <f>SUM(J13:J15)</f>
        <v>146782</v>
      </c>
      <c r="L16" s="294">
        <f>H10-H16-E8</f>
        <v>0</v>
      </c>
      <c r="M16" s="295" t="s">
        <v>393</v>
      </c>
    </row>
    <row r="17" spans="2:13" ht="9.6" customHeight="1" x14ac:dyDescent="0.55000000000000004">
      <c r="E17" s="301"/>
      <c r="H17" s="303"/>
      <c r="I17" s="338"/>
      <c r="J17" s="303"/>
      <c r="L17" s="294"/>
      <c r="M17" s="295"/>
    </row>
    <row r="18" spans="2:13" ht="14.7" thickBot="1" x14ac:dyDescent="0.6">
      <c r="B18" s="299" t="s">
        <v>523</v>
      </c>
      <c r="C18" s="299"/>
      <c r="D18" s="299"/>
      <c r="E18" s="299"/>
    </row>
    <row r="19" spans="2:13" ht="14.7" thickTop="1" x14ac:dyDescent="0.55000000000000004">
      <c r="C19" s="168" t="s">
        <v>429</v>
      </c>
      <c r="D19" s="168"/>
      <c r="E19" s="168" t="s">
        <v>430</v>
      </c>
    </row>
    <row r="20" spans="2:13" ht="14.7" thickBot="1" x14ac:dyDescent="0.6">
      <c r="C20" s="297" t="s">
        <v>524</v>
      </c>
      <c r="D20" s="168"/>
      <c r="E20" s="297" t="s">
        <v>524</v>
      </c>
      <c r="G20" s="299" t="s">
        <v>418</v>
      </c>
      <c r="H20" s="299"/>
      <c r="I20" s="299"/>
      <c r="J20" s="299"/>
    </row>
    <row r="21" spans="2:13" ht="14.7" thickTop="1" x14ac:dyDescent="0.55000000000000004">
      <c r="B21" s="145" t="s">
        <v>216</v>
      </c>
      <c r="C21" s="320">
        <f>E13</f>
        <v>939.1</v>
      </c>
      <c r="D21" s="320"/>
      <c r="E21" s="320">
        <f>E14</f>
        <v>779.52397336293006</v>
      </c>
      <c r="G21" t="s">
        <v>522</v>
      </c>
      <c r="H21" s="303">
        <f>H13</f>
        <v>20080</v>
      </c>
      <c r="I21" s="160" t="s">
        <v>391</v>
      </c>
      <c r="J21" s="303">
        <f>J13</f>
        <v>57854</v>
      </c>
    </row>
    <row r="22" spans="2:13" x14ac:dyDescent="0.55000000000000004">
      <c r="B22" s="145" t="s">
        <v>425</v>
      </c>
      <c r="C22" s="149">
        <f>E16/C21</f>
        <v>44.439356831008411</v>
      </c>
      <c r="D22" s="149"/>
      <c r="E22" s="340">
        <f>E16/E21</f>
        <v>53.536518986017107</v>
      </c>
      <c r="G22" s="326" t="s">
        <v>437</v>
      </c>
      <c r="H22" s="327">
        <f>0</f>
        <v>0</v>
      </c>
      <c r="I22" s="335" t="s">
        <v>438</v>
      </c>
      <c r="J22" s="327">
        <f>J14-H14</f>
        <v>17039</v>
      </c>
    </row>
    <row r="23" spans="2:13" x14ac:dyDescent="0.55000000000000004">
      <c r="B23" s="331" t="s">
        <v>427</v>
      </c>
      <c r="C23" s="332">
        <f>E11</f>
        <v>450.5</v>
      </c>
      <c r="D23" s="332"/>
      <c r="E23" s="333">
        <f>E11</f>
        <v>450.5</v>
      </c>
      <c r="G23" s="141" t="s">
        <v>219</v>
      </c>
      <c r="H23" s="304">
        <f>H15</f>
        <v>54813</v>
      </c>
      <c r="I23" s="307"/>
      <c r="J23" s="305"/>
    </row>
    <row r="24" spans="2:13" x14ac:dyDescent="0.55000000000000004">
      <c r="B24" s="331" t="s">
        <v>428</v>
      </c>
      <c r="C24" s="334">
        <f>C23/C22</f>
        <v>10.137410442575421</v>
      </c>
      <c r="D24" s="334"/>
      <c r="E24" s="334">
        <f>E23/E22</f>
        <v>8.414816811635875</v>
      </c>
      <c r="G24" t="s">
        <v>218</v>
      </c>
      <c r="H24" s="303">
        <f>SUM(H21:H23)</f>
        <v>74893</v>
      </c>
      <c r="I24" s="306" t="s">
        <v>218</v>
      </c>
      <c r="J24" s="303">
        <f>SUM(J21:J22)</f>
        <v>74893</v>
      </c>
    </row>
    <row r="29" spans="2:13" x14ac:dyDescent="0.55000000000000004">
      <c r="F29" s="320"/>
    </row>
    <row r="30" spans="2:13" x14ac:dyDescent="0.55000000000000004">
      <c r="F30" s="149"/>
    </row>
    <row r="31" spans="2:13" x14ac:dyDescent="0.55000000000000004">
      <c r="F31" s="146"/>
    </row>
    <row r="32" spans="2:13" x14ac:dyDescent="0.55000000000000004">
      <c r="F32" s="321"/>
    </row>
  </sheetData>
  <pageMargins left="0.7" right="0.7" top="0.75" bottom="0.75" header="0.3" footer="0.3"/>
  <pageSetup orientation="landscape" r:id="rId1"/>
  <headerFooter>
    <oddHeader xml:space="preserve">&amp;C&amp;20Dividend Analysis&amp;11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0EF3-33B1-45F3-8EA6-C9C7B3B886B7}">
  <dimension ref="A1:I41"/>
  <sheetViews>
    <sheetView showGridLines="0" tabSelected="1" zoomScale="88" zoomScaleNormal="88" workbookViewId="0">
      <selection activeCell="I2" sqref="I2"/>
    </sheetView>
  </sheetViews>
  <sheetFormatPr baseColWidth="10" defaultColWidth="8.83984375" defaultRowHeight="14.4" outlineLevelRow="1" x14ac:dyDescent="0.55000000000000004"/>
  <cols>
    <col min="2" max="2" width="28.7890625" customWidth="1"/>
    <col min="3" max="3" width="9.05078125" customWidth="1"/>
    <col min="4" max="4" width="1" customWidth="1"/>
    <col min="5" max="5" width="10.1015625" customWidth="1"/>
    <col min="6" max="6" width="1.3125" customWidth="1"/>
    <col min="7" max="7" width="10.1015625" customWidth="1"/>
    <col min="8" max="8" width="2.7890625" customWidth="1"/>
  </cols>
  <sheetData>
    <row r="1" spans="1:9" ht="18.600000000000001" thickBot="1" x14ac:dyDescent="0.75">
      <c r="A1" s="251" t="s">
        <v>403</v>
      </c>
      <c r="B1" s="251"/>
      <c r="C1" s="251"/>
      <c r="D1" s="251"/>
      <c r="E1" s="251"/>
      <c r="F1" s="251"/>
      <c r="G1" s="251"/>
      <c r="H1" s="251"/>
    </row>
    <row r="2" spans="1:9" ht="15.9" thickTop="1" x14ac:dyDescent="0.6">
      <c r="A2" s="250" t="s">
        <v>348</v>
      </c>
      <c r="B2" s="270"/>
      <c r="C2" s="270"/>
      <c r="D2" s="270"/>
      <c r="E2" s="270"/>
      <c r="F2" s="270"/>
      <c r="G2" s="270"/>
      <c r="H2" s="270"/>
    </row>
    <row r="3" spans="1:9" ht="14.7" thickBot="1" x14ac:dyDescent="0.6">
      <c r="B3" s="441" t="s">
        <v>421</v>
      </c>
      <c r="C3" s="442"/>
      <c r="E3" s="297" t="s">
        <v>525</v>
      </c>
      <c r="G3" s="442" t="s">
        <v>242</v>
      </c>
    </row>
    <row r="4" spans="1:9" ht="14.05" customHeight="1" thickTop="1" x14ac:dyDescent="0.55000000000000004">
      <c r="B4" t="s">
        <v>251</v>
      </c>
      <c r="E4" s="440" t="s">
        <v>526</v>
      </c>
      <c r="G4" s="308">
        <v>50</v>
      </c>
      <c r="I4" s="268" t="s">
        <v>551</v>
      </c>
    </row>
    <row r="5" spans="1:9" ht="14.05" customHeight="1" x14ac:dyDescent="0.55000000000000004">
      <c r="B5" t="s">
        <v>407</v>
      </c>
      <c r="G5" s="308">
        <f>G4*0.04</f>
        <v>2</v>
      </c>
    </row>
    <row r="6" spans="1:9" ht="14.05" customHeight="1" x14ac:dyDescent="0.55000000000000004">
      <c r="B6" t="s">
        <v>470</v>
      </c>
      <c r="G6" s="400">
        <v>5</v>
      </c>
    </row>
    <row r="7" spans="1:9" ht="14.05" customHeight="1" x14ac:dyDescent="0.55000000000000004">
      <c r="B7" t="s">
        <v>471</v>
      </c>
      <c r="E7" s="309">
        <v>939.1</v>
      </c>
    </row>
    <row r="8" spans="1:9" ht="14.05" customHeight="1" x14ac:dyDescent="0.55000000000000004">
      <c r="B8" t="s">
        <v>527</v>
      </c>
      <c r="E8" s="301">
        <f>E7*G5*G6</f>
        <v>9391</v>
      </c>
    </row>
    <row r="9" spans="1:9" ht="14.05" customHeight="1" x14ac:dyDescent="0.55000000000000004">
      <c r="B9" t="s">
        <v>414</v>
      </c>
      <c r="E9" s="301">
        <f>G6*G4*E7</f>
        <v>234775</v>
      </c>
    </row>
    <row r="10" spans="1:9" hidden="1" outlineLevel="1" x14ac:dyDescent="0.55000000000000004">
      <c r="B10" t="s">
        <v>409</v>
      </c>
      <c r="E10" s="301">
        <f>'Exhibit 11 (Model)'!F92-'Exhibit 11 (Model)'!F86</f>
        <v>41379</v>
      </c>
    </row>
    <row r="11" spans="1:9" hidden="1" outlineLevel="1" x14ac:dyDescent="0.55000000000000004">
      <c r="B11" t="s">
        <v>410</v>
      </c>
      <c r="E11" s="301">
        <f ca="1">'Exhibit 11 (Model)'!H92-'Exhibit 11 (Model)'!H86</f>
        <v>43458.526328529617</v>
      </c>
    </row>
    <row r="12" spans="1:9" ht="9" customHeight="1" collapsed="1" x14ac:dyDescent="0.55000000000000004">
      <c r="E12" s="301"/>
    </row>
    <row r="13" spans="1:9" ht="15.6" x14ac:dyDescent="0.6">
      <c r="B13" s="329" t="s">
        <v>528</v>
      </c>
      <c r="C13" s="329"/>
      <c r="D13" s="329"/>
      <c r="E13" s="329"/>
      <c r="F13" s="329"/>
      <c r="G13" s="329"/>
    </row>
    <row r="14" spans="1:9" ht="5.4" customHeight="1" x14ac:dyDescent="0.55000000000000004"/>
    <row r="15" spans="1:9" ht="14.05" customHeight="1" thickBot="1" x14ac:dyDescent="0.6">
      <c r="B15" s="441" t="s">
        <v>529</v>
      </c>
      <c r="C15" s="442"/>
      <c r="E15" s="297" t="s">
        <v>525</v>
      </c>
      <c r="G15" s="442" t="s">
        <v>242</v>
      </c>
    </row>
    <row r="16" spans="1:9" ht="14.05" customHeight="1" thickTop="1" x14ac:dyDescent="0.55000000000000004">
      <c r="B16" t="s">
        <v>408</v>
      </c>
      <c r="E16" s="165">
        <f>'P&amp;L'!D17</f>
        <v>41733</v>
      </c>
      <c r="G16" s="316">
        <f>ROUND(E16/E7,0)</f>
        <v>44</v>
      </c>
    </row>
    <row r="17" spans="2:9" ht="14.05" customHeight="1" x14ac:dyDescent="0.55000000000000004">
      <c r="B17" t="s">
        <v>239</v>
      </c>
      <c r="E17" s="398">
        <f>-ROUND(2*5*E7,1)</f>
        <v>-9391</v>
      </c>
      <c r="G17" s="399">
        <f>-G5*5</f>
        <v>-10</v>
      </c>
    </row>
    <row r="18" spans="2:9" ht="14.05" customHeight="1" x14ac:dyDescent="0.55000000000000004">
      <c r="B18" t="s">
        <v>413</v>
      </c>
      <c r="E18" s="165">
        <f>ROUND(E16+E17,0)</f>
        <v>32342</v>
      </c>
      <c r="G18" s="316">
        <f>G16+G17</f>
        <v>34</v>
      </c>
    </row>
    <row r="19" spans="2:9" ht="9.9" customHeight="1" x14ac:dyDescent="0.55000000000000004"/>
    <row r="20" spans="2:9" ht="14.7" thickBot="1" x14ac:dyDescent="0.6">
      <c r="B20" s="441" t="s">
        <v>534</v>
      </c>
      <c r="C20" s="442"/>
      <c r="E20" s="443" t="s">
        <v>530</v>
      </c>
      <c r="G20" s="443" t="s">
        <v>531</v>
      </c>
    </row>
    <row r="21" spans="2:9" ht="14.05" customHeight="1" thickTop="1" x14ac:dyDescent="0.55000000000000004">
      <c r="B21" t="s">
        <v>532</v>
      </c>
      <c r="E21" s="317">
        <v>10.3089</v>
      </c>
      <c r="G21" s="317">
        <f>'Repurchase Analysis'!E24-0.0179</f>
        <v>8.3969168116358759</v>
      </c>
    </row>
    <row r="22" spans="2:9" ht="14.05" customHeight="1" thickBot="1" x14ac:dyDescent="0.6">
      <c r="B22" t="s">
        <v>472</v>
      </c>
      <c r="E22" s="446">
        <f>G18</f>
        <v>34</v>
      </c>
      <c r="G22" s="446">
        <f>G18</f>
        <v>34</v>
      </c>
    </row>
    <row r="23" spans="2:9" ht="14.05" customHeight="1" thickTop="1" x14ac:dyDescent="0.55000000000000004">
      <c r="B23" s="156" t="s">
        <v>540</v>
      </c>
      <c r="C23" s="156"/>
      <c r="E23" s="401">
        <f>E21*E22</f>
        <v>350.50259999999997</v>
      </c>
      <c r="G23" s="401">
        <f>G21*G22</f>
        <v>285.49517159561981</v>
      </c>
    </row>
    <row r="24" spans="2:9" ht="8.4" customHeight="1" x14ac:dyDescent="0.55000000000000004"/>
    <row r="25" spans="2:9" ht="14.05" customHeight="1" x14ac:dyDescent="0.55000000000000004">
      <c r="B25" t="s">
        <v>533</v>
      </c>
      <c r="E25" s="308">
        <f>G6*G4</f>
        <v>250</v>
      </c>
      <c r="G25" s="308">
        <f>G6*G4</f>
        <v>250</v>
      </c>
      <c r="I25" s="268" t="s">
        <v>475</v>
      </c>
    </row>
    <row r="26" spans="2:9" ht="14.05" customHeight="1" thickBot="1" x14ac:dyDescent="0.6">
      <c r="B26" s="254" t="s">
        <v>540</v>
      </c>
      <c r="E26" s="444">
        <f>E23</f>
        <v>350.50259999999997</v>
      </c>
      <c r="G26" s="444">
        <f>G23</f>
        <v>285.49517159561981</v>
      </c>
      <c r="I26" s="268" t="s">
        <v>550</v>
      </c>
    </row>
    <row r="27" spans="2:9" ht="14.05" customHeight="1" thickTop="1" x14ac:dyDescent="0.55000000000000004">
      <c r="B27" s="156" t="s">
        <v>473</v>
      </c>
      <c r="E27" s="318">
        <f>E25+E26</f>
        <v>600.50260000000003</v>
      </c>
      <c r="G27" s="318">
        <f>G25+G26</f>
        <v>535.49517159561981</v>
      </c>
    </row>
    <row r="28" spans="2:9" ht="3.6" customHeight="1" x14ac:dyDescent="0.55000000000000004"/>
    <row r="29" spans="2:9" ht="14.05" customHeight="1" x14ac:dyDescent="0.55000000000000004">
      <c r="B29" t="s">
        <v>233</v>
      </c>
      <c r="E29" s="308">
        <v>450.5</v>
      </c>
      <c r="G29" s="308">
        <v>450.5</v>
      </c>
    </row>
    <row r="30" spans="2:9" ht="3.6" customHeight="1" thickBot="1" x14ac:dyDescent="0.6">
      <c r="E30" s="442"/>
      <c r="G30" s="442"/>
    </row>
    <row r="31" spans="2:9" ht="14.05" customHeight="1" thickTop="1" x14ac:dyDescent="0.55000000000000004">
      <c r="B31" s="156" t="s">
        <v>474</v>
      </c>
      <c r="E31" s="318">
        <f>E27-E29</f>
        <v>150.00260000000003</v>
      </c>
      <c r="G31" s="318">
        <f>G27-G29</f>
        <v>84.995171595619809</v>
      </c>
    </row>
    <row r="33" spans="2:7" x14ac:dyDescent="0.55000000000000004">
      <c r="E33" s="309"/>
    </row>
    <row r="34" spans="2:7" ht="14.7" thickBot="1" x14ac:dyDescent="0.6">
      <c r="B34" s="441" t="s">
        <v>539</v>
      </c>
      <c r="C34" s="442"/>
      <c r="E34" s="297" t="s">
        <v>525</v>
      </c>
      <c r="G34" s="442" t="s">
        <v>242</v>
      </c>
    </row>
    <row r="35" spans="2:7" ht="14.7" thickTop="1" x14ac:dyDescent="0.55000000000000004">
      <c r="B35" t="s">
        <v>535</v>
      </c>
      <c r="E35" s="396">
        <f>E25*200</f>
        <v>50000</v>
      </c>
    </row>
    <row r="36" spans="2:7" ht="14.7" thickBot="1" x14ac:dyDescent="0.6">
      <c r="B36" t="s">
        <v>536</v>
      </c>
      <c r="E36" s="445">
        <f>E26*200</f>
        <v>70100.51999999999</v>
      </c>
    </row>
    <row r="37" spans="2:7" ht="14.7" thickTop="1" x14ac:dyDescent="0.55000000000000004">
      <c r="B37" s="156" t="s">
        <v>537</v>
      </c>
      <c r="E37" s="300">
        <f>E35+E36</f>
        <v>120100.51999999999</v>
      </c>
    </row>
    <row r="39" spans="2:7" x14ac:dyDescent="0.55000000000000004">
      <c r="B39" t="s">
        <v>233</v>
      </c>
      <c r="E39" s="396">
        <f>E29*200</f>
        <v>90100</v>
      </c>
    </row>
    <row r="41" spans="2:7" x14ac:dyDescent="0.55000000000000004">
      <c r="B41" s="156" t="s">
        <v>538</v>
      </c>
      <c r="E41" s="300">
        <f>E37-E39</f>
        <v>30000.51999999999</v>
      </c>
      <c r="G41" s="318">
        <f>E41/E7</f>
        <v>31.946033436268756</v>
      </c>
    </row>
  </sheetData>
  <pageMargins left="0.7" right="0.7" top="0.75" bottom="0.75" header="0.3" footer="0.3"/>
  <pageSetup orientation="landscape" r:id="rId1"/>
  <headerFooter>
    <oddHeader>&amp;C&amp;20iPref Analysis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4B96-AFDC-431A-BC4B-A97302EABB5D}">
  <dimension ref="A1:S223"/>
  <sheetViews>
    <sheetView showGridLines="0" topLeftCell="A188" zoomScale="91" zoomScaleNormal="94" workbookViewId="0">
      <selection activeCell="K188" sqref="K188"/>
    </sheetView>
  </sheetViews>
  <sheetFormatPr baseColWidth="10" defaultColWidth="8.83984375" defaultRowHeight="14.4" outlineLevelRow="1" outlineLevelCol="1" x14ac:dyDescent="0.55000000000000004"/>
  <cols>
    <col min="1" max="1" width="2.578125" style="171" customWidth="1"/>
    <col min="2" max="2" width="22.9453125" style="171" customWidth="1"/>
    <col min="3" max="3" width="8.68359375" style="171" customWidth="1" outlineLevel="1"/>
    <col min="4" max="5" width="8.734375" style="171" customWidth="1"/>
    <col min="6" max="6" width="8.68359375" style="171" customWidth="1"/>
    <col min="7" max="7" width="8.7890625" style="171" customWidth="1"/>
    <col min="8" max="8" width="8.83984375" style="171" customWidth="1"/>
    <col min="9" max="9" width="8.734375" style="171" customWidth="1"/>
    <col min="10" max="14" width="8.68359375" style="171" customWidth="1"/>
    <col min="15" max="15" width="9.9453125" style="171" customWidth="1"/>
    <col min="16" max="16384" width="8.83984375" style="171"/>
  </cols>
  <sheetData>
    <row r="1" spans="1:14" ht="18.600000000000001" thickBot="1" x14ac:dyDescent="0.75">
      <c r="A1" s="251" t="s">
        <v>347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49"/>
    </row>
    <row r="2" spans="1:14" ht="15.9" thickTop="1" x14ac:dyDescent="0.6">
      <c r="A2" s="250" t="s">
        <v>348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4" ht="10.199999999999999" customHeight="1" x14ac:dyDescent="0.55000000000000004">
      <c r="B3" s="172"/>
      <c r="C3" s="172"/>
      <c r="D3" s="172"/>
      <c r="E3" s="172"/>
      <c r="F3" s="173"/>
      <c r="G3" s="173"/>
      <c r="H3" s="173"/>
      <c r="I3" s="173"/>
      <c r="J3" s="173"/>
      <c r="K3" s="173"/>
      <c r="L3" s="173"/>
      <c r="M3" s="173"/>
    </row>
    <row r="4" spans="1:14" ht="14.7" thickBot="1" x14ac:dyDescent="0.6">
      <c r="A4" s="172"/>
      <c r="B4" s="172"/>
      <c r="C4" s="172"/>
      <c r="D4" s="169" t="s">
        <v>255</v>
      </c>
      <c r="E4" s="169"/>
      <c r="F4" s="169"/>
      <c r="G4" s="213" t="s">
        <v>290</v>
      </c>
      <c r="H4" s="170" t="s">
        <v>257</v>
      </c>
      <c r="I4" s="170"/>
      <c r="J4" s="170"/>
      <c r="K4" s="170"/>
      <c r="L4" s="170"/>
      <c r="M4" s="173"/>
    </row>
    <row r="5" spans="1:14" ht="14.7" thickTop="1" x14ac:dyDescent="0.55000000000000004">
      <c r="A5" s="175" t="s">
        <v>261</v>
      </c>
      <c r="B5" s="172"/>
      <c r="C5" s="172"/>
      <c r="D5" s="176">
        <v>2010</v>
      </c>
      <c r="E5" s="176">
        <v>2011</v>
      </c>
      <c r="F5" s="176">
        <v>2012</v>
      </c>
      <c r="G5" s="176" t="s">
        <v>191</v>
      </c>
      <c r="H5" s="177">
        <v>2013</v>
      </c>
      <c r="I5" s="177">
        <v>2014</v>
      </c>
      <c r="J5" s="177">
        <v>2015</v>
      </c>
      <c r="K5" s="177">
        <v>2016</v>
      </c>
      <c r="L5" s="177">
        <v>2017</v>
      </c>
      <c r="M5" s="173"/>
      <c r="N5" s="173"/>
    </row>
    <row r="6" spans="1:14" ht="12" customHeight="1" x14ac:dyDescent="0.55000000000000004">
      <c r="A6" s="172" t="s">
        <v>194</v>
      </c>
      <c r="B6" s="172"/>
      <c r="C6" s="172"/>
      <c r="D6" s="246">
        <f>D20</f>
        <v>0.52021908868430256</v>
      </c>
      <c r="E6" s="246">
        <f>E20</f>
        <v>0.65962437715599842</v>
      </c>
      <c r="F6" s="246">
        <f>F20</f>
        <v>0.44581474193756976</v>
      </c>
      <c r="G6" s="246">
        <f>G20</f>
        <v>0.44581474193756976</v>
      </c>
      <c r="H6" s="178">
        <v>0.1</v>
      </c>
      <c r="I6" s="178">
        <v>0.1</v>
      </c>
      <c r="J6" s="178">
        <v>0.1</v>
      </c>
      <c r="K6" s="178">
        <v>0.1</v>
      </c>
      <c r="L6" s="178">
        <v>0.1</v>
      </c>
      <c r="M6" s="173"/>
      <c r="N6" s="173"/>
    </row>
    <row r="7" spans="1:14" ht="12" hidden="1" customHeight="1" outlineLevel="1" x14ac:dyDescent="0.55000000000000004">
      <c r="A7" s="172" t="s">
        <v>190</v>
      </c>
      <c r="B7" s="172"/>
      <c r="C7" s="172"/>
      <c r="D7" s="209">
        <f>D44/D19</f>
        <v>0.15215024913760061</v>
      </c>
      <c r="E7" s="209">
        <f>E44/E19</f>
        <v>0.10824118467607091</v>
      </c>
      <c r="F7" s="209">
        <f>F44/F19</f>
        <v>0.11943159455107726</v>
      </c>
      <c r="G7" s="209">
        <f t="shared" ref="G7:L7" si="0">G44/G$19</f>
        <v>0.11943159455107726</v>
      </c>
      <c r="H7" s="209">
        <f t="shared" si="0"/>
        <v>0.12054794520547944</v>
      </c>
      <c r="I7" s="209">
        <f t="shared" si="0"/>
        <v>0.12054794520547944</v>
      </c>
      <c r="J7" s="209">
        <f t="shared" si="0"/>
        <v>0.12054794520547946</v>
      </c>
      <c r="K7" s="209">
        <f t="shared" si="0"/>
        <v>0.12054794520547946</v>
      </c>
      <c r="L7" s="209">
        <f t="shared" si="0"/>
        <v>0.12054794520547946</v>
      </c>
      <c r="M7" s="173"/>
      <c r="N7" s="173"/>
    </row>
    <row r="8" spans="1:14" ht="12" hidden="1" customHeight="1" outlineLevel="1" x14ac:dyDescent="0.55000000000000004">
      <c r="A8" s="172" t="s">
        <v>189</v>
      </c>
      <c r="B8" s="172"/>
      <c r="C8" s="172"/>
      <c r="D8" s="209">
        <f t="shared" ref="D8:L8" si="1">D45/D21</f>
        <v>2.6580005563845124E-2</v>
      </c>
      <c r="E8" s="209">
        <f t="shared" si="1"/>
        <v>1.2043891915382347E-2</v>
      </c>
      <c r="F8" s="209">
        <f t="shared" si="1"/>
        <v>9.0043940532295152E-3</v>
      </c>
      <c r="G8" s="209">
        <f t="shared" si="1"/>
        <v>9.0043940532295152E-3</v>
      </c>
      <c r="H8" s="209">
        <f t="shared" si="1"/>
        <v>9.0410958904109592E-3</v>
      </c>
      <c r="I8" s="209">
        <f t="shared" si="1"/>
        <v>9.0410958904109592E-3</v>
      </c>
      <c r="J8" s="209">
        <f t="shared" si="1"/>
        <v>9.0410958904109575E-3</v>
      </c>
      <c r="K8" s="209">
        <f t="shared" si="1"/>
        <v>9.0410958904109575E-3</v>
      </c>
      <c r="L8" s="209">
        <f t="shared" si="1"/>
        <v>9.0410958904109592E-3</v>
      </c>
      <c r="M8" s="173"/>
      <c r="N8" s="173"/>
    </row>
    <row r="9" spans="1:14" ht="12" customHeight="1" collapsed="1" x14ac:dyDescent="0.55000000000000004">
      <c r="A9" s="172" t="s">
        <v>188</v>
      </c>
      <c r="B9" s="172"/>
      <c r="C9" s="172"/>
      <c r="D9" s="209">
        <f>D21/D$19</f>
        <v>0.60622460712916826</v>
      </c>
      <c r="E9" s="209">
        <f>E21/E$19</f>
        <v>0.59521104121054236</v>
      </c>
      <c r="F9" s="209">
        <f>F21/F$19</f>
        <v>0.56128760191172333</v>
      </c>
      <c r="G9" s="209">
        <f>G21/G19</f>
        <v>0.56128760191172333</v>
      </c>
      <c r="H9" s="178">
        <v>0.56100000000000005</v>
      </c>
      <c r="I9" s="178">
        <f>H9</f>
        <v>0.56100000000000005</v>
      </c>
      <c r="J9" s="178">
        <f>I9</f>
        <v>0.56100000000000005</v>
      </c>
      <c r="K9" s="178">
        <f>J9</f>
        <v>0.56100000000000005</v>
      </c>
      <c r="L9" s="178">
        <f>K9</f>
        <v>0.56100000000000005</v>
      </c>
      <c r="M9" s="173"/>
      <c r="N9" s="173"/>
    </row>
    <row r="10" spans="1:14" ht="12" customHeight="1" x14ac:dyDescent="0.55000000000000004">
      <c r="A10" s="172" t="s">
        <v>187</v>
      </c>
      <c r="B10" s="172"/>
      <c r="C10" s="252" t="s">
        <v>349</v>
      </c>
      <c r="D10" s="209">
        <f>D27/D19</f>
        <v>2.7320812571866616E-2</v>
      </c>
      <c r="E10" s="209">
        <f>E27/E19</f>
        <v>2.2439006364954873E-2</v>
      </c>
      <c r="F10" s="209">
        <f>F27/F19</f>
        <v>2.1602729572929181E-2</v>
      </c>
      <c r="G10" s="209">
        <f>G27/G19</f>
        <v>2.1602729572929181E-2</v>
      </c>
      <c r="H10" s="178">
        <v>2.1999999999999999E-2</v>
      </c>
      <c r="I10" s="178">
        <v>2.1999999999999999E-2</v>
      </c>
      <c r="J10" s="178">
        <v>2.1999999999999999E-2</v>
      </c>
      <c r="K10" s="178">
        <v>2.1999999999999999E-2</v>
      </c>
      <c r="L10" s="178">
        <v>2.1999999999999999E-2</v>
      </c>
      <c r="M10" s="173"/>
      <c r="N10" s="173"/>
    </row>
    <row r="11" spans="1:14" ht="12" customHeight="1" x14ac:dyDescent="0.55000000000000004">
      <c r="A11" s="172" t="s">
        <v>287</v>
      </c>
      <c r="C11" s="247">
        <v>0.7</v>
      </c>
      <c r="G11" s="208"/>
      <c r="H11" s="253">
        <f>H6*0.8</f>
        <v>8.0000000000000016E-2</v>
      </c>
      <c r="I11" s="253">
        <f t="shared" ref="I11:L12" si="2">H11</f>
        <v>8.0000000000000016E-2</v>
      </c>
      <c r="J11" s="253">
        <f t="shared" si="2"/>
        <v>8.0000000000000016E-2</v>
      </c>
      <c r="K11" s="253">
        <f t="shared" si="2"/>
        <v>8.0000000000000016E-2</v>
      </c>
      <c r="L11" s="253">
        <f t="shared" si="2"/>
        <v>8.0000000000000016E-2</v>
      </c>
      <c r="M11" s="263" t="s">
        <v>355</v>
      </c>
      <c r="N11" s="173"/>
    </row>
    <row r="12" spans="1:14" ht="12" customHeight="1" x14ac:dyDescent="0.55000000000000004">
      <c r="A12" s="172" t="s">
        <v>288</v>
      </c>
      <c r="G12" s="209"/>
      <c r="H12" s="253">
        <f>G26/G19</f>
        <v>1.9245022618652081E-2</v>
      </c>
      <c r="I12" s="253">
        <f t="shared" si="2"/>
        <v>1.9245022618652081E-2</v>
      </c>
      <c r="J12" s="253">
        <f t="shared" si="2"/>
        <v>1.9245022618652081E-2</v>
      </c>
      <c r="K12" s="253">
        <f t="shared" si="2"/>
        <v>1.9245022618652081E-2</v>
      </c>
      <c r="L12" s="253">
        <f t="shared" si="2"/>
        <v>1.9245022618652081E-2</v>
      </c>
      <c r="M12" s="173"/>
      <c r="N12" s="173"/>
    </row>
    <row r="13" spans="1:14" ht="12" customHeight="1" x14ac:dyDescent="0.55000000000000004">
      <c r="A13" s="172" t="s">
        <v>284</v>
      </c>
      <c r="B13" s="172"/>
      <c r="C13" s="172"/>
      <c r="D13" s="209">
        <f>D24/D$19</f>
        <v>8.4584131851284022E-2</v>
      </c>
      <c r="E13" s="209">
        <f>E24/E$19</f>
        <v>7.0199262810741903E-2</v>
      </c>
      <c r="F13" s="209">
        <f>F24/F$19</f>
        <v>6.4150075395506934E-2</v>
      </c>
      <c r="G13" s="209">
        <f>G24/G$19</f>
        <v>6.4150075395506934E-2</v>
      </c>
      <c r="H13" s="209">
        <f>H24/H19</f>
        <v>6.3333619890473217E-2</v>
      </c>
      <c r="I13" s="209">
        <f>I24/I19</f>
        <v>6.2532009030985561E-2</v>
      </c>
      <c r="J13" s="209">
        <f>J24/J19</f>
        <v>6.1744972914397678E-2</v>
      </c>
      <c r="K13" s="209">
        <f>K24/K19</f>
        <v>6.0972246545384114E-2</v>
      </c>
      <c r="L13" s="209">
        <f>L24/L19</f>
        <v>6.0213569746716267E-2</v>
      </c>
      <c r="M13" s="173"/>
      <c r="N13" s="173"/>
    </row>
    <row r="14" spans="1:14" ht="12" customHeight="1" x14ac:dyDescent="0.55000000000000004">
      <c r="A14" s="172" t="s">
        <v>185</v>
      </c>
      <c r="B14" s="172"/>
      <c r="D14" s="209">
        <f>D32/D31</f>
        <v>0.24417475728155341</v>
      </c>
      <c r="E14" s="209">
        <f>E32/E31</f>
        <v>0.24215757930127174</v>
      </c>
      <c r="F14" s="209">
        <f>F32/F31</f>
        <v>0.25160052364471064</v>
      </c>
      <c r="G14" s="209">
        <f>G32/G31</f>
        <v>0.25160052364471064</v>
      </c>
      <c r="H14" s="207">
        <v>0.252</v>
      </c>
      <c r="I14" s="207">
        <f t="shared" ref="I14:L15" si="3">H14</f>
        <v>0.252</v>
      </c>
      <c r="J14" s="207">
        <f t="shared" si="3"/>
        <v>0.252</v>
      </c>
      <c r="K14" s="207">
        <f t="shared" si="3"/>
        <v>0.252</v>
      </c>
      <c r="L14" s="207">
        <f t="shared" si="3"/>
        <v>0.252</v>
      </c>
      <c r="M14" s="173"/>
      <c r="N14" s="212"/>
    </row>
    <row r="15" spans="1:14" ht="12" customHeight="1" x14ac:dyDescent="0.55000000000000004">
      <c r="A15" s="172" t="s">
        <v>336</v>
      </c>
      <c r="B15" s="172"/>
      <c r="C15" s="172"/>
      <c r="D15" s="179">
        <f>D84/D19</f>
        <v>1.3476427750095821E-2</v>
      </c>
      <c r="E15" s="179">
        <f>E84/E19</f>
        <v>1.0789938013284187E-2</v>
      </c>
      <c r="F15" s="179">
        <f>F84/F19</f>
        <v>1.1117642548623713E-2</v>
      </c>
      <c r="G15" s="179">
        <f>G84/G19</f>
        <v>1.1117642548623713E-2</v>
      </c>
      <c r="H15" s="239">
        <v>1.2E-2</v>
      </c>
      <c r="I15" s="239">
        <f t="shared" si="3"/>
        <v>1.2E-2</v>
      </c>
      <c r="J15" s="239">
        <f t="shared" si="3"/>
        <v>1.2E-2</v>
      </c>
      <c r="K15" s="239">
        <f t="shared" si="3"/>
        <v>1.2E-2</v>
      </c>
      <c r="L15" s="239">
        <f t="shared" si="3"/>
        <v>1.2E-2</v>
      </c>
      <c r="M15" s="173"/>
      <c r="N15" s="173"/>
    </row>
    <row r="16" spans="1:14" ht="12.6" customHeight="1" x14ac:dyDescent="0.55000000000000004">
      <c r="A16" s="172"/>
      <c r="B16" s="172"/>
      <c r="C16" s="172"/>
      <c r="D16" s="172"/>
      <c r="E16" s="172"/>
      <c r="F16" s="172"/>
      <c r="G16" s="179"/>
      <c r="H16" s="180"/>
      <c r="I16" s="180"/>
      <c r="J16" s="180"/>
      <c r="K16" s="180"/>
      <c r="L16" s="180"/>
      <c r="M16" s="173"/>
      <c r="N16" s="173"/>
    </row>
    <row r="17" spans="1:14" ht="14.7" thickBot="1" x14ac:dyDescent="0.6">
      <c r="A17" s="175" t="s">
        <v>42</v>
      </c>
      <c r="B17" s="172"/>
      <c r="C17" s="172"/>
      <c r="D17" s="169" t="s">
        <v>255</v>
      </c>
      <c r="E17" s="169"/>
      <c r="F17" s="169"/>
      <c r="G17" s="213" t="s">
        <v>290</v>
      </c>
      <c r="H17" s="170" t="s">
        <v>257</v>
      </c>
      <c r="I17" s="170"/>
      <c r="J17" s="170"/>
      <c r="K17" s="170"/>
      <c r="L17" s="170"/>
      <c r="M17" s="172"/>
      <c r="N17" s="173"/>
    </row>
    <row r="18" spans="1:14" ht="14.7" thickTop="1" x14ac:dyDescent="0.55000000000000004">
      <c r="A18" s="175"/>
      <c r="B18" s="172"/>
      <c r="C18" s="175">
        <v>2009</v>
      </c>
      <c r="D18" s="176">
        <v>2010</v>
      </c>
      <c r="E18" s="176">
        <v>2011</v>
      </c>
      <c r="F18" s="176">
        <v>2012</v>
      </c>
      <c r="G18" s="176" t="s">
        <v>191</v>
      </c>
      <c r="H18" s="177">
        <v>2013</v>
      </c>
      <c r="I18" s="177">
        <v>2014</v>
      </c>
      <c r="J18" s="177">
        <v>2015</v>
      </c>
      <c r="K18" s="177">
        <v>2016</v>
      </c>
      <c r="L18" s="177">
        <v>2017</v>
      </c>
      <c r="M18" s="172"/>
      <c r="N18" s="173"/>
    </row>
    <row r="19" spans="1:14" ht="14.05" customHeight="1" x14ac:dyDescent="0.55000000000000004">
      <c r="A19" s="186" t="s">
        <v>183</v>
      </c>
      <c r="B19" s="186"/>
      <c r="C19" s="206">
        <v>42905</v>
      </c>
      <c r="D19" s="206">
        <f>'P&amp;L'!B3</f>
        <v>65225</v>
      </c>
      <c r="E19" s="206">
        <f>'P&amp;L'!C3</f>
        <v>108249</v>
      </c>
      <c r="F19" s="206">
        <f>'P&amp;L'!D3</f>
        <v>156508</v>
      </c>
      <c r="G19" s="206">
        <v>156508</v>
      </c>
      <c r="H19" s="206">
        <f>G19*(1+H$6)</f>
        <v>172158.80000000002</v>
      </c>
      <c r="I19" s="206">
        <f>H19*(1+I$6)</f>
        <v>189374.68000000002</v>
      </c>
      <c r="J19" s="206">
        <f>I19*(1+J$6)</f>
        <v>208312.14800000004</v>
      </c>
      <c r="K19" s="206">
        <f>J19*(1+K$6)</f>
        <v>229143.36280000006</v>
      </c>
      <c r="L19" s="206">
        <f>K19*(1+L$6)</f>
        <v>252057.69908000008</v>
      </c>
      <c r="M19" s="172"/>
      <c r="N19" s="173"/>
    </row>
    <row r="20" spans="1:14" ht="12" customHeight="1" x14ac:dyDescent="0.55000000000000004">
      <c r="A20" s="172"/>
      <c r="B20" s="182" t="s">
        <v>256</v>
      </c>
      <c r="C20" s="172"/>
      <c r="D20" s="183">
        <f>D19/C19-1</f>
        <v>0.52021908868430256</v>
      </c>
      <c r="E20" s="183">
        <f>E19/D19-1</f>
        <v>0.65962437715599842</v>
      </c>
      <c r="F20" s="183">
        <f>F19/E19-1</f>
        <v>0.44581474193756976</v>
      </c>
      <c r="G20" s="183">
        <f>G19/E19-1</f>
        <v>0.44581474193756976</v>
      </c>
      <c r="H20" s="183">
        <f>H19/G19-1</f>
        <v>0.10000000000000009</v>
      </c>
      <c r="I20" s="183">
        <f>I19/H19-1</f>
        <v>0.10000000000000009</v>
      </c>
      <c r="J20" s="183">
        <f>J19/I19-1</f>
        <v>0.10000000000000009</v>
      </c>
      <c r="K20" s="183">
        <f>K19/J19-1</f>
        <v>0.10000000000000009</v>
      </c>
      <c r="L20" s="183">
        <f>L19/K19-1</f>
        <v>0.10000000000000009</v>
      </c>
      <c r="M20" s="172"/>
      <c r="N20" s="173"/>
    </row>
    <row r="21" spans="1:14" ht="14.05" customHeight="1" x14ac:dyDescent="0.55000000000000004">
      <c r="A21" s="172" t="s">
        <v>182</v>
      </c>
      <c r="B21" s="172"/>
      <c r="C21" s="193"/>
      <c r="D21" s="193">
        <f>'P&amp;L'!B4</f>
        <v>39541</v>
      </c>
      <c r="E21" s="193">
        <f>'P&amp;L'!C4</f>
        <v>64431</v>
      </c>
      <c r="F21" s="193">
        <f>'P&amp;L'!D4</f>
        <v>87846</v>
      </c>
      <c r="G21" s="193">
        <v>87846</v>
      </c>
      <c r="H21" s="193">
        <f>H19*H9</f>
        <v>96581.086800000019</v>
      </c>
      <c r="I21" s="193">
        <f>I19*I9</f>
        <v>106239.19548000002</v>
      </c>
      <c r="J21" s="193">
        <f>J19*J9</f>
        <v>116863.11502800003</v>
      </c>
      <c r="K21" s="193">
        <f>K19*K9</f>
        <v>128549.42653080005</v>
      </c>
      <c r="L21" s="193">
        <f>L19*L9</f>
        <v>141404.36918388004</v>
      </c>
      <c r="M21" s="172"/>
      <c r="N21" s="184"/>
    </row>
    <row r="22" spans="1:14" ht="14.05" customHeight="1" x14ac:dyDescent="0.55000000000000004">
      <c r="A22" s="186" t="s">
        <v>258</v>
      </c>
      <c r="B22" s="186"/>
      <c r="C22" s="206"/>
      <c r="D22" s="206">
        <f t="shared" ref="D22:L22" si="4">D19-D21</f>
        <v>25684</v>
      </c>
      <c r="E22" s="206">
        <f t="shared" si="4"/>
        <v>43818</v>
      </c>
      <c r="F22" s="206">
        <f t="shared" si="4"/>
        <v>68662</v>
      </c>
      <c r="G22" s="206">
        <f t="shared" si="4"/>
        <v>68662</v>
      </c>
      <c r="H22" s="206">
        <f t="shared" si="4"/>
        <v>75577.713199999998</v>
      </c>
      <c r="I22" s="206">
        <f t="shared" si="4"/>
        <v>83135.484519999998</v>
      </c>
      <c r="J22" s="206">
        <f t="shared" si="4"/>
        <v>91449.032972000015</v>
      </c>
      <c r="K22" s="206">
        <f t="shared" si="4"/>
        <v>100593.93626920001</v>
      </c>
      <c r="L22" s="206">
        <f t="shared" si="4"/>
        <v>110653.32989612003</v>
      </c>
      <c r="M22" s="172"/>
      <c r="N22" s="184"/>
    </row>
    <row r="23" spans="1:14" ht="12" customHeight="1" x14ac:dyDescent="0.55000000000000004">
      <c r="A23" s="172"/>
      <c r="B23" s="182" t="s">
        <v>259</v>
      </c>
      <c r="C23" s="172"/>
      <c r="D23" s="183">
        <f>D22/D$19</f>
        <v>0.39377539287083174</v>
      </c>
      <c r="E23" s="183">
        <f t="shared" ref="E23:L23" si="5">E22/E$19</f>
        <v>0.40478895878945764</v>
      </c>
      <c r="F23" s="183">
        <f t="shared" si="5"/>
        <v>0.43871239808827661</v>
      </c>
      <c r="G23" s="183">
        <f t="shared" si="5"/>
        <v>0.43871239808827661</v>
      </c>
      <c r="H23" s="183">
        <f t="shared" si="5"/>
        <v>0.43899999999999995</v>
      </c>
      <c r="I23" s="183">
        <f t="shared" si="5"/>
        <v>0.43899999999999995</v>
      </c>
      <c r="J23" s="183">
        <f t="shared" si="5"/>
        <v>0.439</v>
      </c>
      <c r="K23" s="183">
        <f t="shared" si="5"/>
        <v>0.43899999999999995</v>
      </c>
      <c r="L23" s="183">
        <f t="shared" si="5"/>
        <v>0.439</v>
      </c>
      <c r="M23" s="172"/>
      <c r="N23" s="184"/>
    </row>
    <row r="24" spans="1:14" ht="14.05" customHeight="1" x14ac:dyDescent="0.55000000000000004">
      <c r="A24" s="172" t="s">
        <v>281</v>
      </c>
      <c r="B24" s="172"/>
      <c r="C24" s="193"/>
      <c r="D24" s="193">
        <f>'P&amp;L'!B6</f>
        <v>5517</v>
      </c>
      <c r="E24" s="193">
        <f>'P&amp;L'!C6</f>
        <v>7599</v>
      </c>
      <c r="F24" s="193">
        <f>'P&amp;L'!D6</f>
        <v>10040</v>
      </c>
      <c r="G24" s="193">
        <v>10040</v>
      </c>
      <c r="H24" s="193">
        <f>H25+H26</f>
        <v>10903.44</v>
      </c>
      <c r="I24" s="193">
        <f>I25+I26</f>
        <v>11841.979200000002</v>
      </c>
      <c r="J24" s="193">
        <f>J25+J26</f>
        <v>12862.227936000003</v>
      </c>
      <c r="K24" s="193">
        <f>K25+K26</f>
        <v>13971.385610880003</v>
      </c>
      <c r="L24" s="193">
        <f>L25+L26</f>
        <v>15177.293843750405</v>
      </c>
      <c r="M24" s="172"/>
      <c r="N24" s="173"/>
    </row>
    <row r="25" spans="1:14" ht="12" customHeight="1" x14ac:dyDescent="0.55000000000000004">
      <c r="A25" s="172"/>
      <c r="B25" s="210" t="s">
        <v>285</v>
      </c>
      <c r="C25" s="211"/>
      <c r="D25" s="211"/>
      <c r="E25" s="211"/>
      <c r="F25" s="211"/>
      <c r="G25" s="211">
        <f>G24*C11</f>
        <v>7028</v>
      </c>
      <c r="H25" s="211">
        <f>G25*(1+H11)</f>
        <v>7590.2400000000007</v>
      </c>
      <c r="I25" s="211">
        <f>H25*(1+I11)</f>
        <v>8197.4592000000011</v>
      </c>
      <c r="J25" s="211">
        <f>I25*(1+J11)</f>
        <v>8853.2559360000014</v>
      </c>
      <c r="K25" s="211">
        <f>J25*(1+K11)</f>
        <v>9561.5164108800018</v>
      </c>
      <c r="L25" s="211">
        <f>K25*(1+L11)</f>
        <v>10326.437723750403</v>
      </c>
      <c r="M25" s="172"/>
      <c r="N25" s="173"/>
    </row>
    <row r="26" spans="1:14" ht="12" customHeight="1" x14ac:dyDescent="0.55000000000000004">
      <c r="A26" s="172"/>
      <c r="B26" s="210" t="s">
        <v>286</v>
      </c>
      <c r="C26" s="211"/>
      <c r="D26" s="211"/>
      <c r="E26" s="211"/>
      <c r="F26" s="211"/>
      <c r="G26" s="211">
        <f>G24-G25</f>
        <v>3012</v>
      </c>
      <c r="H26" s="211">
        <f>H12*H19</f>
        <v>3313.2000000000003</v>
      </c>
      <c r="I26" s="211">
        <f>I12*I19</f>
        <v>3644.5200000000004</v>
      </c>
      <c r="J26" s="211">
        <f>J12*J19</f>
        <v>4008.9720000000007</v>
      </c>
      <c r="K26" s="211">
        <f>K12*K19</f>
        <v>4409.869200000001</v>
      </c>
      <c r="L26" s="211">
        <f>L12*L19</f>
        <v>4850.8561200000013</v>
      </c>
      <c r="M26" s="172"/>
      <c r="N26" s="173"/>
    </row>
    <row r="27" spans="1:14" ht="14.05" customHeight="1" x14ac:dyDescent="0.55000000000000004">
      <c r="A27" s="172" t="s">
        <v>282</v>
      </c>
      <c r="B27" s="172"/>
      <c r="C27" s="193"/>
      <c r="D27" s="203">
        <f>'P&amp;L'!B7</f>
        <v>1782</v>
      </c>
      <c r="E27" s="203">
        <f>'P&amp;L'!C7</f>
        <v>2429</v>
      </c>
      <c r="F27" s="203">
        <f>'P&amp;L'!D7</f>
        <v>3381</v>
      </c>
      <c r="G27" s="203">
        <v>3381</v>
      </c>
      <c r="H27" s="203">
        <f>H19*H10</f>
        <v>3787.4936000000002</v>
      </c>
      <c r="I27" s="203">
        <f>I19*I10</f>
        <v>4166.2429600000005</v>
      </c>
      <c r="J27" s="203">
        <f>J19*J10</f>
        <v>4582.8672560000005</v>
      </c>
      <c r="K27" s="203">
        <f>K19*K10</f>
        <v>5041.1539816000013</v>
      </c>
      <c r="L27" s="203">
        <f>L19*L10</f>
        <v>5545.2693797600014</v>
      </c>
      <c r="M27" s="172"/>
      <c r="N27" s="173"/>
    </row>
    <row r="28" spans="1:14" ht="14.05" customHeight="1" x14ac:dyDescent="0.55000000000000004">
      <c r="A28" s="186" t="s">
        <v>133</v>
      </c>
      <c r="B28" s="186"/>
      <c r="C28" s="206"/>
      <c r="D28" s="206">
        <f t="shared" ref="D28:L28" si="6">D22-D24-D27</f>
        <v>18385</v>
      </c>
      <c r="E28" s="206">
        <f t="shared" si="6"/>
        <v>33790</v>
      </c>
      <c r="F28" s="206">
        <f t="shared" si="6"/>
        <v>55241</v>
      </c>
      <c r="G28" s="206">
        <f t="shared" si="6"/>
        <v>55241</v>
      </c>
      <c r="H28" s="206">
        <f t="shared" si="6"/>
        <v>60886.779599999994</v>
      </c>
      <c r="I28" s="206">
        <f t="shared" si="6"/>
        <v>67127.262359999993</v>
      </c>
      <c r="J28" s="206">
        <f t="shared" si="6"/>
        <v>74003.937780000007</v>
      </c>
      <c r="K28" s="206">
        <f t="shared" si="6"/>
        <v>81581.396676720018</v>
      </c>
      <c r="L28" s="206">
        <f t="shared" si="6"/>
        <v>89930.766672609621</v>
      </c>
      <c r="M28" s="172"/>
      <c r="N28" s="173"/>
    </row>
    <row r="29" spans="1:14" ht="14.05" customHeight="1" x14ac:dyDescent="0.55000000000000004">
      <c r="A29" s="172"/>
      <c r="B29" s="182" t="s">
        <v>260</v>
      </c>
      <c r="C29" s="172"/>
      <c r="D29" s="183">
        <f>D28/D$19</f>
        <v>0.28187044844768111</v>
      </c>
      <c r="E29" s="183">
        <f t="shared" ref="E29" si="7">E28/E$19</f>
        <v>0.31215068961376086</v>
      </c>
      <c r="F29" s="183">
        <f t="shared" ref="F29" si="8">F28/F$19</f>
        <v>0.35295959311984054</v>
      </c>
      <c r="G29" s="183">
        <f t="shared" ref="G29" si="9">G28/G$19</f>
        <v>0.35295959311984054</v>
      </c>
      <c r="H29" s="262">
        <f t="shared" ref="H29" si="10">H28/H$19</f>
        <v>0.35366638010952672</v>
      </c>
      <c r="I29" s="262">
        <f t="shared" ref="I29" si="11">I28/I$19</f>
        <v>0.35446799096901438</v>
      </c>
      <c r="J29" s="262">
        <f t="shared" ref="J29" si="12">J28/J$19</f>
        <v>0.3552550270856023</v>
      </c>
      <c r="K29" s="262">
        <f t="shared" ref="K29" si="13">K28/K$19</f>
        <v>0.35602775345461585</v>
      </c>
      <c r="L29" s="262">
        <f t="shared" ref="L29" si="14">L28/L$19</f>
        <v>0.35678643025328372</v>
      </c>
      <c r="M29" s="172"/>
      <c r="N29" s="173"/>
    </row>
    <row r="30" spans="1:14" ht="14.05" customHeight="1" x14ac:dyDescent="0.55000000000000004">
      <c r="A30" s="214" t="s">
        <v>283</v>
      </c>
      <c r="B30" s="214"/>
      <c r="C30" s="215"/>
      <c r="D30" s="203">
        <v>-155</v>
      </c>
      <c r="E30" s="203">
        <v>-415</v>
      </c>
      <c r="F30" s="203">
        <v>-522</v>
      </c>
      <c r="G30" s="203">
        <f>F30</f>
        <v>-522</v>
      </c>
      <c r="H30" s="203">
        <f ca="1">-H194</f>
        <v>-601.70569491995832</v>
      </c>
      <c r="I30" s="203">
        <f ca="1">-I194</f>
        <v>-822.78073591149484</v>
      </c>
      <c r="J30" s="203">
        <f ca="1">-J194</f>
        <v>-1341.0375375516778</v>
      </c>
      <c r="K30" s="203">
        <f ca="1">-K194</f>
        <v>-1929.3967751109569</v>
      </c>
      <c r="L30" s="203">
        <f ca="1">-L194</f>
        <v>-2594.3111252981921</v>
      </c>
      <c r="M30" s="172"/>
      <c r="N30" s="173"/>
    </row>
    <row r="31" spans="1:14" ht="14.05" customHeight="1" x14ac:dyDescent="0.55000000000000004">
      <c r="A31" s="172" t="s">
        <v>178</v>
      </c>
      <c r="B31" s="172"/>
      <c r="C31" s="193"/>
      <c r="D31" s="193">
        <f t="shared" ref="D31:L31" si="15">D28-D30</f>
        <v>18540</v>
      </c>
      <c r="E31" s="193">
        <f t="shared" si="15"/>
        <v>34205</v>
      </c>
      <c r="F31" s="193">
        <f t="shared" si="15"/>
        <v>55763</v>
      </c>
      <c r="G31" s="193">
        <f t="shared" si="15"/>
        <v>55763</v>
      </c>
      <c r="H31" s="193">
        <f t="shared" ca="1" si="15"/>
        <v>61488.485294919956</v>
      </c>
      <c r="I31" s="193">
        <f t="shared" ca="1" si="15"/>
        <v>67950.043095911489</v>
      </c>
      <c r="J31" s="193">
        <f t="shared" ca="1" si="15"/>
        <v>75344.975317551682</v>
      </c>
      <c r="K31" s="193">
        <f t="shared" ca="1" si="15"/>
        <v>83510.793451830978</v>
      </c>
      <c r="L31" s="193">
        <f t="shared" ca="1" si="15"/>
        <v>92525.077797907812</v>
      </c>
      <c r="M31" s="172"/>
      <c r="N31" s="173"/>
    </row>
    <row r="32" spans="1:14" ht="14.05" customHeight="1" x14ac:dyDescent="0.55000000000000004">
      <c r="A32" s="172" t="s">
        <v>289</v>
      </c>
      <c r="B32" s="172"/>
      <c r="C32" s="193"/>
      <c r="D32" s="203">
        <f>'P&amp;L'!B13</f>
        <v>4527</v>
      </c>
      <c r="E32" s="203">
        <f>'P&amp;L'!C13</f>
        <v>8283</v>
      </c>
      <c r="F32" s="203">
        <f>'P&amp;L'!D13</f>
        <v>14030</v>
      </c>
      <c r="G32" s="203">
        <f>G31-G33</f>
        <v>14030</v>
      </c>
      <c r="H32" s="203">
        <f ca="1">H31*H14</f>
        <v>15495.098294319829</v>
      </c>
      <c r="I32" s="203">
        <f ca="1">I31*I14</f>
        <v>17123.410860169697</v>
      </c>
      <c r="J32" s="203">
        <f ca="1">J31*J14</f>
        <v>18986.933780023024</v>
      </c>
      <c r="K32" s="203">
        <f ca="1">K31*K14</f>
        <v>21044.719949861406</v>
      </c>
      <c r="L32" s="203">
        <f ca="1">L31*L14</f>
        <v>23316.319605072767</v>
      </c>
      <c r="M32" s="172"/>
      <c r="N32" s="173"/>
    </row>
    <row r="33" spans="1:19" ht="14.05" customHeight="1" x14ac:dyDescent="0.55000000000000004">
      <c r="A33" s="186" t="s">
        <v>176</v>
      </c>
      <c r="B33" s="186"/>
      <c r="C33" s="206"/>
      <c r="D33" s="206">
        <f>D31-D32</f>
        <v>14013</v>
      </c>
      <c r="E33" s="206">
        <f>E31-E32</f>
        <v>25922</v>
      </c>
      <c r="F33" s="206">
        <f>F31-F32</f>
        <v>41733</v>
      </c>
      <c r="G33" s="206">
        <v>41733</v>
      </c>
      <c r="H33" s="206">
        <f ca="1">H31-H32</f>
        <v>45993.387000600123</v>
      </c>
      <c r="I33" s="206">
        <f ca="1">I31-I32</f>
        <v>50826.632235741796</v>
      </c>
      <c r="J33" s="206">
        <f ca="1">J31-J32</f>
        <v>56358.041537528654</v>
      </c>
      <c r="K33" s="206">
        <f ca="1">K31-K32</f>
        <v>62466.073501969571</v>
      </c>
      <c r="L33" s="206">
        <f ca="1">L31-L32</f>
        <v>69208.758192835041</v>
      </c>
      <c r="M33" s="172"/>
      <c r="N33" s="173"/>
      <c r="O33" s="173"/>
      <c r="P33" s="173"/>
      <c r="Q33" s="173"/>
      <c r="R33" s="173"/>
      <c r="S33" s="173"/>
    </row>
    <row r="34" spans="1:19" ht="14.05" customHeight="1" x14ac:dyDescent="0.55000000000000004">
      <c r="A34" s="172"/>
      <c r="B34" s="182" t="s">
        <v>350</v>
      </c>
      <c r="C34" s="172"/>
      <c r="D34" s="183">
        <f>D33/D$19</f>
        <v>0.21484093522422384</v>
      </c>
      <c r="E34" s="183">
        <f t="shared" ref="E34:L34" si="16">E33/E$19</f>
        <v>0.2394664153941376</v>
      </c>
      <c r="F34" s="183">
        <f t="shared" si="16"/>
        <v>0.26665090602397323</v>
      </c>
      <c r="G34" s="183">
        <f t="shared" si="16"/>
        <v>0.26665090602397323</v>
      </c>
      <c r="H34" s="183">
        <f t="shared" ca="1" si="16"/>
        <v>0.26715675876342143</v>
      </c>
      <c r="I34" s="183">
        <f t="shared" ca="1" si="16"/>
        <v>0.26839191087077635</v>
      </c>
      <c r="J34" s="183">
        <f t="shared" ca="1" si="16"/>
        <v>0.27054611110595739</v>
      </c>
      <c r="K34" s="183">
        <f t="shared" ca="1" si="16"/>
        <v>0.27260695111859273</v>
      </c>
      <c r="L34" s="183">
        <f t="shared" ca="1" si="16"/>
        <v>0.27457506136667942</v>
      </c>
      <c r="M34" s="172"/>
      <c r="N34" s="173"/>
    </row>
    <row r="35" spans="1:19" ht="10.199999999999999" customHeight="1" x14ac:dyDescent="0.55000000000000004">
      <c r="A35" s="186"/>
      <c r="B35" s="18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172"/>
      <c r="N35" s="173"/>
      <c r="O35" s="173"/>
      <c r="P35" s="173"/>
      <c r="Q35" s="173"/>
      <c r="R35" s="173"/>
      <c r="S35" s="173"/>
    </row>
    <row r="36" spans="1:19" ht="14.05" customHeight="1" x14ac:dyDescent="0.55000000000000004">
      <c r="A36" s="186" t="s">
        <v>346</v>
      </c>
      <c r="B36" s="186"/>
      <c r="C36" s="206"/>
      <c r="D36" s="206">
        <f t="shared" ref="D36:L36" si="17">D28+D83</f>
        <v>19412</v>
      </c>
      <c r="E36" s="206">
        <f t="shared" si="17"/>
        <v>35604</v>
      </c>
      <c r="F36" s="206">
        <f t="shared" si="17"/>
        <v>58518</v>
      </c>
      <c r="G36" s="206">
        <f t="shared" si="17"/>
        <v>58518</v>
      </c>
      <c r="H36" s="206">
        <f t="shared" si="17"/>
        <v>64928.545876832679</v>
      </c>
      <c r="I36" s="206">
        <f t="shared" si="17"/>
        <v>72696.237818181311</v>
      </c>
      <c r="J36" s="206">
        <f t="shared" si="17"/>
        <v>81198.443337664823</v>
      </c>
      <c r="K36" s="206">
        <f t="shared" si="17"/>
        <v>90551.38534381667</v>
      </c>
      <c r="L36" s="206">
        <f t="shared" si="17"/>
        <v>100725.2867600813</v>
      </c>
      <c r="M36" s="172"/>
      <c r="N36" s="173"/>
      <c r="O36" s="173"/>
      <c r="P36" s="173"/>
      <c r="Q36" s="173"/>
      <c r="R36" s="173"/>
      <c r="S36" s="173"/>
    </row>
    <row r="37" spans="1:19" ht="12.3" customHeight="1" x14ac:dyDescent="0.55000000000000004">
      <c r="A37" s="172"/>
      <c r="B37" s="182" t="s">
        <v>345</v>
      </c>
      <c r="C37" s="172"/>
      <c r="D37" s="183">
        <f t="shared" ref="D37:L37" si="18">D36/D$19</f>
        <v>0.29761594480643927</v>
      </c>
      <c r="E37" s="183">
        <f t="shared" si="18"/>
        <v>0.3289083501926115</v>
      </c>
      <c r="F37" s="183">
        <f t="shared" si="18"/>
        <v>0.37389781991974852</v>
      </c>
      <c r="G37" s="183">
        <f t="shared" si="18"/>
        <v>0.37389781991974852</v>
      </c>
      <c r="H37" s="183">
        <f t="shared" si="18"/>
        <v>0.37714334600864247</v>
      </c>
      <c r="I37" s="183">
        <f t="shared" si="18"/>
        <v>0.38387517179266678</v>
      </c>
      <c r="J37" s="183">
        <f t="shared" si="18"/>
        <v>0.38979216583021747</v>
      </c>
      <c r="K37" s="183">
        <f t="shared" si="18"/>
        <v>0.39517350289936759</v>
      </c>
      <c r="L37" s="183">
        <f t="shared" si="18"/>
        <v>0.39961202188119754</v>
      </c>
      <c r="M37" s="172"/>
      <c r="N37" s="173"/>
    </row>
    <row r="38" spans="1:19" ht="14.05" customHeight="1" x14ac:dyDescent="0.55000000000000004">
      <c r="A38" s="172"/>
      <c r="B38" s="182"/>
      <c r="C38" s="172"/>
      <c r="D38" s="172"/>
      <c r="E38" s="172"/>
      <c r="F38" s="172"/>
      <c r="G38" s="185"/>
      <c r="H38" s="185"/>
      <c r="I38" s="185"/>
      <c r="J38" s="185"/>
      <c r="K38" s="185"/>
      <c r="L38" s="185"/>
      <c r="M38" s="172"/>
      <c r="N38" s="173"/>
    </row>
    <row r="39" spans="1:19" ht="14.7" thickBot="1" x14ac:dyDescent="0.6">
      <c r="A39" s="172"/>
      <c r="B39" s="172"/>
      <c r="C39" s="172"/>
      <c r="D39" s="169" t="s">
        <v>255</v>
      </c>
      <c r="E39" s="169"/>
      <c r="F39" s="169"/>
      <c r="G39" s="213" t="s">
        <v>290</v>
      </c>
      <c r="H39" s="170" t="s">
        <v>257</v>
      </c>
      <c r="I39" s="170"/>
      <c r="J39" s="170"/>
      <c r="K39" s="170"/>
      <c r="L39" s="170"/>
      <c r="M39" s="172"/>
      <c r="N39" s="173"/>
    </row>
    <row r="40" spans="1:19" ht="14.7" thickTop="1" x14ac:dyDescent="0.55000000000000004">
      <c r="A40" s="175" t="s">
        <v>0</v>
      </c>
      <c r="B40" s="172"/>
      <c r="C40" s="175">
        <v>2009</v>
      </c>
      <c r="D40" s="176">
        <v>2010</v>
      </c>
      <c r="E40" s="176">
        <v>2011</v>
      </c>
      <c r="F40" s="176">
        <v>2012</v>
      </c>
      <c r="G40" s="176" t="s">
        <v>191</v>
      </c>
      <c r="H40" s="177">
        <v>2013</v>
      </c>
      <c r="I40" s="177">
        <v>2014</v>
      </c>
      <c r="J40" s="177">
        <v>2015</v>
      </c>
      <c r="K40" s="177">
        <v>2016</v>
      </c>
      <c r="L40" s="177">
        <v>2017</v>
      </c>
      <c r="M40" s="172"/>
      <c r="N40" s="173"/>
      <c r="O40" s="173"/>
    </row>
    <row r="41" spans="1:19" ht="14.05" customHeight="1" x14ac:dyDescent="0.55000000000000004">
      <c r="A41" s="172" t="s">
        <v>174</v>
      </c>
      <c r="B41" s="172"/>
      <c r="C41" s="193">
        <f>C42+C43</f>
        <v>33992</v>
      </c>
      <c r="D41" s="193">
        <f>D42+D43</f>
        <v>51011</v>
      </c>
      <c r="E41" s="193">
        <f>E42+E43</f>
        <v>81570</v>
      </c>
      <c r="F41" s="193">
        <f>F42+F43</f>
        <v>121251</v>
      </c>
      <c r="G41" s="240">
        <f t="shared" ref="G41:L41" si="19">SUM(G42:G43)</f>
        <v>91251</v>
      </c>
      <c r="H41" s="193">
        <f t="shared" ca="1" si="19"/>
        <v>134709.52632852964</v>
      </c>
      <c r="I41" s="193">
        <f t="shared" ca="1" si="19"/>
        <v>183487.51270975603</v>
      </c>
      <c r="J41" s="193">
        <f t="shared" ca="1" si="19"/>
        <v>238669.97259650315</v>
      </c>
      <c r="K41" s="193">
        <f t="shared" ca="1" si="19"/>
        <v>300898.82533063996</v>
      </c>
      <c r="L41" s="193">
        <f t="shared" ca="1" si="19"/>
        <v>370799.32688643486</v>
      </c>
      <c r="M41" s="172"/>
      <c r="N41" s="173"/>
      <c r="O41" s="173"/>
    </row>
    <row r="42" spans="1:19" ht="14.05" customHeight="1" x14ac:dyDescent="0.55000000000000004">
      <c r="A42" s="172" t="s">
        <v>173</v>
      </c>
      <c r="B42" s="172"/>
      <c r="C42" s="193">
        <f t="shared" ref="C42:L42" si="20">C183</f>
        <v>5263</v>
      </c>
      <c r="D42" s="193">
        <f t="shared" si="20"/>
        <v>11261</v>
      </c>
      <c r="E42" s="193">
        <f t="shared" si="20"/>
        <v>9815</v>
      </c>
      <c r="F42" s="193">
        <f t="shared" si="20"/>
        <v>10746</v>
      </c>
      <c r="G42" s="236">
        <f t="shared" si="20"/>
        <v>20080</v>
      </c>
      <c r="H42" s="237">
        <f t="shared" si="20"/>
        <v>21909.23927565986</v>
      </c>
      <c r="I42" s="237">
        <f t="shared" si="20"/>
        <v>23834.5720878789</v>
      </c>
      <c r="J42" s="237">
        <f t="shared" si="20"/>
        <v>25961.24143465317</v>
      </c>
      <c r="K42" s="237">
        <f t="shared" si="20"/>
        <v>28300.470229704879</v>
      </c>
      <c r="L42" s="237">
        <f t="shared" si="20"/>
        <v>30897.441652283069</v>
      </c>
      <c r="M42" s="172"/>
      <c r="N42" s="235"/>
      <c r="O42" s="173"/>
    </row>
    <row r="43" spans="1:19" ht="14.05" customHeight="1" x14ac:dyDescent="0.55000000000000004">
      <c r="A43" s="186" t="s">
        <v>333</v>
      </c>
      <c r="B43" s="186"/>
      <c r="C43" s="206">
        <f>C187</f>
        <v>28729</v>
      </c>
      <c r="D43" s="206">
        <f>D187</f>
        <v>39750</v>
      </c>
      <c r="E43" s="206">
        <f>E187</f>
        <v>71755</v>
      </c>
      <c r="F43" s="206">
        <f>F187</f>
        <v>110505</v>
      </c>
      <c r="G43" s="449">
        <f>F43-39334</f>
        <v>71171</v>
      </c>
      <c r="H43" s="238">
        <f ca="1">G43+(H80+H83+H84+H85+H87+H88+H89+H90+H101)-(H42-G42)</f>
        <v>112800.28705286977</v>
      </c>
      <c r="I43" s="238">
        <f ca="1">H43+(I80+I83+I84+I85+I87+I88+I89+I90+I101)-(I42-H42)</f>
        <v>159652.94062187715</v>
      </c>
      <c r="J43" s="238">
        <f ca="1">I43+(J80+J83+J84+J85+J87+J88+J89+J90+J101)-(J42-I42)</f>
        <v>212708.73116184998</v>
      </c>
      <c r="K43" s="238">
        <f ca="1">J43+(K80+K83+K84+K85+K87+K88+K89+K90+K101)-(K42-J42)</f>
        <v>272598.35510093509</v>
      </c>
      <c r="L43" s="238">
        <f ca="1">K43+(L80+L83+L84+L85+L87+L88+L89+L90+L101)-(L42-K42)</f>
        <v>339901.88523415179</v>
      </c>
      <c r="M43" s="172"/>
      <c r="N43" s="235"/>
      <c r="O43" s="173"/>
    </row>
    <row r="44" spans="1:19" ht="14.05" customHeight="1" x14ac:dyDescent="0.55000000000000004">
      <c r="A44" s="172" t="s">
        <v>171</v>
      </c>
      <c r="B44" s="172"/>
      <c r="C44" s="193">
        <f>3361+1696</f>
        <v>5057</v>
      </c>
      <c r="D44" s="193">
        <f>'Bce Sheet'!B11</f>
        <v>9924</v>
      </c>
      <c r="E44" s="193">
        <f>'Bce Sheet'!C11</f>
        <v>11717</v>
      </c>
      <c r="F44" s="193">
        <f>'Bce Sheet'!D11</f>
        <v>18692</v>
      </c>
      <c r="G44" s="193">
        <v>18692</v>
      </c>
      <c r="H44" s="193">
        <f>H154</f>
        <v>20753.389589041097</v>
      </c>
      <c r="I44" s="193">
        <f>I154</f>
        <v>22828.728547945208</v>
      </c>
      <c r="J44" s="193">
        <f>J154</f>
        <v>25111.601402739732</v>
      </c>
      <c r="K44" s="193">
        <f>K154</f>
        <v>27622.761543013708</v>
      </c>
      <c r="L44" s="193">
        <f>L154</f>
        <v>30385.037697315078</v>
      </c>
      <c r="M44" s="172"/>
      <c r="N44" s="173"/>
    </row>
    <row r="45" spans="1:19" ht="14.05" customHeight="1" x14ac:dyDescent="0.55000000000000004">
      <c r="A45" s="172" t="s">
        <v>170</v>
      </c>
      <c r="B45" s="172"/>
      <c r="C45" s="193">
        <v>455</v>
      </c>
      <c r="D45" s="193">
        <f>'Bce Sheet'!B13</f>
        <v>1051</v>
      </c>
      <c r="E45" s="193">
        <f>'Bce Sheet'!C13</f>
        <v>776</v>
      </c>
      <c r="F45" s="193">
        <f>'Bce Sheet'!D13</f>
        <v>791</v>
      </c>
      <c r="G45" s="193">
        <v>791</v>
      </c>
      <c r="H45" s="193">
        <f>H158</f>
        <v>873.19886695890432</v>
      </c>
      <c r="I45" s="193">
        <f>I158</f>
        <v>960.51875365479475</v>
      </c>
      <c r="J45" s="193">
        <f>J158</f>
        <v>1056.5706290202741</v>
      </c>
      <c r="K45" s="193">
        <f>K158</f>
        <v>1162.2276919223016</v>
      </c>
      <c r="L45" s="193">
        <f>L158</f>
        <v>1278.4504611145319</v>
      </c>
      <c r="M45" s="172"/>
      <c r="N45" s="173"/>
    </row>
    <row r="46" spans="1:19" ht="14.05" customHeight="1" x14ac:dyDescent="0.55000000000000004">
      <c r="A46" s="172" t="s">
        <v>17</v>
      </c>
      <c r="B46" s="172"/>
      <c r="C46" s="193"/>
      <c r="D46" s="193">
        <f>'Bce Sheet'!B14+'Bce Sheet'!B15+'Bce Sheet'!B16</f>
        <v>5083</v>
      </c>
      <c r="E46" s="193">
        <f>'Bce Sheet'!C14+'Bce Sheet'!C15+'Bce Sheet'!C16</f>
        <v>6543</v>
      </c>
      <c r="F46" s="193">
        <f>'Bce Sheet'!D14+'Bce Sheet'!D15+'Bce Sheet'!D16</f>
        <v>9041</v>
      </c>
      <c r="G46" s="193">
        <f>2583+278+6180</f>
        <v>9041</v>
      </c>
      <c r="H46" s="193">
        <f>H172</f>
        <v>9945.1000000000022</v>
      </c>
      <c r="I46" s="193">
        <f>I172</f>
        <v>10939.610000000002</v>
      </c>
      <c r="J46" s="193">
        <f>J172</f>
        <v>12033.571000000004</v>
      </c>
      <c r="K46" s="193">
        <f>K172</f>
        <v>13236.928100000005</v>
      </c>
      <c r="L46" s="193">
        <f>L172</f>
        <v>14560.620910000005</v>
      </c>
      <c r="M46" s="172"/>
      <c r="N46" s="173"/>
    </row>
    <row r="47" spans="1:19" ht="14.05" customHeight="1" x14ac:dyDescent="0.55000000000000004">
      <c r="A47" s="172" t="s">
        <v>318</v>
      </c>
      <c r="B47" s="172"/>
      <c r="C47" s="193"/>
      <c r="D47" s="193">
        <f>'Bce Sheet'!B19</f>
        <v>4768</v>
      </c>
      <c r="E47" s="193">
        <f>'Bce Sheet'!C19</f>
        <v>7777</v>
      </c>
      <c r="F47" s="193">
        <f>'Bce Sheet'!D19</f>
        <v>15452</v>
      </c>
      <c r="G47" s="193">
        <v>15452</v>
      </c>
      <c r="H47" s="193">
        <f>H116</f>
        <v>21277.68325791855</v>
      </c>
      <c r="I47" s="193">
        <f>I116</f>
        <v>26699.501357466062</v>
      </c>
      <c r="J47" s="193">
        <f>J116</f>
        <v>31677.067782805432</v>
      </c>
      <c r="K47" s="193">
        <f>K116</f>
        <v>36165.957366515839</v>
      </c>
      <c r="L47" s="193">
        <f>L116</f>
        <v>40117.302424434398</v>
      </c>
      <c r="M47" s="172"/>
      <c r="N47" s="173"/>
    </row>
    <row r="48" spans="1:19" ht="14.05" customHeight="1" x14ac:dyDescent="0.55000000000000004">
      <c r="A48" s="172" t="s">
        <v>291</v>
      </c>
      <c r="B48" s="172"/>
      <c r="C48" s="193"/>
      <c r="D48" s="193">
        <f>'Bce Sheet'!B23</f>
        <v>342</v>
      </c>
      <c r="E48" s="193">
        <f>'Bce Sheet'!C23</f>
        <v>3536</v>
      </c>
      <c r="F48" s="193">
        <f>'Bce Sheet'!D23</f>
        <v>4224</v>
      </c>
      <c r="G48" s="193">
        <f>F48</f>
        <v>4224</v>
      </c>
      <c r="H48" s="193">
        <f>H134</f>
        <v>4698.750465248766</v>
      </c>
      <c r="I48" s="193">
        <f>I134</f>
        <v>5084.3769075199398</v>
      </c>
      <c r="J48" s="193">
        <f>J134</f>
        <v>5426.3669245157607</v>
      </c>
      <c r="K48" s="193">
        <f>K134</f>
        <v>5732.9568737086965</v>
      </c>
      <c r="L48" s="193">
        <f>L134</f>
        <v>6129.1067483184579</v>
      </c>
      <c r="M48" s="172"/>
      <c r="N48" s="173"/>
    </row>
    <row r="49" spans="1:14" ht="14.05" customHeight="1" x14ac:dyDescent="0.55000000000000004">
      <c r="A49" s="172" t="s">
        <v>337</v>
      </c>
      <c r="B49" s="172"/>
      <c r="C49" s="203"/>
      <c r="D49" s="203">
        <f>'Bce Sheet'!B22+'Bce Sheet'!B24</f>
        <v>3004</v>
      </c>
      <c r="E49" s="203">
        <f>'Bce Sheet'!C22+'Bce Sheet'!C24</f>
        <v>4452</v>
      </c>
      <c r="F49" s="203">
        <f>'Bce Sheet'!D22+'Bce Sheet'!D24</f>
        <v>6613</v>
      </c>
      <c r="G49" s="203">
        <f>F49</f>
        <v>6613</v>
      </c>
      <c r="H49" s="203">
        <f>H177</f>
        <v>7274.3</v>
      </c>
      <c r="I49" s="203">
        <f>I177</f>
        <v>8001.7300000000005</v>
      </c>
      <c r="J49" s="203">
        <f>J177</f>
        <v>8801.9030000000021</v>
      </c>
      <c r="K49" s="203">
        <f>K177</f>
        <v>9682.0933000000023</v>
      </c>
      <c r="L49" s="203">
        <f>L177</f>
        <v>10650.302630000004</v>
      </c>
      <c r="M49" s="172"/>
      <c r="N49" s="173"/>
    </row>
    <row r="50" spans="1:14" ht="14.05" customHeight="1" x14ac:dyDescent="0.55000000000000004">
      <c r="A50" s="186" t="s">
        <v>166</v>
      </c>
      <c r="B50" s="186"/>
      <c r="C50" s="206">
        <v>47501</v>
      </c>
      <c r="D50" s="206">
        <f t="shared" ref="D50:L50" si="21">SUM(D42:D49)</f>
        <v>75183</v>
      </c>
      <c r="E50" s="206">
        <f t="shared" si="21"/>
        <v>116371</v>
      </c>
      <c r="F50" s="206">
        <f t="shared" si="21"/>
        <v>176064</v>
      </c>
      <c r="G50" s="206">
        <f t="shared" si="21"/>
        <v>146064</v>
      </c>
      <c r="H50" s="206">
        <f t="shared" ca="1" si="21"/>
        <v>199531.94850769694</v>
      </c>
      <c r="I50" s="206">
        <f t="shared" ca="1" si="21"/>
        <v>258001.97827634207</v>
      </c>
      <c r="J50" s="206">
        <f t="shared" ca="1" si="21"/>
        <v>322777.05333558429</v>
      </c>
      <c r="K50" s="206">
        <f t="shared" ca="1" si="21"/>
        <v>394501.75020580052</v>
      </c>
      <c r="L50" s="206">
        <f t="shared" ca="1" si="21"/>
        <v>473920.14775761735</v>
      </c>
      <c r="M50" s="172"/>
      <c r="N50" s="173"/>
    </row>
    <row r="51" spans="1:14" ht="4.8" customHeight="1" x14ac:dyDescent="0.55000000000000004">
      <c r="A51" s="172"/>
      <c r="B51" s="172"/>
      <c r="C51" s="172"/>
      <c r="D51" s="172"/>
      <c r="E51" s="172"/>
      <c r="F51" s="185"/>
      <c r="G51" s="185"/>
      <c r="H51" s="185"/>
      <c r="I51" s="185"/>
      <c r="J51" s="185"/>
      <c r="K51" s="185"/>
      <c r="L51" s="185"/>
      <c r="M51" s="172"/>
      <c r="N51" s="173"/>
    </row>
    <row r="52" spans="1:14" ht="14.05" customHeight="1" x14ac:dyDescent="0.55000000000000004">
      <c r="A52" s="175" t="s">
        <v>165</v>
      </c>
      <c r="B52" s="172"/>
      <c r="C52" s="172"/>
      <c r="D52" s="172"/>
      <c r="E52" s="172"/>
      <c r="F52" s="185"/>
      <c r="G52" s="185"/>
      <c r="H52" s="185"/>
      <c r="I52" s="185"/>
      <c r="J52" s="185"/>
      <c r="K52" s="185"/>
      <c r="L52" s="185"/>
      <c r="M52" s="172"/>
      <c r="N52" s="173"/>
    </row>
    <row r="53" spans="1:14" ht="14.05" customHeight="1" x14ac:dyDescent="0.55000000000000004">
      <c r="A53" s="172" t="s">
        <v>203</v>
      </c>
      <c r="B53" s="172"/>
      <c r="C53" s="193">
        <v>5601</v>
      </c>
      <c r="D53" s="193">
        <f>'Bce Sheet'!B28</f>
        <v>12015</v>
      </c>
      <c r="E53" s="193">
        <f>'Bce Sheet'!C28</f>
        <v>14632</v>
      </c>
      <c r="F53" s="193">
        <f>'Bce Sheet'!D28</f>
        <v>21175</v>
      </c>
      <c r="G53" s="193">
        <v>21175</v>
      </c>
      <c r="H53" s="193">
        <f>H162</f>
        <v>23590.655907096814</v>
      </c>
      <c r="I53" s="193">
        <f>I162</f>
        <v>25669.257280000114</v>
      </c>
      <c r="J53" s="193">
        <f>J162</f>
        <v>27965.015025713747</v>
      </c>
      <c r="K53" s="193">
        <f>K162</f>
        <v>30490.235040360345</v>
      </c>
      <c r="L53" s="193">
        <f>L162</f>
        <v>33293.130710382124</v>
      </c>
      <c r="M53" s="172"/>
      <c r="N53" s="173"/>
    </row>
    <row r="54" spans="1:14" ht="14.05" customHeight="1" x14ac:dyDescent="0.55000000000000004">
      <c r="A54" s="172" t="s">
        <v>202</v>
      </c>
      <c r="B54" s="172"/>
      <c r="C54" s="193"/>
      <c r="D54" s="193">
        <f>'Bce Sheet'!B29</f>
        <v>3641</v>
      </c>
      <c r="E54" s="193">
        <f>'Bce Sheet'!C29</f>
        <v>4829</v>
      </c>
      <c r="F54" s="193">
        <f>'Bce Sheet'!D29</f>
        <v>6749</v>
      </c>
      <c r="G54" s="193">
        <f>6749</f>
        <v>6749</v>
      </c>
      <c r="H54" s="198">
        <f t="shared" ref="H54:L54" si="22">G54</f>
        <v>6749</v>
      </c>
      <c r="I54" s="198">
        <f t="shared" si="22"/>
        <v>6749</v>
      </c>
      <c r="J54" s="198">
        <f t="shared" si="22"/>
        <v>6749</v>
      </c>
      <c r="K54" s="198">
        <f t="shared" si="22"/>
        <v>6749</v>
      </c>
      <c r="L54" s="198">
        <f t="shared" si="22"/>
        <v>6749</v>
      </c>
      <c r="M54" s="264" t="s">
        <v>359</v>
      </c>
      <c r="N54" s="173"/>
    </row>
    <row r="55" spans="1:14" ht="14.05" customHeight="1" x14ac:dyDescent="0.55000000000000004">
      <c r="A55" s="172" t="s">
        <v>201</v>
      </c>
      <c r="B55" s="172"/>
      <c r="C55" s="193"/>
      <c r="D55" s="193">
        <f>'Bce Sheet'!B30+'Bce Sheet'!B31+'Bce Sheet'!B32</f>
        <v>5066</v>
      </c>
      <c r="E55" s="193">
        <f>'Bce Sheet'!C30+'Bce Sheet'!C31+'Bce Sheet'!C32</f>
        <v>8509</v>
      </c>
      <c r="F55" s="193">
        <f>'Bce Sheet'!D30+'Bce Sheet'!D31+'Bce Sheet'!D32</f>
        <v>10618</v>
      </c>
      <c r="G55" s="193">
        <f>1535+7445+1638</f>
        <v>10618</v>
      </c>
      <c r="H55" s="193">
        <f>H174</f>
        <v>11679.800000000001</v>
      </c>
      <c r="I55" s="193">
        <f>I174</f>
        <v>12847.78</v>
      </c>
      <c r="J55" s="193">
        <f>J174</f>
        <v>14132.558000000003</v>
      </c>
      <c r="K55" s="193">
        <f>K174</f>
        <v>15545.813800000004</v>
      </c>
      <c r="L55" s="193">
        <f>L174</f>
        <v>17100.395180000003</v>
      </c>
      <c r="M55" s="172"/>
      <c r="N55" s="173"/>
    </row>
    <row r="56" spans="1:14" ht="14.05" customHeight="1" x14ac:dyDescent="0.55000000000000004">
      <c r="A56" s="172" t="s">
        <v>200</v>
      </c>
      <c r="B56" s="172"/>
      <c r="C56" s="203"/>
      <c r="D56" s="203">
        <f>'Bce Sheet'!B36+'Bce Sheet'!B37+'Bce Sheet'!B38</f>
        <v>6670</v>
      </c>
      <c r="E56" s="203">
        <f>'Bce Sheet'!C36+'Bce Sheet'!C37+'Bce Sheet'!C38</f>
        <v>11786</v>
      </c>
      <c r="F56" s="203">
        <f>'Bce Sheet'!D36+'Bce Sheet'!D37+'Bce Sheet'!D38</f>
        <v>19312</v>
      </c>
      <c r="G56" s="203">
        <f>G57-SUM(G53,G54,G55)</f>
        <v>19312</v>
      </c>
      <c r="H56" s="203">
        <f>H179</f>
        <v>21243.200000000004</v>
      </c>
      <c r="I56" s="203">
        <f>I179</f>
        <v>23367.520000000004</v>
      </c>
      <c r="J56" s="203">
        <f>J179</f>
        <v>25704.272000000004</v>
      </c>
      <c r="K56" s="203">
        <f>K179</f>
        <v>28274.69920000001</v>
      </c>
      <c r="L56" s="203">
        <f>L179</f>
        <v>31102.16912000001</v>
      </c>
      <c r="M56" s="172"/>
      <c r="N56" s="173"/>
    </row>
    <row r="57" spans="1:14" ht="14.05" customHeight="1" x14ac:dyDescent="0.55000000000000004">
      <c r="A57" s="186" t="s">
        <v>160</v>
      </c>
      <c r="B57" s="186"/>
      <c r="C57" s="206">
        <v>15861</v>
      </c>
      <c r="D57" s="206">
        <f>SUM(D53:D56)</f>
        <v>27392</v>
      </c>
      <c r="E57" s="206">
        <f>SUM(E53:E56)</f>
        <v>39756</v>
      </c>
      <c r="F57" s="206">
        <f>SUM(F53:F56)</f>
        <v>57854</v>
      </c>
      <c r="G57" s="206">
        <f>57854</f>
        <v>57854</v>
      </c>
      <c r="H57" s="206">
        <f>SUM(H53,H54,H55,H56)</f>
        <v>63262.655907096821</v>
      </c>
      <c r="I57" s="206">
        <f>SUM(I53,I54,I55,I56)</f>
        <v>68633.557280000125</v>
      </c>
      <c r="J57" s="206">
        <f>SUM(J53,J54,J55,J56)</f>
        <v>74550.845025713759</v>
      </c>
      <c r="K57" s="206">
        <f>SUM(K53,K54,K55,K56)</f>
        <v>81059.748040360369</v>
      </c>
      <c r="L57" s="206">
        <f>SUM(L53,L54,L55,L56)</f>
        <v>88244.695010382129</v>
      </c>
      <c r="M57" s="172"/>
      <c r="N57" s="173"/>
    </row>
    <row r="58" spans="1:14" ht="4.8" customHeight="1" x14ac:dyDescent="0.55000000000000004">
      <c r="A58" s="172"/>
      <c r="B58" s="172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72"/>
      <c r="N58" s="173"/>
    </row>
    <row r="59" spans="1:14" ht="14.05" customHeight="1" x14ac:dyDescent="0.55000000000000004">
      <c r="A59" s="172" t="s">
        <v>37</v>
      </c>
      <c r="B59" s="172"/>
      <c r="C59" s="193"/>
      <c r="D59" s="193">
        <f>'Bce Sheet'!B41</f>
        <v>10668</v>
      </c>
      <c r="E59" s="193">
        <f>'Bce Sheet'!C41</f>
        <v>13331</v>
      </c>
      <c r="F59" s="193">
        <f>'Bce Sheet'!D41</f>
        <v>16422</v>
      </c>
      <c r="G59" s="193">
        <f>F59</f>
        <v>16422</v>
      </c>
      <c r="H59" s="193">
        <f>G59+H97+H98</f>
        <v>16422</v>
      </c>
      <c r="I59" s="193">
        <f>H59+I97+I98</f>
        <v>16422</v>
      </c>
      <c r="J59" s="193">
        <f>I59+J97+J98</f>
        <v>16422</v>
      </c>
      <c r="K59" s="193">
        <f>J59+K97+K98</f>
        <v>16422</v>
      </c>
      <c r="L59" s="193">
        <f>K59+L97+L98</f>
        <v>16422</v>
      </c>
      <c r="M59" s="172"/>
      <c r="N59" s="173"/>
    </row>
    <row r="60" spans="1:14" ht="14.05" customHeight="1" x14ac:dyDescent="0.55000000000000004">
      <c r="A60" s="172" t="s">
        <v>38</v>
      </c>
      <c r="B60" s="172"/>
      <c r="C60" s="193"/>
      <c r="D60" s="193">
        <f>'Bce Sheet'!B42</f>
        <v>37169</v>
      </c>
      <c r="E60" s="193">
        <f>'Bce Sheet'!C42</f>
        <v>62841</v>
      </c>
      <c r="F60" s="193">
        <f>'Bce Sheet'!D42</f>
        <v>101289</v>
      </c>
      <c r="G60" s="193">
        <f>F60-(F41-G41)</f>
        <v>71289</v>
      </c>
      <c r="H60" s="193">
        <f ca="1">G60+H33+H99</f>
        <v>117282.38700060012</v>
      </c>
      <c r="I60" s="193">
        <f ca="1">H60+I33+I99</f>
        <v>168109.01923634193</v>
      </c>
      <c r="J60" s="193">
        <f ca="1">I60+J33+J99</f>
        <v>224467.06077387059</v>
      </c>
      <c r="K60" s="193">
        <f ca="1">J60+K33+K99</f>
        <v>286933.13427584013</v>
      </c>
      <c r="L60" s="193">
        <f ca="1">K60+L33+L99</f>
        <v>356141.89246867516</v>
      </c>
      <c r="M60" s="172"/>
      <c r="N60" s="173"/>
    </row>
    <row r="61" spans="1:14" ht="14.05" customHeight="1" x14ac:dyDescent="0.55000000000000004">
      <c r="A61" s="172" t="s">
        <v>320</v>
      </c>
      <c r="B61" s="172"/>
      <c r="C61" s="203"/>
      <c r="D61" s="203">
        <f>'Bce Sheet'!B43</f>
        <v>-46</v>
      </c>
      <c r="E61" s="203">
        <f>'Bce Sheet'!C43</f>
        <v>443</v>
      </c>
      <c r="F61" s="203">
        <f>'Bce Sheet'!D43</f>
        <v>499</v>
      </c>
      <c r="G61" s="203">
        <f>F61</f>
        <v>499</v>
      </c>
      <c r="H61" s="227">
        <f>G61+H100+H84</f>
        <v>2564.9056</v>
      </c>
      <c r="I61" s="227">
        <f>H61+I100+I84</f>
        <v>4837.4017600000006</v>
      </c>
      <c r="J61" s="227">
        <f>I61+J100+J84</f>
        <v>7337.1475360000013</v>
      </c>
      <c r="K61" s="227">
        <f>J61+K100+K84</f>
        <v>10086.867889600002</v>
      </c>
      <c r="L61" s="227">
        <f>K61+L100+L84</f>
        <v>13111.560278560002</v>
      </c>
      <c r="M61" s="172"/>
      <c r="N61" s="173"/>
    </row>
    <row r="62" spans="1:14" ht="14.05" customHeight="1" x14ac:dyDescent="0.55000000000000004">
      <c r="A62" s="186" t="s">
        <v>159</v>
      </c>
      <c r="B62" s="186"/>
      <c r="C62" s="206">
        <v>31640</v>
      </c>
      <c r="D62" s="206">
        <f t="shared" ref="D62:L62" si="23">SUM(D59:D61)</f>
        <v>47791</v>
      </c>
      <c r="E62" s="206">
        <f t="shared" si="23"/>
        <v>76615</v>
      </c>
      <c r="F62" s="206">
        <f t="shared" si="23"/>
        <v>118210</v>
      </c>
      <c r="G62" s="206">
        <f t="shared" si="23"/>
        <v>88210</v>
      </c>
      <c r="H62" s="206">
        <f t="shared" ca="1" si="23"/>
        <v>136269.29260060011</v>
      </c>
      <c r="I62" s="206">
        <f t="shared" ca="1" si="23"/>
        <v>189368.42099634194</v>
      </c>
      <c r="J62" s="206">
        <f t="shared" ca="1" si="23"/>
        <v>248226.20830987059</v>
      </c>
      <c r="K62" s="206">
        <f t="shared" ca="1" si="23"/>
        <v>313442.00216544012</v>
      </c>
      <c r="L62" s="206">
        <f t="shared" ca="1" si="23"/>
        <v>385675.45274723513</v>
      </c>
      <c r="M62" s="172"/>
      <c r="N62" s="173"/>
    </row>
    <row r="63" spans="1:14" ht="4.8" customHeight="1" x14ac:dyDescent="0.55000000000000004">
      <c r="A63" s="172"/>
      <c r="B63" s="172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172"/>
      <c r="N63" s="173"/>
    </row>
    <row r="64" spans="1:14" ht="14.05" customHeight="1" x14ac:dyDescent="0.55000000000000004">
      <c r="A64" s="186" t="s">
        <v>319</v>
      </c>
      <c r="B64" s="186"/>
      <c r="C64" s="206">
        <f>C57+C62</f>
        <v>47501</v>
      </c>
      <c r="D64" s="206">
        <f>D57+D62</f>
        <v>75183</v>
      </c>
      <c r="E64" s="206">
        <f>E57+E62</f>
        <v>116371</v>
      </c>
      <c r="F64" s="206">
        <f>F57+F62</f>
        <v>176064</v>
      </c>
      <c r="G64" s="206">
        <f>G57+G62</f>
        <v>146064</v>
      </c>
      <c r="H64" s="206">
        <f ca="1">H62+H57</f>
        <v>199531.94850769691</v>
      </c>
      <c r="I64" s="206">
        <f ca="1">I62+I57</f>
        <v>258001.97827634207</v>
      </c>
      <c r="J64" s="206">
        <f ca="1">J62+J57</f>
        <v>322777.05333558435</v>
      </c>
      <c r="K64" s="206">
        <f ca="1">K62+K57</f>
        <v>394501.75020580052</v>
      </c>
      <c r="L64" s="206">
        <f ca="1">L62+L57</f>
        <v>473920.14775761729</v>
      </c>
      <c r="M64" s="172"/>
      <c r="N64" s="173"/>
    </row>
    <row r="65" spans="1:14" x14ac:dyDescent="0.55000000000000004">
      <c r="A65" s="248" t="s">
        <v>342</v>
      </c>
      <c r="B65" s="172"/>
      <c r="C65" s="226">
        <f t="shared" ref="C65:E65" si="24">C50-C64</f>
        <v>0</v>
      </c>
      <c r="D65" s="226">
        <f t="shared" si="24"/>
        <v>0</v>
      </c>
      <c r="E65" s="226">
        <f t="shared" si="24"/>
        <v>0</v>
      </c>
      <c r="F65" s="226">
        <f>F50-F64</f>
        <v>0</v>
      </c>
      <c r="G65" s="226">
        <f t="shared" ref="G65:L65" si="25">G50-G64</f>
        <v>0</v>
      </c>
      <c r="H65" s="226">
        <f t="shared" ca="1" si="25"/>
        <v>0</v>
      </c>
      <c r="I65" s="226">
        <f t="shared" ca="1" si="25"/>
        <v>0</v>
      </c>
      <c r="J65" s="226">
        <f t="shared" ca="1" si="25"/>
        <v>0</v>
      </c>
      <c r="K65" s="226">
        <f t="shared" ca="1" si="25"/>
        <v>0</v>
      </c>
      <c r="L65" s="226">
        <f t="shared" ca="1" si="25"/>
        <v>0</v>
      </c>
      <c r="M65" s="172"/>
      <c r="N65" s="173"/>
    </row>
    <row r="66" spans="1:14" s="97" customFormat="1" x14ac:dyDescent="0.55000000000000004">
      <c r="A66" s="179" t="s">
        <v>341</v>
      </c>
      <c r="B66" s="172"/>
      <c r="C66" s="172"/>
      <c r="D66" s="172"/>
      <c r="E66" s="172"/>
      <c r="F66" s="172"/>
      <c r="H66" s="181"/>
      <c r="I66" s="245"/>
      <c r="J66" s="245"/>
      <c r="K66" s="245"/>
      <c r="L66" s="245"/>
      <c r="M66" s="172"/>
      <c r="N66" s="173"/>
    </row>
    <row r="67" spans="1:14" s="97" customFormat="1" ht="14.05" customHeight="1" x14ac:dyDescent="0.55000000000000004">
      <c r="A67" s="179"/>
      <c r="B67" s="172"/>
      <c r="C67" s="172"/>
      <c r="D67" s="172"/>
      <c r="E67" s="172"/>
      <c r="F67" s="172"/>
      <c r="H67" s="181"/>
      <c r="I67" s="245"/>
      <c r="J67" s="245"/>
      <c r="K67" s="245"/>
      <c r="L67" s="245"/>
      <c r="M67" s="172"/>
      <c r="N67" s="173"/>
    </row>
    <row r="68" spans="1:14" ht="14.05" customHeight="1" x14ac:dyDescent="0.55000000000000004">
      <c r="A68" s="186" t="s">
        <v>157</v>
      </c>
      <c r="B68" s="172"/>
      <c r="C68" s="172"/>
      <c r="D68" s="172"/>
      <c r="E68" s="172"/>
      <c r="M68" s="172"/>
      <c r="N68" s="173"/>
    </row>
    <row r="69" spans="1:14" ht="14.05" customHeight="1" x14ac:dyDescent="0.55000000000000004">
      <c r="A69" s="172" t="s">
        <v>344</v>
      </c>
      <c r="B69" s="172"/>
      <c r="C69" s="172"/>
      <c r="D69" s="174">
        <f>D33/((D62+C62)/2)</f>
        <v>0.3528345356347018</v>
      </c>
      <c r="E69" s="174">
        <f>E33/((E62+D62)/2)</f>
        <v>0.41673231194636917</v>
      </c>
      <c r="F69" s="174">
        <f>F33/((F62+E62)/2)</f>
        <v>0.42841524445014756</v>
      </c>
      <c r="G69" s="174">
        <f>G33/((G62+E62)/2)</f>
        <v>0.50639162748369482</v>
      </c>
      <c r="H69" s="174">
        <f ca="1">H33/((H62+G62)/2)</f>
        <v>0.40977843851666851</v>
      </c>
      <c r="I69" s="174">
        <f ca="1">I33/((I62+H62)/2)</f>
        <v>0.31216674306129322</v>
      </c>
      <c r="J69" s="174">
        <f ca="1">J33/((J62+I62)/2)</f>
        <v>0.25758104767822176</v>
      </c>
      <c r="K69" s="174">
        <f ca="1">K33/((K62+J62)/2)</f>
        <v>0.22243051088509272</v>
      </c>
      <c r="L69" s="174">
        <f ca="1">L33/((L62+K62)/2)</f>
        <v>0.19798892934658513</v>
      </c>
      <c r="M69" s="172"/>
      <c r="N69" s="173"/>
    </row>
    <row r="70" spans="1:14" ht="14.05" customHeight="1" x14ac:dyDescent="0.55000000000000004">
      <c r="A70" s="172" t="s">
        <v>343</v>
      </c>
      <c r="B70" s="172"/>
      <c r="C70" s="172"/>
      <c r="D70" s="172"/>
      <c r="E70" s="172"/>
      <c r="F70" s="174">
        <f t="shared" ref="F70:L70" si="26">F19/F50</f>
        <v>0.88892675390766995</v>
      </c>
      <c r="G70" s="174">
        <f t="shared" si="26"/>
        <v>1.0715029028371126</v>
      </c>
      <c r="H70" s="174">
        <f t="shared" ca="1" si="26"/>
        <v>0.86281320504099124</v>
      </c>
      <c r="I70" s="174">
        <f t="shared" ca="1" si="26"/>
        <v>0.73400475944088939</v>
      </c>
      <c r="J70" s="174">
        <f t="shared" ca="1" si="26"/>
        <v>0.64537471250604184</v>
      </c>
      <c r="K70" s="174">
        <f t="shared" ca="1" si="26"/>
        <v>0.58084244919182837</v>
      </c>
      <c r="L70" s="174">
        <f t="shared" ca="1" si="26"/>
        <v>0.53185689672116021</v>
      </c>
      <c r="M70" s="172"/>
      <c r="N70" s="173"/>
    </row>
    <row r="71" spans="1:14" ht="14.05" customHeight="1" x14ac:dyDescent="0.55000000000000004">
      <c r="A71" s="172" t="s">
        <v>154</v>
      </c>
      <c r="B71" s="172"/>
      <c r="C71" s="172"/>
      <c r="D71" s="172"/>
      <c r="E71" s="172"/>
      <c r="F71" s="174">
        <f t="shared" ref="F71:L71" si="27">F50/F62</f>
        <v>1.4894171389899331</v>
      </c>
      <c r="G71" s="174">
        <f t="shared" si="27"/>
        <v>1.6558666817821108</v>
      </c>
      <c r="H71" s="174">
        <f t="shared" ca="1" si="27"/>
        <v>1.4642473348160483</v>
      </c>
      <c r="I71" s="174">
        <f t="shared" ca="1" si="27"/>
        <v>1.3624340157608745</v>
      </c>
      <c r="J71" s="174">
        <f t="shared" ca="1" si="27"/>
        <v>1.3003343020598732</v>
      </c>
      <c r="K71" s="174">
        <f t="shared" ca="1" si="27"/>
        <v>1.2586116330305204</v>
      </c>
      <c r="L71" s="174">
        <f t="shared" ca="1" si="27"/>
        <v>1.2288055783218752</v>
      </c>
      <c r="M71" s="172"/>
      <c r="N71" s="173"/>
    </row>
    <row r="72" spans="1:14" ht="14.05" customHeight="1" x14ac:dyDescent="0.55000000000000004">
      <c r="A72" s="172" t="s">
        <v>153</v>
      </c>
      <c r="B72" s="172"/>
      <c r="C72" s="172"/>
      <c r="D72" s="172"/>
      <c r="E72" s="172"/>
      <c r="F72" s="187">
        <f t="shared" ref="F72:L72" si="28">F33/F19</f>
        <v>0.26665090602397323</v>
      </c>
      <c r="G72" s="187">
        <f t="shared" si="28"/>
        <v>0.26665090602397323</v>
      </c>
      <c r="H72" s="187">
        <f t="shared" ca="1" si="28"/>
        <v>0.26715675876342143</v>
      </c>
      <c r="I72" s="187">
        <f t="shared" ca="1" si="28"/>
        <v>0.26839191087077635</v>
      </c>
      <c r="J72" s="187">
        <f t="shared" ca="1" si="28"/>
        <v>0.27054611110595739</v>
      </c>
      <c r="K72" s="187">
        <f t="shared" ca="1" si="28"/>
        <v>0.27260695111859273</v>
      </c>
      <c r="L72" s="187">
        <f t="shared" ca="1" si="28"/>
        <v>0.27457506136667942</v>
      </c>
      <c r="M72" s="172"/>
      <c r="N72" s="173"/>
    </row>
    <row r="73" spans="1:14" ht="14.05" customHeight="1" x14ac:dyDescent="0.55000000000000004">
      <c r="A73" s="172"/>
      <c r="B73" s="172"/>
      <c r="C73" s="172"/>
      <c r="D73" s="172"/>
      <c r="E73" s="172"/>
      <c r="F73" s="172"/>
      <c r="H73" s="172"/>
      <c r="I73" s="172"/>
      <c r="J73" s="172"/>
      <c r="K73" s="172"/>
      <c r="L73" s="172"/>
      <c r="M73" s="172"/>
      <c r="N73" s="188"/>
    </row>
    <row r="74" spans="1:14" x14ac:dyDescent="0.55000000000000004">
      <c r="M74" s="172"/>
      <c r="N74" s="188"/>
    </row>
    <row r="75" spans="1:14" x14ac:dyDescent="0.55000000000000004">
      <c r="M75" s="172"/>
    </row>
    <row r="78" spans="1:14" ht="14.7" thickBot="1" x14ac:dyDescent="0.6">
      <c r="D78" s="169" t="s">
        <v>255</v>
      </c>
      <c r="E78" s="169"/>
      <c r="F78" s="169"/>
      <c r="G78" s="213" t="s">
        <v>290</v>
      </c>
      <c r="H78" s="170" t="s">
        <v>257</v>
      </c>
      <c r="I78" s="170"/>
      <c r="J78" s="170"/>
      <c r="K78" s="170"/>
      <c r="L78" s="170"/>
    </row>
    <row r="79" spans="1:14" ht="14.7" thickTop="1" x14ac:dyDescent="0.55000000000000004">
      <c r="A79" s="175"/>
      <c r="D79" s="176">
        <v>2010</v>
      </c>
      <c r="E79" s="176">
        <v>2011</v>
      </c>
      <c r="F79" s="176">
        <v>2012</v>
      </c>
      <c r="G79" s="176" t="s">
        <v>191</v>
      </c>
      <c r="H79" s="177">
        <v>2013</v>
      </c>
      <c r="I79" s="177">
        <v>2014</v>
      </c>
      <c r="J79" s="177">
        <v>2015</v>
      </c>
      <c r="K79" s="177">
        <v>2016</v>
      </c>
      <c r="L79" s="177">
        <v>2017</v>
      </c>
    </row>
    <row r="80" spans="1:14" s="194" customFormat="1" ht="14.05" customHeight="1" x14ac:dyDescent="0.5">
      <c r="A80" s="189" t="s">
        <v>58</v>
      </c>
      <c r="D80" s="206">
        <f t="shared" ref="D80:L80" si="29">D33</f>
        <v>14013</v>
      </c>
      <c r="E80" s="206">
        <f t="shared" si="29"/>
        <v>25922</v>
      </c>
      <c r="F80" s="206">
        <f t="shared" si="29"/>
        <v>41733</v>
      </c>
      <c r="G80" s="206">
        <f t="shared" si="29"/>
        <v>41733</v>
      </c>
      <c r="H80" s="206">
        <f t="shared" ca="1" si="29"/>
        <v>45993.387000600123</v>
      </c>
      <c r="I80" s="206">
        <f t="shared" ca="1" si="29"/>
        <v>50826.632235741796</v>
      </c>
      <c r="J80" s="206">
        <f t="shared" ca="1" si="29"/>
        <v>56358.041537528654</v>
      </c>
      <c r="K80" s="206">
        <f t="shared" ca="1" si="29"/>
        <v>62466.073501969571</v>
      </c>
      <c r="L80" s="206">
        <f t="shared" ca="1" si="29"/>
        <v>69208.758192835041</v>
      </c>
      <c r="M80" s="266" t="s">
        <v>362</v>
      </c>
    </row>
    <row r="81" spans="1:12" s="194" customFormat="1" ht="14.05" customHeight="1" x14ac:dyDescent="0.5">
      <c r="A81" s="190" t="s">
        <v>306</v>
      </c>
      <c r="D81" s="215">
        <f>'Cash Flow'!B4</f>
        <v>958</v>
      </c>
      <c r="E81" s="215">
        <f>'Cash Flow'!C4</f>
        <v>1622</v>
      </c>
      <c r="F81" s="215">
        <f>'Cash Flow'!D4</f>
        <v>2672</v>
      </c>
      <c r="G81" s="215">
        <f t="shared" ref="G81:L81" si="30">G129</f>
        <v>2672</v>
      </c>
      <c r="H81" s="215">
        <f t="shared" si="30"/>
        <v>3298.816742081448</v>
      </c>
      <c r="I81" s="215">
        <f t="shared" si="30"/>
        <v>4615.1319004524885</v>
      </c>
      <c r="J81" s="215">
        <f t="shared" si="30"/>
        <v>6063.0785746606343</v>
      </c>
      <c r="K81" s="215">
        <f t="shared" si="30"/>
        <v>7655.8199162895935</v>
      </c>
      <c r="L81" s="215">
        <f t="shared" si="30"/>
        <v>9407.8353920814498</v>
      </c>
    </row>
    <row r="82" spans="1:12" s="194" customFormat="1" ht="14.05" customHeight="1" x14ac:dyDescent="0.5">
      <c r="A82" s="190" t="s">
        <v>307</v>
      </c>
      <c r="D82" s="203">
        <f>'Cash Flow'!B5</f>
        <v>69</v>
      </c>
      <c r="E82" s="203">
        <f>'Cash Flow'!C5</f>
        <v>192</v>
      </c>
      <c r="F82" s="203">
        <f>'Cash Flow'!D5</f>
        <v>605</v>
      </c>
      <c r="G82" s="203">
        <f t="shared" ref="G82:L82" si="31">G147</f>
        <v>605</v>
      </c>
      <c r="H82" s="203">
        <f t="shared" si="31"/>
        <v>742.9495347512343</v>
      </c>
      <c r="I82" s="203">
        <f t="shared" si="31"/>
        <v>953.84355772882645</v>
      </c>
      <c r="J82" s="203">
        <f t="shared" si="31"/>
        <v>1131.4269830041778</v>
      </c>
      <c r="K82" s="203">
        <f t="shared" si="31"/>
        <v>1314.1687508070643</v>
      </c>
      <c r="L82" s="203">
        <f t="shared" si="31"/>
        <v>1386.6846953902395</v>
      </c>
    </row>
    <row r="83" spans="1:12" s="194" customFormat="1" ht="14.05" customHeight="1" x14ac:dyDescent="0.5">
      <c r="A83" s="190" t="s">
        <v>323</v>
      </c>
      <c r="D83" s="193">
        <f t="shared" ref="D83:L83" si="32">D81+D82</f>
        <v>1027</v>
      </c>
      <c r="E83" s="193">
        <f t="shared" si="32"/>
        <v>1814</v>
      </c>
      <c r="F83" s="193">
        <f t="shared" si="32"/>
        <v>3277</v>
      </c>
      <c r="G83" s="193">
        <f t="shared" si="32"/>
        <v>3277</v>
      </c>
      <c r="H83" s="193">
        <f t="shared" si="32"/>
        <v>4041.7662768326823</v>
      </c>
      <c r="I83" s="193">
        <f t="shared" si="32"/>
        <v>5568.9754581813149</v>
      </c>
      <c r="J83" s="193">
        <f t="shared" si="32"/>
        <v>7194.5055576648119</v>
      </c>
      <c r="K83" s="193">
        <f t="shared" si="32"/>
        <v>8969.9886670966571</v>
      </c>
      <c r="L83" s="193">
        <f t="shared" si="32"/>
        <v>10794.52008747169</v>
      </c>
    </row>
    <row r="84" spans="1:12" s="194" customFormat="1" ht="14.05" customHeight="1" x14ac:dyDescent="0.5">
      <c r="A84" s="190" t="s">
        <v>74</v>
      </c>
      <c r="D84" s="193">
        <f>'Cash Flow'!B7</f>
        <v>879</v>
      </c>
      <c r="E84" s="193">
        <f>'Cash Flow'!C7</f>
        <v>1168</v>
      </c>
      <c r="F84" s="193">
        <f>'Cash Flow'!D7</f>
        <v>1740</v>
      </c>
      <c r="G84" s="193">
        <f>F84</f>
        <v>1740</v>
      </c>
      <c r="H84" s="193">
        <f>H15*H19</f>
        <v>2065.9056</v>
      </c>
      <c r="I84" s="193">
        <f>I15*I19</f>
        <v>2272.4961600000001</v>
      </c>
      <c r="J84" s="193">
        <f>J15*J19</f>
        <v>2499.7457760000007</v>
      </c>
      <c r="K84" s="193">
        <f>K15*K19</f>
        <v>2749.7203536000006</v>
      </c>
      <c r="L84" s="193">
        <f>L15*L19</f>
        <v>3024.6923889600012</v>
      </c>
    </row>
    <row r="85" spans="1:12" s="194" customFormat="1" ht="14.05" customHeight="1" x14ac:dyDescent="0.5">
      <c r="A85" s="190" t="s">
        <v>324</v>
      </c>
      <c r="D85" s="198">
        <f>D166</f>
        <v>951</v>
      </c>
      <c r="E85" s="198">
        <f>E166</f>
        <v>1099</v>
      </c>
      <c r="F85" s="198">
        <f>F166</f>
        <v>-447</v>
      </c>
      <c r="G85" s="193">
        <f>F85</f>
        <v>-447</v>
      </c>
      <c r="H85" s="193">
        <f>H166</f>
        <v>272.06745109681287</v>
      </c>
      <c r="I85" s="193">
        <f>I166</f>
        <v>-84.057472696702462</v>
      </c>
      <c r="J85" s="193">
        <f>J166</f>
        <v>-83.166984446368588</v>
      </c>
      <c r="K85" s="193">
        <f>K166</f>
        <v>-91.597188529405685</v>
      </c>
      <c r="L85" s="193">
        <f>L166</f>
        <v>-75.603253471821517</v>
      </c>
    </row>
    <row r="86" spans="1:12" s="194" customFormat="1" ht="14.05" customHeight="1" x14ac:dyDescent="0.5">
      <c r="A86" s="190" t="s">
        <v>335</v>
      </c>
      <c r="D86" s="198">
        <f>C43-D43</f>
        <v>-11021</v>
      </c>
      <c r="E86" s="198">
        <f>D43-E43</f>
        <v>-32005</v>
      </c>
      <c r="F86" s="198">
        <f>E43-F43</f>
        <v>-38750</v>
      </c>
      <c r="G86" s="236">
        <f>F86+(F41-G41)+(G42-F42)</f>
        <v>584</v>
      </c>
      <c r="H86" s="236">
        <f ca="1">G43-H43</f>
        <v>-41629.287052869768</v>
      </c>
      <c r="I86" s="236">
        <f ca="1">H43-I43</f>
        <v>-46852.65356900738</v>
      </c>
      <c r="J86" s="236">
        <f ca="1">I43-J43</f>
        <v>-53055.790539972833</v>
      </c>
      <c r="K86" s="236">
        <f ca="1">J43-K43</f>
        <v>-59889.623939085111</v>
      </c>
      <c r="L86" s="236">
        <f ca="1">K43-L43</f>
        <v>-67303.5301332167</v>
      </c>
    </row>
    <row r="87" spans="1:12" s="194" customFormat="1" ht="14.05" customHeight="1" x14ac:dyDescent="0.5">
      <c r="A87" s="190" t="s">
        <v>81</v>
      </c>
      <c r="D87" s="193">
        <f>'Cash Flow'!B15</f>
        <v>-2005</v>
      </c>
      <c r="E87" s="193">
        <f>'Cash Flow'!C15</f>
        <v>-4260</v>
      </c>
      <c r="F87" s="193">
        <f>'Cash Flow'!D15</f>
        <v>-8295</v>
      </c>
      <c r="G87" s="193">
        <f>F87</f>
        <v>-8295</v>
      </c>
      <c r="H87" s="193">
        <f>-H121</f>
        <v>-9124.5</v>
      </c>
      <c r="I87" s="193">
        <f>-I121</f>
        <v>-10036.950000000001</v>
      </c>
      <c r="J87" s="193">
        <f>-J121</f>
        <v>-11040.645000000002</v>
      </c>
      <c r="K87" s="193">
        <f>-K121</f>
        <v>-12144.709500000003</v>
      </c>
      <c r="L87" s="193">
        <f>-L121</f>
        <v>-13359.180450000003</v>
      </c>
    </row>
    <row r="88" spans="1:12" s="194" customFormat="1" ht="14.05" customHeight="1" x14ac:dyDescent="0.5">
      <c r="A88" s="190" t="s">
        <v>334</v>
      </c>
      <c r="D88" s="193">
        <f>'Cash Flow'!B18</f>
        <v>-116</v>
      </c>
      <c r="E88" s="193">
        <f>'Cash Flow'!C18</f>
        <v>-3192</v>
      </c>
      <c r="F88" s="193">
        <f>'Cash Flow'!D18</f>
        <v>-1107</v>
      </c>
      <c r="G88" s="193">
        <f>F88</f>
        <v>-1107</v>
      </c>
      <c r="H88" s="193">
        <f>-H139</f>
        <v>-1217.7</v>
      </c>
      <c r="I88" s="193">
        <f>-I139</f>
        <v>-1339.4700000000003</v>
      </c>
      <c r="J88" s="193">
        <f>-J139</f>
        <v>-1473.4170000000004</v>
      </c>
      <c r="K88" s="193">
        <f>-K139</f>
        <v>-1620.7587000000005</v>
      </c>
      <c r="L88" s="193">
        <f>-L139</f>
        <v>-1782.8345700000007</v>
      </c>
    </row>
    <row r="89" spans="1:12" s="194" customFormat="1" ht="14.05" customHeight="1" x14ac:dyDescent="0.5">
      <c r="A89" s="190" t="s">
        <v>82</v>
      </c>
      <c r="D89" s="193">
        <f>'Cash Flow'!B16</f>
        <v>-638</v>
      </c>
      <c r="E89" s="193">
        <f>'Cash Flow'!C16</f>
        <v>-244</v>
      </c>
      <c r="F89" s="193">
        <f>'Cash Flow'!D16</f>
        <v>-350</v>
      </c>
      <c r="G89" s="193">
        <f>F89</f>
        <v>-350</v>
      </c>
      <c r="H89" s="269">
        <v>0</v>
      </c>
      <c r="I89" s="269">
        <v>0</v>
      </c>
      <c r="J89" s="269">
        <v>0</v>
      </c>
      <c r="K89" s="269">
        <v>0</v>
      </c>
      <c r="L89" s="269">
        <v>0</v>
      </c>
    </row>
    <row r="90" spans="1:12" s="194" customFormat="1" ht="14.05" customHeight="1" x14ac:dyDescent="0.5">
      <c r="A90" s="190" t="s">
        <v>322</v>
      </c>
      <c r="D90" s="198">
        <f>D92-D80-SUM(D83:D89)</f>
        <v>1651</v>
      </c>
      <c r="E90" s="198">
        <f>E92-E80-SUM(E83:E89)</f>
        <v>6808</v>
      </c>
      <c r="F90" s="198">
        <f>F92-F80-SUM(F83:F89)</f>
        <v>4828</v>
      </c>
      <c r="G90" s="193">
        <f>F90</f>
        <v>4828</v>
      </c>
      <c r="H90" s="198">
        <f>(G46-H46)+(G49-H49)+(H54-G54)+(H55-G55)+(H56-G56)</f>
        <v>1427.6000000000031</v>
      </c>
      <c r="I90" s="198">
        <f>(H46-I46)+(H49-I49)+(I54-H54)+(I55-H55)+(I56-H56)</f>
        <v>1570.3599999999988</v>
      </c>
      <c r="J90" s="198">
        <f>(I46-J46)+(I49-J49)+(J54-I54)+(J55-I55)+(J56-I56)</f>
        <v>1727.3959999999997</v>
      </c>
      <c r="K90" s="198">
        <f>(J46-K46)+(J49-K49)+(K54-J54)+(K55-J55)+(K56-J56)</f>
        <v>1900.1356000000051</v>
      </c>
      <c r="L90" s="198">
        <f>(K46-L46)+(K49-L49)+(L54-K54)+(L55-K55)+(L56-K56)</f>
        <v>2090.1491599999972</v>
      </c>
    </row>
    <row r="91" spans="1:12" s="194" customFormat="1" ht="3.6" customHeight="1" x14ac:dyDescent="0.5">
      <c r="A91" s="190"/>
      <c r="D91" s="191"/>
      <c r="E91" s="191"/>
      <c r="F91" s="191"/>
    </row>
    <row r="92" spans="1:12" s="194" customFormat="1" ht="12.9" x14ac:dyDescent="0.5">
      <c r="A92" s="189" t="s">
        <v>80</v>
      </c>
      <c r="D92" s="231">
        <f>'Cash Flow'!B14+'Cash Flow'!B22</f>
        <v>4741</v>
      </c>
      <c r="E92" s="231">
        <f>'Cash Flow'!C14+'Cash Flow'!C22</f>
        <v>-2890</v>
      </c>
      <c r="F92" s="231">
        <f>'Cash Flow'!D14+'Cash Flow'!D22</f>
        <v>2629</v>
      </c>
      <c r="G92" s="231">
        <f>SUM(G80,G83:G90)</f>
        <v>41963</v>
      </c>
      <c r="H92" s="231">
        <f ca="1">H80+H83+H84+H85+H86+H87+H88+H89+H90</f>
        <v>1829.2392756598508</v>
      </c>
      <c r="I92" s="231">
        <f ca="1">I80+I83+I84+I85+I86+I87+I88+I89+I90</f>
        <v>1925.3328122190314</v>
      </c>
      <c r="J92" s="231">
        <f ca="1">J80+J83+J84+J85+J86+J87+J88+J89+J90</f>
        <v>2126.6693467742534</v>
      </c>
      <c r="K92" s="231">
        <f ca="1">K80+K83+K84+K85+K86+K87+K88+K89+K90</f>
        <v>2339.2287950517166</v>
      </c>
      <c r="L92" s="231">
        <f ca="1">L80+L83+L84+L85+L86+L87+L88+L89+L90</f>
        <v>2596.9714225781918</v>
      </c>
    </row>
    <row r="93" spans="1:12" s="194" customFormat="1" ht="12.9" x14ac:dyDescent="0.5">
      <c r="A93" s="190" t="s">
        <v>89</v>
      </c>
      <c r="D93" s="193">
        <v>0</v>
      </c>
      <c r="E93" s="193">
        <v>0</v>
      </c>
      <c r="F93" s="193">
        <v>0</v>
      </c>
      <c r="G93" s="193">
        <f>F93</f>
        <v>0</v>
      </c>
      <c r="H93" s="193">
        <v>0</v>
      </c>
      <c r="I93" s="193">
        <v>0</v>
      </c>
      <c r="J93" s="193">
        <v>0</v>
      </c>
      <c r="K93" s="193">
        <v>0</v>
      </c>
      <c r="L93" s="193">
        <v>0</v>
      </c>
    </row>
    <row r="94" spans="1:12" s="194" customFormat="1" ht="12.9" x14ac:dyDescent="0.5">
      <c r="A94" s="190" t="s">
        <v>90</v>
      </c>
      <c r="D94" s="193">
        <v>0</v>
      </c>
      <c r="E94" s="193">
        <v>0</v>
      </c>
      <c r="F94" s="193">
        <v>0</v>
      </c>
      <c r="G94" s="193">
        <f>F94</f>
        <v>0</v>
      </c>
      <c r="H94" s="193">
        <v>0</v>
      </c>
      <c r="I94" s="193">
        <v>0</v>
      </c>
      <c r="J94" s="193">
        <v>0</v>
      </c>
      <c r="K94" s="193">
        <v>0</v>
      </c>
      <c r="L94" s="193">
        <v>0</v>
      </c>
    </row>
    <row r="95" spans="1:12" s="194" customFormat="1" ht="12.9" x14ac:dyDescent="0.5">
      <c r="A95" s="190" t="s">
        <v>92</v>
      </c>
      <c r="D95" s="193">
        <v>0</v>
      </c>
      <c r="E95" s="193">
        <v>0</v>
      </c>
      <c r="F95" s="193">
        <v>0</v>
      </c>
      <c r="G95" s="193">
        <f>F95</f>
        <v>0</v>
      </c>
      <c r="H95" s="193">
        <v>0</v>
      </c>
      <c r="I95" s="193">
        <v>0</v>
      </c>
      <c r="J95" s="193">
        <v>0</v>
      </c>
      <c r="K95" s="193">
        <v>0</v>
      </c>
      <c r="L95" s="193">
        <v>0</v>
      </c>
    </row>
    <row r="96" spans="1:12" s="194" customFormat="1" ht="12.9" x14ac:dyDescent="0.5">
      <c r="A96" s="190" t="s">
        <v>93</v>
      </c>
      <c r="D96" s="193">
        <v>0</v>
      </c>
      <c r="E96" s="193">
        <v>0</v>
      </c>
      <c r="F96" s="193">
        <v>0</v>
      </c>
      <c r="G96" s="193">
        <f>F96</f>
        <v>0</v>
      </c>
      <c r="H96" s="193">
        <v>0</v>
      </c>
      <c r="I96" s="193">
        <v>0</v>
      </c>
      <c r="J96" s="193">
        <v>0</v>
      </c>
      <c r="K96" s="193">
        <v>0</v>
      </c>
      <c r="L96" s="193">
        <v>0</v>
      </c>
    </row>
    <row r="97" spans="1:12" s="194" customFormat="1" ht="12.9" x14ac:dyDescent="0.5">
      <c r="A97" s="190" t="s">
        <v>95</v>
      </c>
      <c r="D97" s="193">
        <f>'Cash Flow'!B29</f>
        <v>912</v>
      </c>
      <c r="E97" s="193">
        <f>'Cash Flow'!C29</f>
        <v>831</v>
      </c>
      <c r="F97" s="193">
        <f>'Cash Flow'!D29</f>
        <v>665</v>
      </c>
      <c r="G97" s="193">
        <f>F97</f>
        <v>665</v>
      </c>
      <c r="H97" s="193">
        <v>0</v>
      </c>
      <c r="I97" s="193">
        <f t="shared" ref="I97:L99" si="33">H97</f>
        <v>0</v>
      </c>
      <c r="J97" s="193">
        <f t="shared" si="33"/>
        <v>0</v>
      </c>
      <c r="K97" s="193">
        <f t="shared" si="33"/>
        <v>0</v>
      </c>
      <c r="L97" s="193">
        <f t="shared" si="33"/>
        <v>0</v>
      </c>
    </row>
    <row r="98" spans="1:12" s="194" customFormat="1" ht="12.9" x14ac:dyDescent="0.5">
      <c r="A98" s="190" t="s">
        <v>96</v>
      </c>
      <c r="D98" s="193" t="s">
        <v>9</v>
      </c>
      <c r="E98" s="193" t="s">
        <v>9</v>
      </c>
      <c r="F98" s="193" t="s">
        <v>9</v>
      </c>
      <c r="G98" s="236">
        <f>-(F41-G41)</f>
        <v>-30000</v>
      </c>
      <c r="H98" s="237">
        <v>0</v>
      </c>
      <c r="I98" s="237">
        <f t="shared" si="33"/>
        <v>0</v>
      </c>
      <c r="J98" s="237">
        <f t="shared" si="33"/>
        <v>0</v>
      </c>
      <c r="K98" s="237">
        <f t="shared" si="33"/>
        <v>0</v>
      </c>
      <c r="L98" s="237">
        <f t="shared" si="33"/>
        <v>0</v>
      </c>
    </row>
    <row r="99" spans="1:12" s="194" customFormat="1" ht="12.9" x14ac:dyDescent="0.5">
      <c r="A99" s="190" t="s">
        <v>97</v>
      </c>
      <c r="D99" s="193" t="s">
        <v>9</v>
      </c>
      <c r="E99" s="193" t="s">
        <v>9</v>
      </c>
      <c r="F99" s="193">
        <f>'Cash Flow'!D31</f>
        <v>-2488</v>
      </c>
      <c r="G99" s="193">
        <f>F99</f>
        <v>-2488</v>
      </c>
      <c r="H99" s="237">
        <v>0</v>
      </c>
      <c r="I99" s="237">
        <f t="shared" si="33"/>
        <v>0</v>
      </c>
      <c r="J99" s="237">
        <f t="shared" si="33"/>
        <v>0</v>
      </c>
      <c r="K99" s="237">
        <f t="shared" si="33"/>
        <v>0</v>
      </c>
      <c r="L99" s="237">
        <f t="shared" si="33"/>
        <v>0</v>
      </c>
    </row>
    <row r="100" spans="1:12" s="194" customFormat="1" ht="12.9" x14ac:dyDescent="0.5">
      <c r="A100" s="190" t="s">
        <v>98</v>
      </c>
      <c r="D100" s="203">
        <f>'Cash Flow'!B32</f>
        <v>345</v>
      </c>
      <c r="E100" s="203">
        <f>'Cash Flow'!C32</f>
        <v>613</v>
      </c>
      <c r="F100" s="203">
        <f>'Cash Flow'!D32</f>
        <v>125</v>
      </c>
      <c r="G100" s="203">
        <f>F100</f>
        <v>125</v>
      </c>
      <c r="H100" s="203">
        <v>0</v>
      </c>
      <c r="I100" s="203">
        <v>0</v>
      </c>
      <c r="J100" s="203">
        <v>0</v>
      </c>
      <c r="K100" s="203">
        <v>0</v>
      </c>
      <c r="L100" s="203">
        <v>0</v>
      </c>
    </row>
    <row r="101" spans="1:12" s="194" customFormat="1" ht="12.9" x14ac:dyDescent="0.5">
      <c r="A101" s="189" t="s">
        <v>99</v>
      </c>
      <c r="D101" s="232">
        <f t="shared" ref="D101:L101" si="34">SUM(D93:D100)</f>
        <v>1257</v>
      </c>
      <c r="E101" s="232">
        <f t="shared" si="34"/>
        <v>1444</v>
      </c>
      <c r="F101" s="232">
        <f t="shared" si="34"/>
        <v>-1698</v>
      </c>
      <c r="G101" s="232">
        <f t="shared" si="34"/>
        <v>-31698</v>
      </c>
      <c r="H101" s="232">
        <f t="shared" si="34"/>
        <v>0</v>
      </c>
      <c r="I101" s="232">
        <f t="shared" si="34"/>
        <v>0</v>
      </c>
      <c r="J101" s="232">
        <f t="shared" si="34"/>
        <v>0</v>
      </c>
      <c r="K101" s="232">
        <f t="shared" si="34"/>
        <v>0</v>
      </c>
      <c r="L101" s="232">
        <f t="shared" si="34"/>
        <v>0</v>
      </c>
    </row>
    <row r="102" spans="1:12" s="194" customFormat="1" ht="12.9" x14ac:dyDescent="0.5">
      <c r="A102" s="189" t="s">
        <v>100</v>
      </c>
      <c r="D102" s="206">
        <f t="shared" ref="D102:L102" si="35">D92+D101</f>
        <v>5998</v>
      </c>
      <c r="E102" s="206">
        <f t="shared" si="35"/>
        <v>-1446</v>
      </c>
      <c r="F102" s="206">
        <f t="shared" si="35"/>
        <v>931</v>
      </c>
      <c r="G102" s="206">
        <f t="shared" si="35"/>
        <v>10265</v>
      </c>
      <c r="H102" s="206">
        <f t="shared" ca="1" si="35"/>
        <v>1829.2392756598508</v>
      </c>
      <c r="I102" s="206">
        <f t="shared" ca="1" si="35"/>
        <v>1925.3328122190314</v>
      </c>
      <c r="J102" s="206">
        <f t="shared" ca="1" si="35"/>
        <v>2126.6693467742534</v>
      </c>
      <c r="K102" s="206">
        <f t="shared" ca="1" si="35"/>
        <v>2339.2287950517166</v>
      </c>
      <c r="L102" s="206">
        <f t="shared" ca="1" si="35"/>
        <v>2596.9714225781918</v>
      </c>
    </row>
    <row r="103" spans="1:12" s="194" customFormat="1" ht="12.9" x14ac:dyDescent="0.5">
      <c r="A103" s="190" t="s">
        <v>325</v>
      </c>
      <c r="D103" s="193">
        <f>C104</f>
        <v>5263</v>
      </c>
      <c r="E103" s="193">
        <f>D104</f>
        <v>11261</v>
      </c>
      <c r="F103" s="193">
        <f>E104</f>
        <v>9815</v>
      </c>
      <c r="G103" s="193">
        <f>E104</f>
        <v>9815</v>
      </c>
      <c r="H103" s="193">
        <f>G104</f>
        <v>20080</v>
      </c>
      <c r="I103" s="193">
        <f ca="1">H104</f>
        <v>21909.239275659849</v>
      </c>
      <c r="J103" s="193">
        <f ca="1">I104</f>
        <v>23834.572087878882</v>
      </c>
      <c r="K103" s="193">
        <f ca="1">J104</f>
        <v>25961.241434653137</v>
      </c>
      <c r="L103" s="193">
        <f ca="1">K104</f>
        <v>28300.470229704853</v>
      </c>
    </row>
    <row r="104" spans="1:12" s="194" customFormat="1" ht="12.9" x14ac:dyDescent="0.5">
      <c r="A104" s="190" t="s">
        <v>326</v>
      </c>
      <c r="C104" s="218">
        <f>C42</f>
        <v>5263</v>
      </c>
      <c r="D104" s="218">
        <f>D42</f>
        <v>11261</v>
      </c>
      <c r="E104" s="218">
        <f>E42</f>
        <v>9815</v>
      </c>
      <c r="F104" s="218">
        <f>F42</f>
        <v>10746</v>
      </c>
      <c r="G104" s="218">
        <f>G42</f>
        <v>20080</v>
      </c>
      <c r="H104" s="218">
        <f ca="1">H102+H103</f>
        <v>21909.239275659849</v>
      </c>
      <c r="I104" s="218">
        <f ca="1">I102+I103</f>
        <v>23834.572087878882</v>
      </c>
      <c r="J104" s="218">
        <f ca="1">J102+J103</f>
        <v>25961.241434653137</v>
      </c>
      <c r="K104" s="218">
        <f ca="1">K102+K103</f>
        <v>28300.470229704853</v>
      </c>
      <c r="L104" s="218">
        <f ca="1">L102+L103</f>
        <v>30897.441652283043</v>
      </c>
    </row>
    <row r="105" spans="1:12" x14ac:dyDescent="0.55000000000000004">
      <c r="A105" s="248" t="s">
        <v>342</v>
      </c>
      <c r="C105" s="224"/>
      <c r="D105" s="224">
        <f>D103+D102-D104</f>
        <v>0</v>
      </c>
      <c r="E105" s="224">
        <f>E103+E102-E104</f>
        <v>0</v>
      </c>
      <c r="F105" s="224">
        <f>F103+F102-F104</f>
        <v>0</v>
      </c>
      <c r="G105" s="224">
        <f>G103+G102-G104</f>
        <v>0</v>
      </c>
      <c r="H105" s="224">
        <f ca="1">H42-H104</f>
        <v>0</v>
      </c>
      <c r="I105" s="224">
        <f ca="1">I42-I104</f>
        <v>0</v>
      </c>
      <c r="J105" s="224">
        <f ca="1">J42-J104</f>
        <v>3.2741809263825417E-11</v>
      </c>
      <c r="K105" s="224">
        <f ca="1">K42-K104</f>
        <v>0</v>
      </c>
      <c r="L105" s="224">
        <f ca="1">L42-L104</f>
        <v>0</v>
      </c>
    </row>
    <row r="107" spans="1:12" ht="14.7" thickBot="1" x14ac:dyDescent="0.6">
      <c r="D107" s="169" t="s">
        <v>255</v>
      </c>
      <c r="E107" s="169"/>
      <c r="F107" s="169"/>
      <c r="G107" s="213" t="s">
        <v>290</v>
      </c>
      <c r="H107" s="170" t="s">
        <v>257</v>
      </c>
      <c r="I107" s="170"/>
      <c r="J107" s="170"/>
      <c r="K107" s="170"/>
      <c r="L107" s="170"/>
    </row>
    <row r="108" spans="1:12" s="194" customFormat="1" ht="13.2" thickTop="1" x14ac:dyDescent="0.5">
      <c r="A108" s="216" t="s">
        <v>292</v>
      </c>
      <c r="C108" s="196">
        <v>2009</v>
      </c>
      <c r="D108" s="196">
        <v>2010</v>
      </c>
      <c r="E108" s="196">
        <v>2011</v>
      </c>
      <c r="F108" s="196">
        <v>2012</v>
      </c>
      <c r="G108" s="196">
        <v>2012</v>
      </c>
      <c r="H108" s="196">
        <f>G108+1</f>
        <v>2013</v>
      </c>
      <c r="I108" s="196">
        <f>H108+1</f>
        <v>2014</v>
      </c>
      <c r="J108" s="196">
        <f>I108+1</f>
        <v>2015</v>
      </c>
      <c r="K108" s="196">
        <f>J108+1</f>
        <v>2016</v>
      </c>
      <c r="L108" s="196">
        <f>K108+1</f>
        <v>2017</v>
      </c>
    </row>
    <row r="109" spans="1:12" s="194" customFormat="1" ht="12.9" hidden="1" outlineLevel="1" x14ac:dyDescent="0.5">
      <c r="A109" s="192" t="s">
        <v>262</v>
      </c>
      <c r="C109" s="193">
        <v>955</v>
      </c>
      <c r="D109" s="193">
        <v>1471</v>
      </c>
      <c r="E109" s="193">
        <v>2059</v>
      </c>
      <c r="F109" s="193">
        <v>2439</v>
      </c>
      <c r="H109" s="192"/>
    </row>
    <row r="110" spans="1:12" s="194" customFormat="1" ht="12.9" hidden="1" outlineLevel="1" x14ac:dyDescent="0.5">
      <c r="A110" s="192" t="s">
        <v>263</v>
      </c>
      <c r="C110" s="193">
        <v>1932</v>
      </c>
      <c r="D110" s="193">
        <v>3589</v>
      </c>
      <c r="E110" s="193">
        <v>6926</v>
      </c>
      <c r="F110" s="193">
        <v>15743</v>
      </c>
      <c r="H110" s="192"/>
    </row>
    <row r="111" spans="1:12" s="194" customFormat="1" ht="12.9" hidden="1" outlineLevel="1" x14ac:dyDescent="0.5">
      <c r="A111" s="192" t="s">
        <v>264</v>
      </c>
      <c r="C111" s="193">
        <v>115</v>
      </c>
      <c r="D111" s="193">
        <v>144</v>
      </c>
      <c r="E111" s="193">
        <v>184</v>
      </c>
      <c r="F111" s="193">
        <v>241</v>
      </c>
      <c r="G111" s="193"/>
      <c r="H111" s="193"/>
      <c r="I111" s="193"/>
      <c r="J111" s="193"/>
      <c r="K111" s="193"/>
      <c r="L111" s="193"/>
    </row>
    <row r="112" spans="1:12" s="194" customFormat="1" ht="12.9" hidden="1" outlineLevel="1" x14ac:dyDescent="0.5">
      <c r="A112" s="192" t="s">
        <v>265</v>
      </c>
      <c r="C112" s="193">
        <v>1665</v>
      </c>
      <c r="D112" s="193">
        <v>2030</v>
      </c>
      <c r="E112" s="193">
        <v>2599</v>
      </c>
      <c r="F112" s="193">
        <v>3464</v>
      </c>
      <c r="G112" s="193"/>
      <c r="H112" s="193"/>
      <c r="I112" s="193"/>
      <c r="J112" s="193"/>
      <c r="K112" s="193"/>
      <c r="L112" s="193"/>
    </row>
    <row r="113" spans="1:12" s="194" customFormat="1" ht="12.9" hidden="1" outlineLevel="1" x14ac:dyDescent="0.5">
      <c r="A113" s="195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</row>
    <row r="114" spans="1:12" s="194" customFormat="1" ht="12.9" collapsed="1" x14ac:dyDescent="0.5">
      <c r="A114" s="192" t="s">
        <v>266</v>
      </c>
      <c r="C114" s="193">
        <v>4667</v>
      </c>
      <c r="D114" s="193">
        <v>7234</v>
      </c>
      <c r="E114" s="193">
        <v>11768</v>
      </c>
      <c r="F114" s="193">
        <v>21887</v>
      </c>
      <c r="G114" s="193">
        <f>F114</f>
        <v>21887</v>
      </c>
      <c r="H114" s="193">
        <f>G114+H121</f>
        <v>31011.5</v>
      </c>
      <c r="I114" s="193">
        <f>H114+I121</f>
        <v>41048.449999999997</v>
      </c>
      <c r="J114" s="193">
        <f>I114+J121</f>
        <v>52089.095000000001</v>
      </c>
      <c r="K114" s="193">
        <f>J114+K121</f>
        <v>64233.804500000006</v>
      </c>
      <c r="L114" s="193">
        <f>K114+L121</f>
        <v>77592.984950000013</v>
      </c>
    </row>
    <row r="115" spans="1:12" s="194" customFormat="1" ht="12.9" x14ac:dyDescent="0.5">
      <c r="A115" s="192" t="s">
        <v>297</v>
      </c>
      <c r="C115" s="203">
        <v>-1713</v>
      </c>
      <c r="D115" s="203">
        <v>-2466</v>
      </c>
      <c r="E115" s="203">
        <v>-3991</v>
      </c>
      <c r="F115" s="203">
        <v>-6435</v>
      </c>
      <c r="G115" s="203">
        <f>F115</f>
        <v>-6435</v>
      </c>
      <c r="H115" s="203">
        <f>G115-H129</f>
        <v>-9733.816742081448</v>
      </c>
      <c r="I115" s="203">
        <f>H115-I129</f>
        <v>-14348.948642533936</v>
      </c>
      <c r="J115" s="203">
        <f>I115-J129</f>
        <v>-20412.027217194569</v>
      </c>
      <c r="K115" s="203">
        <f>J115-K129</f>
        <v>-28067.847133484163</v>
      </c>
      <c r="L115" s="203">
        <f>K115-L129</f>
        <v>-37475.682525565615</v>
      </c>
    </row>
    <row r="116" spans="1:12" s="194" customFormat="1" ht="12.9" x14ac:dyDescent="0.5">
      <c r="A116" s="229" t="s">
        <v>267</v>
      </c>
      <c r="B116" s="220"/>
      <c r="C116" s="206">
        <f>C114+C115</f>
        <v>2954</v>
      </c>
      <c r="D116" s="206">
        <f>D114+D115</f>
        <v>4768</v>
      </c>
      <c r="E116" s="206">
        <f>E114+E115</f>
        <v>7777</v>
      </c>
      <c r="F116" s="206">
        <f>F114+F115</f>
        <v>15452</v>
      </c>
      <c r="G116" s="206">
        <f>G114+G115</f>
        <v>15452</v>
      </c>
      <c r="H116" s="206">
        <f t="shared" ref="H116:L116" si="36">H114+H115</f>
        <v>21277.68325791855</v>
      </c>
      <c r="I116" s="206">
        <f t="shared" si="36"/>
        <v>26699.501357466062</v>
      </c>
      <c r="J116" s="206">
        <f t="shared" si="36"/>
        <v>31677.067782805432</v>
      </c>
      <c r="K116" s="206">
        <f t="shared" si="36"/>
        <v>36165.957366515839</v>
      </c>
      <c r="L116" s="206">
        <f t="shared" si="36"/>
        <v>40117.302424434398</v>
      </c>
    </row>
    <row r="117" spans="1:12" s="194" customFormat="1" ht="6" customHeight="1" x14ac:dyDescent="0.5"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</row>
    <row r="118" spans="1:12" s="194" customFormat="1" ht="12.9" x14ac:dyDescent="0.5">
      <c r="A118" s="194" t="s">
        <v>278</v>
      </c>
      <c r="C118" s="193"/>
      <c r="D118" s="193">
        <f>D81</f>
        <v>958</v>
      </c>
      <c r="E118" s="193">
        <f>E81</f>
        <v>1622</v>
      </c>
      <c r="F118" s="193">
        <f>F81</f>
        <v>2672</v>
      </c>
      <c r="G118" s="193">
        <f t="shared" ref="G118:L118" si="37">F118</f>
        <v>2672</v>
      </c>
      <c r="H118" s="198">
        <f t="shared" si="37"/>
        <v>2672</v>
      </c>
      <c r="I118" s="198">
        <f t="shared" si="37"/>
        <v>2672</v>
      </c>
      <c r="J118" s="198">
        <f t="shared" si="37"/>
        <v>2672</v>
      </c>
      <c r="K118" s="198">
        <f t="shared" si="37"/>
        <v>2672</v>
      </c>
      <c r="L118" s="198">
        <f t="shared" si="37"/>
        <v>2672</v>
      </c>
    </row>
    <row r="119" spans="1:12" s="194" customFormat="1" ht="12.9" x14ac:dyDescent="0.5">
      <c r="A119" s="194" t="s">
        <v>269</v>
      </c>
      <c r="C119" s="193"/>
      <c r="D119" s="197">
        <f>1/(D118/(D110+D111+D112))</f>
        <v>6.015657620041754</v>
      </c>
      <c r="E119" s="197">
        <f>1/(E118/(E110+E111+E112))</f>
        <v>5.9858199753390879</v>
      </c>
      <c r="F119" s="197">
        <f>1/(F118/(F110+F111+F112))</f>
        <v>7.2784431137724548</v>
      </c>
      <c r="G119" s="193"/>
      <c r="H119" s="193"/>
      <c r="I119" s="193"/>
      <c r="J119" s="193"/>
      <c r="K119" s="193"/>
      <c r="L119" s="193"/>
    </row>
    <row r="120" spans="1:12" s="194" customFormat="1" ht="9.6" customHeight="1" x14ac:dyDescent="0.5">
      <c r="C120" s="193"/>
      <c r="G120" s="193"/>
      <c r="H120" s="193"/>
      <c r="I120" s="193"/>
      <c r="J120" s="193"/>
      <c r="K120" s="193"/>
      <c r="L120" s="193"/>
    </row>
    <row r="121" spans="1:12" s="194" customFormat="1" ht="12.9" x14ac:dyDescent="0.5">
      <c r="A121" s="220" t="s">
        <v>270</v>
      </c>
      <c r="B121" s="220"/>
      <c r="C121" s="206">
        <v>1144</v>
      </c>
      <c r="D121" s="206">
        <f>-D87</f>
        <v>2005</v>
      </c>
      <c r="E121" s="206">
        <f>-E87</f>
        <v>4260</v>
      </c>
      <c r="F121" s="206">
        <f>-F87</f>
        <v>8295</v>
      </c>
      <c r="G121" s="206">
        <f>F121</f>
        <v>8295</v>
      </c>
      <c r="H121" s="206">
        <f>G121*(1+H122)</f>
        <v>9124.5</v>
      </c>
      <c r="I121" s="206">
        <f>H121*(1+I122)</f>
        <v>10036.950000000001</v>
      </c>
      <c r="J121" s="206">
        <f>I121*(1+J122)</f>
        <v>11040.645000000002</v>
      </c>
      <c r="K121" s="206">
        <f>J121*(1+K122)</f>
        <v>12144.709500000003</v>
      </c>
      <c r="L121" s="206">
        <f>K121*(1+L122)</f>
        <v>13359.180450000003</v>
      </c>
    </row>
    <row r="122" spans="1:12" s="194" customFormat="1" ht="12.9" x14ac:dyDescent="0.5">
      <c r="B122" s="199" t="s">
        <v>256</v>
      </c>
      <c r="C122" s="202" t="s">
        <v>277</v>
      </c>
      <c r="D122" s="200">
        <f>D121/C121-1</f>
        <v>0.75262237762237771</v>
      </c>
      <c r="E122" s="200">
        <f>E121/D121-1</f>
        <v>1.1246882793017456</v>
      </c>
      <c r="F122" s="200">
        <f>F121/E121-1</f>
        <v>0.94718309859154926</v>
      </c>
      <c r="G122" s="193"/>
      <c r="H122" s="201">
        <f>H$20</f>
        <v>0.10000000000000009</v>
      </c>
      <c r="I122" s="201">
        <f t="shared" ref="I122:L122" si="38">I$20</f>
        <v>0.10000000000000009</v>
      </c>
      <c r="J122" s="201">
        <f t="shared" si="38"/>
        <v>0.10000000000000009</v>
      </c>
      <c r="K122" s="201">
        <f t="shared" si="38"/>
        <v>0.10000000000000009</v>
      </c>
      <c r="L122" s="201">
        <f t="shared" si="38"/>
        <v>0.10000000000000009</v>
      </c>
    </row>
    <row r="123" spans="1:12" s="194" customFormat="1" ht="12.9" x14ac:dyDescent="0.5">
      <c r="B123" s="194" t="s">
        <v>271</v>
      </c>
      <c r="C123" s="217">
        <f>F119</f>
        <v>7.2784431137724548</v>
      </c>
      <c r="D123" s="193"/>
      <c r="E123" s="193"/>
      <c r="F123" s="193"/>
      <c r="G123" s="193"/>
      <c r="H123" s="193">
        <f>$H$121/$C123*0.5</f>
        <v>626.81674208144796</v>
      </c>
      <c r="I123" s="193">
        <f>$H$121/$C123</f>
        <v>1253.6334841628959</v>
      </c>
      <c r="J123" s="193">
        <f t="shared" ref="J123:L123" si="39">$H$121/$C123</f>
        <v>1253.6334841628959</v>
      </c>
      <c r="K123" s="193">
        <f t="shared" si="39"/>
        <v>1253.6334841628959</v>
      </c>
      <c r="L123" s="193">
        <f t="shared" si="39"/>
        <v>1253.6334841628959</v>
      </c>
    </row>
    <row r="124" spans="1:12" s="194" customFormat="1" ht="12.9" x14ac:dyDescent="0.5">
      <c r="B124" s="194" t="s">
        <v>272</v>
      </c>
      <c r="C124" s="217">
        <f>C123</f>
        <v>7.2784431137724548</v>
      </c>
      <c r="D124" s="193"/>
      <c r="E124" s="193"/>
      <c r="F124" s="193"/>
      <c r="G124" s="193"/>
      <c r="H124" s="193"/>
      <c r="I124" s="193">
        <f>$I$121/$C124*0.5</f>
        <v>689.4984162895928</v>
      </c>
      <c r="J124" s="193">
        <f>$I$121/$C124</f>
        <v>1378.9968325791856</v>
      </c>
      <c r="K124" s="193">
        <f>$I$121/$C124</f>
        <v>1378.9968325791856</v>
      </c>
      <c r="L124" s="193">
        <f>$I$121/$C124</f>
        <v>1378.9968325791856</v>
      </c>
    </row>
    <row r="125" spans="1:12" s="194" customFormat="1" ht="12.9" x14ac:dyDescent="0.5">
      <c r="B125" s="194" t="s">
        <v>273</v>
      </c>
      <c r="C125" s="217">
        <f>C124</f>
        <v>7.2784431137724548</v>
      </c>
      <c r="D125" s="193"/>
      <c r="E125" s="193"/>
      <c r="F125" s="193"/>
      <c r="G125" s="193"/>
      <c r="H125" s="193"/>
      <c r="I125" s="193"/>
      <c r="J125" s="193">
        <f>$J$121/$C125*0.5</f>
        <v>758.44825791855226</v>
      </c>
      <c r="K125" s="193">
        <f>$J$121/$C125</f>
        <v>1516.8965158371045</v>
      </c>
      <c r="L125" s="193">
        <f>$J$121/$C125</f>
        <v>1516.8965158371045</v>
      </c>
    </row>
    <row r="126" spans="1:12" s="194" customFormat="1" ht="12.9" x14ac:dyDescent="0.5">
      <c r="B126" s="194" t="s">
        <v>274</v>
      </c>
      <c r="C126" s="217">
        <f>C125</f>
        <v>7.2784431137724548</v>
      </c>
      <c r="D126" s="193"/>
      <c r="E126" s="193"/>
      <c r="F126" s="193"/>
      <c r="G126" s="193"/>
      <c r="H126" s="193"/>
      <c r="I126" s="193"/>
      <c r="J126" s="193"/>
      <c r="K126" s="193">
        <f>$K$121/$C126*0.5</f>
        <v>834.29308371040747</v>
      </c>
      <c r="L126" s="193">
        <f>$K$121/$C126</f>
        <v>1668.5861674208149</v>
      </c>
    </row>
    <row r="127" spans="1:12" s="194" customFormat="1" ht="12.9" x14ac:dyDescent="0.5">
      <c r="B127" s="194" t="s">
        <v>275</v>
      </c>
      <c r="C127" s="217">
        <f>C126</f>
        <v>7.2784431137724548</v>
      </c>
      <c r="D127" s="193"/>
      <c r="E127" s="193"/>
      <c r="F127" s="193"/>
      <c r="G127" s="193"/>
      <c r="H127" s="203"/>
      <c r="I127" s="203"/>
      <c r="J127" s="203"/>
      <c r="K127" s="203"/>
      <c r="L127" s="203">
        <f>L$121/$C127*0.5</f>
        <v>917.72239208144822</v>
      </c>
    </row>
    <row r="128" spans="1:12" s="194" customFormat="1" ht="12.9" x14ac:dyDescent="0.5">
      <c r="B128" s="194" t="s">
        <v>276</v>
      </c>
      <c r="C128" s="193"/>
      <c r="D128" s="203"/>
      <c r="E128" s="203"/>
      <c r="F128" s="203"/>
      <c r="G128" s="203"/>
      <c r="H128" s="204">
        <f>SUM(H123:H127)</f>
        <v>626.81674208144796</v>
      </c>
      <c r="I128" s="204">
        <f>SUM(I123:I127)</f>
        <v>1943.1319004524887</v>
      </c>
      <c r="J128" s="204">
        <f>SUM(J123:J127)</f>
        <v>3391.0785746606339</v>
      </c>
      <c r="K128" s="204">
        <f>SUM(K123:K127)</f>
        <v>4983.8199162895935</v>
      </c>
      <c r="L128" s="204">
        <f>SUM(L123:L127)</f>
        <v>6735.8353920814498</v>
      </c>
    </row>
    <row r="129" spans="1:12" s="194" customFormat="1" ht="12.9" x14ac:dyDescent="0.5">
      <c r="A129" s="220" t="s">
        <v>279</v>
      </c>
      <c r="B129" s="220"/>
      <c r="C129" s="206"/>
      <c r="D129" s="206">
        <f t="shared" ref="D129:L129" si="40">D118+D128</f>
        <v>958</v>
      </c>
      <c r="E129" s="206">
        <f t="shared" si="40"/>
        <v>1622</v>
      </c>
      <c r="F129" s="206">
        <f t="shared" si="40"/>
        <v>2672</v>
      </c>
      <c r="G129" s="206">
        <f t="shared" si="40"/>
        <v>2672</v>
      </c>
      <c r="H129" s="206">
        <f t="shared" si="40"/>
        <v>3298.816742081448</v>
      </c>
      <c r="I129" s="206">
        <f t="shared" si="40"/>
        <v>4615.1319004524885</v>
      </c>
      <c r="J129" s="206">
        <f t="shared" si="40"/>
        <v>6063.0785746606343</v>
      </c>
      <c r="K129" s="206">
        <f t="shared" si="40"/>
        <v>7655.8199162895935</v>
      </c>
      <c r="L129" s="206">
        <f t="shared" si="40"/>
        <v>9407.8353920814498</v>
      </c>
    </row>
    <row r="130" spans="1:12" s="194" customFormat="1" ht="8.6999999999999993" customHeight="1" x14ac:dyDescent="0.5"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</row>
    <row r="131" spans="1:12" s="194" customFormat="1" ht="12.9" x14ac:dyDescent="0.5">
      <c r="A131" s="196" t="s">
        <v>268</v>
      </c>
      <c r="C131" s="193"/>
      <c r="F131" s="218"/>
    </row>
    <row r="132" spans="1:12" s="194" customFormat="1" ht="12.9" x14ac:dyDescent="0.5">
      <c r="A132" s="192" t="s">
        <v>295</v>
      </c>
      <c r="C132" s="193"/>
      <c r="D132" s="193">
        <v>587</v>
      </c>
      <c r="E132" s="193">
        <v>3973</v>
      </c>
      <c r="F132" s="193">
        <v>5266</v>
      </c>
      <c r="G132" s="218">
        <f>F132</f>
        <v>5266</v>
      </c>
      <c r="H132" s="218">
        <f>G132+H139</f>
        <v>6483.7</v>
      </c>
      <c r="I132" s="218">
        <f>H132+I139</f>
        <v>7823.17</v>
      </c>
      <c r="J132" s="218">
        <f>I132+J139</f>
        <v>9296.5869999999995</v>
      </c>
      <c r="K132" s="218">
        <f>J132+K139</f>
        <v>10917.3457</v>
      </c>
      <c r="L132" s="218">
        <f>K132+L139</f>
        <v>12700.180270000001</v>
      </c>
    </row>
    <row r="133" spans="1:12" s="194" customFormat="1" ht="12.9" x14ac:dyDescent="0.5">
      <c r="A133" s="192" t="s">
        <v>296</v>
      </c>
      <c r="C133" s="193"/>
      <c r="D133" s="203">
        <v>-245</v>
      </c>
      <c r="E133" s="203">
        <v>-437</v>
      </c>
      <c r="F133" s="203">
        <v>-1042</v>
      </c>
      <c r="G133" s="230">
        <f>F133</f>
        <v>-1042</v>
      </c>
      <c r="H133" s="230">
        <f>G133-H147</f>
        <v>-1784.9495347512343</v>
      </c>
      <c r="I133" s="230">
        <f>H133-I147</f>
        <v>-2738.7930924800607</v>
      </c>
      <c r="J133" s="230">
        <f>I133-J147</f>
        <v>-3870.2200754842388</v>
      </c>
      <c r="K133" s="230">
        <f>J133-K147</f>
        <v>-5184.3888262913033</v>
      </c>
      <c r="L133" s="230">
        <f>K133-L147</f>
        <v>-6571.0735216815428</v>
      </c>
    </row>
    <row r="134" spans="1:12" s="194" customFormat="1" ht="12.9" x14ac:dyDescent="0.5">
      <c r="A134" s="229" t="s">
        <v>293</v>
      </c>
      <c r="B134" s="220"/>
      <c r="C134" s="206"/>
      <c r="D134" s="206">
        <f>D48</f>
        <v>342</v>
      </c>
      <c r="E134" s="206">
        <f>E48</f>
        <v>3536</v>
      </c>
      <c r="F134" s="206">
        <f>F48</f>
        <v>4224</v>
      </c>
      <c r="G134" s="206">
        <f t="shared" ref="G134:L134" si="41">G132+G133</f>
        <v>4224</v>
      </c>
      <c r="H134" s="206">
        <f t="shared" si="41"/>
        <v>4698.750465248766</v>
      </c>
      <c r="I134" s="206">
        <f t="shared" si="41"/>
        <v>5084.3769075199398</v>
      </c>
      <c r="J134" s="206">
        <f t="shared" si="41"/>
        <v>5426.3669245157607</v>
      </c>
      <c r="K134" s="206">
        <f t="shared" si="41"/>
        <v>5732.9568737086965</v>
      </c>
      <c r="L134" s="206">
        <f t="shared" si="41"/>
        <v>6129.1067483184579</v>
      </c>
    </row>
    <row r="135" spans="1:12" s="194" customFormat="1" ht="7.5" customHeight="1" x14ac:dyDescent="0.5">
      <c r="A135" s="192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</row>
    <row r="136" spans="1:12" s="194" customFormat="1" ht="12.9" x14ac:dyDescent="0.5">
      <c r="A136" s="194" t="s">
        <v>294</v>
      </c>
      <c r="C136" s="193"/>
      <c r="D136" s="193">
        <f>D82</f>
        <v>69</v>
      </c>
      <c r="E136" s="193">
        <v>192</v>
      </c>
      <c r="F136" s="193">
        <v>605</v>
      </c>
      <c r="G136" s="193">
        <f>F136</f>
        <v>605</v>
      </c>
      <c r="H136" s="198">
        <v>673</v>
      </c>
      <c r="I136" s="198">
        <v>737</v>
      </c>
      <c r="J136" s="198">
        <v>753</v>
      </c>
      <c r="K136" s="198">
        <v>758</v>
      </c>
      <c r="L136" s="198">
        <v>635</v>
      </c>
    </row>
    <row r="137" spans="1:12" s="194" customFormat="1" ht="12.9" x14ac:dyDescent="0.5">
      <c r="A137" s="194" t="s">
        <v>269</v>
      </c>
      <c r="C137" s="193"/>
      <c r="D137" s="197">
        <f>1/(D136/D132)</f>
        <v>8.5072463768115938</v>
      </c>
      <c r="E137" s="197">
        <f>1/(E136/E132)</f>
        <v>20.692708333333332</v>
      </c>
      <c r="F137" s="197">
        <f>1/(F136/F132)</f>
        <v>8.7041322314049587</v>
      </c>
      <c r="G137" s="193"/>
      <c r="H137" s="198"/>
      <c r="I137" s="198"/>
      <c r="J137" s="198"/>
      <c r="K137" s="198"/>
      <c r="L137" s="198"/>
    </row>
    <row r="138" spans="1:12" s="194" customFormat="1" ht="9.6" customHeight="1" x14ac:dyDescent="0.5">
      <c r="C138" s="193"/>
      <c r="G138" s="193"/>
      <c r="H138" s="193"/>
      <c r="I138" s="193"/>
      <c r="J138" s="193"/>
      <c r="K138" s="193"/>
      <c r="L138" s="193"/>
    </row>
    <row r="139" spans="1:12" s="194" customFormat="1" ht="12.9" x14ac:dyDescent="0.5">
      <c r="A139" s="220" t="s">
        <v>299</v>
      </c>
      <c r="B139" s="220"/>
      <c r="C139" s="206">
        <v>69</v>
      </c>
      <c r="D139" s="206">
        <f>-D88</f>
        <v>116</v>
      </c>
      <c r="E139" s="206">
        <f>-E88</f>
        <v>3192</v>
      </c>
      <c r="F139" s="206">
        <f>-F88</f>
        <v>1107</v>
      </c>
      <c r="G139" s="206">
        <f>F139</f>
        <v>1107</v>
      </c>
      <c r="H139" s="206">
        <f>G139*(1+H140)</f>
        <v>1217.7</v>
      </c>
      <c r="I139" s="206">
        <f>H139*(1+I140)</f>
        <v>1339.4700000000003</v>
      </c>
      <c r="J139" s="206">
        <f>I139*(1+J140)</f>
        <v>1473.4170000000004</v>
      </c>
      <c r="K139" s="206">
        <f>J139*(1+K140)</f>
        <v>1620.7587000000005</v>
      </c>
      <c r="L139" s="206">
        <f>K139*(1+L140)</f>
        <v>1782.8345700000007</v>
      </c>
    </row>
    <row r="140" spans="1:12" s="194" customFormat="1" ht="12.9" x14ac:dyDescent="0.5">
      <c r="B140" s="199" t="s">
        <v>256</v>
      </c>
      <c r="C140" s="202" t="s">
        <v>277</v>
      </c>
      <c r="D140" s="200">
        <f>D139/C139-1</f>
        <v>0.68115942028985499</v>
      </c>
      <c r="E140" s="200" t="s">
        <v>300</v>
      </c>
      <c r="F140" s="200">
        <f>F139/E139-1</f>
        <v>-0.65319548872180455</v>
      </c>
      <c r="G140" s="193"/>
      <c r="H140" s="201">
        <f>H$20</f>
        <v>0.10000000000000009</v>
      </c>
      <c r="I140" s="201">
        <f t="shared" ref="I140:L140" si="42">I$20</f>
        <v>0.10000000000000009</v>
      </c>
      <c r="J140" s="201">
        <f t="shared" si="42"/>
        <v>0.10000000000000009</v>
      </c>
      <c r="K140" s="201">
        <f t="shared" si="42"/>
        <v>0.10000000000000009</v>
      </c>
      <c r="L140" s="201">
        <f t="shared" si="42"/>
        <v>0.10000000000000009</v>
      </c>
    </row>
    <row r="141" spans="1:12" s="194" customFormat="1" ht="12.9" x14ac:dyDescent="0.5">
      <c r="B141" s="194" t="s">
        <v>301</v>
      </c>
      <c r="C141" s="217">
        <f>F137</f>
        <v>8.7041322314049587</v>
      </c>
      <c r="D141" s="193"/>
      <c r="E141" s="193"/>
      <c r="F141" s="193"/>
      <c r="G141" s="193"/>
      <c r="H141" s="193">
        <f>$H$139/$C141*0.5</f>
        <v>69.949534751234339</v>
      </c>
      <c r="I141" s="193">
        <f>$H$139/$C141</f>
        <v>139.89906950246868</v>
      </c>
      <c r="J141" s="193">
        <f t="shared" ref="J141:L141" si="43">$H$139/$C141</f>
        <v>139.89906950246868</v>
      </c>
      <c r="K141" s="193">
        <f t="shared" si="43"/>
        <v>139.89906950246868</v>
      </c>
      <c r="L141" s="193">
        <f t="shared" si="43"/>
        <v>139.89906950246868</v>
      </c>
    </row>
    <row r="142" spans="1:12" s="194" customFormat="1" ht="12.9" x14ac:dyDescent="0.5">
      <c r="B142" s="194" t="s">
        <v>302</v>
      </c>
      <c r="C142" s="217">
        <f>C141</f>
        <v>8.7041322314049587</v>
      </c>
      <c r="D142" s="193"/>
      <c r="E142" s="193"/>
      <c r="F142" s="193"/>
      <c r="G142" s="193"/>
      <c r="H142" s="193"/>
      <c r="I142" s="193">
        <f>$I$139/$C142*0.5</f>
        <v>76.944488226357777</v>
      </c>
      <c r="J142" s="193">
        <f>$I$139/$C142</f>
        <v>153.88897645271555</v>
      </c>
      <c r="K142" s="193">
        <f>$I$139/$C142</f>
        <v>153.88897645271555</v>
      </c>
      <c r="L142" s="193">
        <f>$I$139/$C142</f>
        <v>153.88897645271555</v>
      </c>
    </row>
    <row r="143" spans="1:12" s="194" customFormat="1" ht="12.9" x14ac:dyDescent="0.5">
      <c r="B143" s="194" t="s">
        <v>303</v>
      </c>
      <c r="C143" s="217">
        <f>C142</f>
        <v>8.7041322314049587</v>
      </c>
      <c r="D143" s="193"/>
      <c r="E143" s="193"/>
      <c r="F143" s="193"/>
      <c r="G143" s="193"/>
      <c r="H143" s="193"/>
      <c r="I143" s="193"/>
      <c r="J143" s="193">
        <f>$J$139/$C143*0.5</f>
        <v>84.638937048993569</v>
      </c>
      <c r="K143" s="193">
        <f>$J$139/$C143</f>
        <v>169.27787409798714</v>
      </c>
      <c r="L143" s="193">
        <f>$J$139/$C143</f>
        <v>169.27787409798714</v>
      </c>
    </row>
    <row r="144" spans="1:12" s="194" customFormat="1" ht="12.9" x14ac:dyDescent="0.5">
      <c r="B144" s="194" t="s">
        <v>304</v>
      </c>
      <c r="C144" s="217">
        <f>C143</f>
        <v>8.7041322314049587</v>
      </c>
      <c r="D144" s="193"/>
      <c r="E144" s="193"/>
      <c r="F144" s="193"/>
      <c r="G144" s="193"/>
      <c r="H144" s="193"/>
      <c r="I144" s="193"/>
      <c r="J144" s="193"/>
      <c r="K144" s="193">
        <f>$K$139/$C144*0.5</f>
        <v>93.102830753892931</v>
      </c>
      <c r="L144" s="193">
        <f>$K$139/$C144</f>
        <v>186.20566150778586</v>
      </c>
    </row>
    <row r="145" spans="1:12" s="194" customFormat="1" ht="12.9" x14ac:dyDescent="0.5">
      <c r="B145" s="194" t="s">
        <v>305</v>
      </c>
      <c r="C145" s="217">
        <f>C144</f>
        <v>8.7041322314049587</v>
      </c>
      <c r="D145" s="193"/>
      <c r="E145" s="193"/>
      <c r="F145" s="193"/>
      <c r="G145" s="193"/>
      <c r="H145" s="203"/>
      <c r="I145" s="203"/>
      <c r="J145" s="203"/>
      <c r="K145" s="203"/>
      <c r="L145" s="203">
        <f>L$139/$C145*0.5</f>
        <v>102.41311382928222</v>
      </c>
    </row>
    <row r="146" spans="1:12" s="194" customFormat="1" ht="12.9" x14ac:dyDescent="0.5">
      <c r="B146" s="194" t="s">
        <v>276</v>
      </c>
      <c r="C146" s="193"/>
      <c r="D146" s="203"/>
      <c r="E146" s="203"/>
      <c r="F146" s="203"/>
      <c r="G146" s="203"/>
      <c r="H146" s="204">
        <f>SUM(H141:H145)</f>
        <v>69.949534751234339</v>
      </c>
      <c r="I146" s="204">
        <f>SUM(I141:I145)</f>
        <v>216.84355772882645</v>
      </c>
      <c r="J146" s="204">
        <f>SUM(J141:J145)</f>
        <v>378.42698300417777</v>
      </c>
      <c r="K146" s="204">
        <f>SUM(K141:K145)</f>
        <v>556.16875080706427</v>
      </c>
      <c r="L146" s="204">
        <f>SUM(L141:L145)</f>
        <v>751.68469539023943</v>
      </c>
    </row>
    <row r="147" spans="1:12" s="194" customFormat="1" ht="12.9" x14ac:dyDescent="0.5">
      <c r="A147" s="220" t="s">
        <v>298</v>
      </c>
      <c r="C147" s="206"/>
      <c r="D147" s="206">
        <f t="shared" ref="D147:L147" si="44">D136+D146</f>
        <v>69</v>
      </c>
      <c r="E147" s="206">
        <f t="shared" si="44"/>
        <v>192</v>
      </c>
      <c r="F147" s="206">
        <f t="shared" si="44"/>
        <v>605</v>
      </c>
      <c r="G147" s="206">
        <f t="shared" si="44"/>
        <v>605</v>
      </c>
      <c r="H147" s="206">
        <f t="shared" si="44"/>
        <v>742.9495347512343</v>
      </c>
      <c r="I147" s="206">
        <f t="shared" si="44"/>
        <v>953.84355772882645</v>
      </c>
      <c r="J147" s="206">
        <f t="shared" si="44"/>
        <v>1131.4269830041778</v>
      </c>
      <c r="K147" s="206">
        <f t="shared" si="44"/>
        <v>1314.1687508070643</v>
      </c>
      <c r="L147" s="206">
        <f t="shared" si="44"/>
        <v>1386.6846953902395</v>
      </c>
    </row>
    <row r="148" spans="1:12" s="194" customFormat="1" ht="8.6999999999999993" customHeight="1" x14ac:dyDescent="0.5">
      <c r="D148" s="219"/>
      <c r="E148" s="219"/>
      <c r="F148" s="219"/>
      <c r="G148" s="219"/>
      <c r="H148" s="219"/>
      <c r="I148" s="219"/>
      <c r="J148" s="219"/>
      <c r="K148" s="219"/>
      <c r="L148" s="219"/>
    </row>
    <row r="149" spans="1:12" s="194" customFormat="1" ht="12.9" x14ac:dyDescent="0.5">
      <c r="A149" s="220" t="s">
        <v>280</v>
      </c>
      <c r="D149" s="221">
        <f>D129+D147</f>
        <v>1027</v>
      </c>
      <c r="E149" s="221">
        <f t="shared" ref="E149:L149" si="45">E129+E147</f>
        <v>1814</v>
      </c>
      <c r="F149" s="221">
        <f t="shared" si="45"/>
        <v>3277</v>
      </c>
      <c r="G149" s="221">
        <f t="shared" si="45"/>
        <v>3277</v>
      </c>
      <c r="H149" s="221">
        <f t="shared" si="45"/>
        <v>4041.7662768326823</v>
      </c>
      <c r="I149" s="221">
        <f t="shared" si="45"/>
        <v>5568.9754581813149</v>
      </c>
      <c r="J149" s="221">
        <f t="shared" si="45"/>
        <v>7194.5055576648119</v>
      </c>
      <c r="K149" s="221">
        <f t="shared" si="45"/>
        <v>8969.9886670966571</v>
      </c>
      <c r="L149" s="221">
        <f t="shared" si="45"/>
        <v>10794.52008747169</v>
      </c>
    </row>
    <row r="151" spans="1:12" ht="14.7" thickBot="1" x14ac:dyDescent="0.6">
      <c r="D151" s="169" t="s">
        <v>255</v>
      </c>
      <c r="E151" s="169"/>
      <c r="F151" s="169"/>
      <c r="G151" s="213" t="s">
        <v>290</v>
      </c>
      <c r="H151" s="170" t="s">
        <v>257</v>
      </c>
      <c r="I151" s="170"/>
      <c r="J151" s="170"/>
      <c r="K151" s="170"/>
      <c r="L151" s="170"/>
    </row>
    <row r="152" spans="1:12" ht="14.7" thickTop="1" x14ac:dyDescent="0.55000000000000004">
      <c r="A152" s="216" t="s">
        <v>308</v>
      </c>
      <c r="B152" s="194"/>
      <c r="C152" s="196">
        <v>2009</v>
      </c>
      <c r="D152" s="196">
        <v>2010</v>
      </c>
      <c r="E152" s="196">
        <v>2011</v>
      </c>
      <c r="F152" s="196">
        <v>2012</v>
      </c>
      <c r="G152" s="196">
        <v>2012</v>
      </c>
      <c r="H152" s="196">
        <f>G152+1</f>
        <v>2013</v>
      </c>
      <c r="I152" s="196">
        <f>H152+1</f>
        <v>2014</v>
      </c>
      <c r="J152" s="196">
        <f>I152+1</f>
        <v>2015</v>
      </c>
      <c r="K152" s="196">
        <f>J152+1</f>
        <v>2016</v>
      </c>
      <c r="L152" s="196">
        <f>K152+1</f>
        <v>2017</v>
      </c>
    </row>
    <row r="153" spans="1:12" x14ac:dyDescent="0.55000000000000004">
      <c r="A153" s="220" t="s">
        <v>309</v>
      </c>
      <c r="B153" s="220"/>
      <c r="C153" s="222"/>
      <c r="D153" s="222">
        <f>D154/(D155/365)</f>
        <v>55.534840935224224</v>
      </c>
      <c r="E153" s="222">
        <f>E154/(E155/365)</f>
        <v>39.508032406765878</v>
      </c>
      <c r="F153" s="222">
        <f>F154/(F155/365)</f>
        <v>43.592532011143199</v>
      </c>
      <c r="G153" s="222">
        <f>G154/(G155/365)</f>
        <v>43.592532011143199</v>
      </c>
      <c r="H153" s="228">
        <v>44</v>
      </c>
      <c r="I153" s="228">
        <f>H153</f>
        <v>44</v>
      </c>
      <c r="J153" s="228">
        <f>I153</f>
        <v>44</v>
      </c>
      <c r="K153" s="228">
        <f>J153</f>
        <v>44</v>
      </c>
      <c r="L153" s="228">
        <f>K153</f>
        <v>44</v>
      </c>
    </row>
    <row r="154" spans="1:12" x14ac:dyDescent="0.55000000000000004">
      <c r="A154" s="194" t="s">
        <v>11</v>
      </c>
      <c r="B154" s="194"/>
      <c r="C154" s="193">
        <f>C44</f>
        <v>5057</v>
      </c>
      <c r="D154" s="193">
        <f>D44</f>
        <v>9924</v>
      </c>
      <c r="E154" s="193">
        <f>E44</f>
        <v>11717</v>
      </c>
      <c r="F154" s="193">
        <f>F44</f>
        <v>18692</v>
      </c>
      <c r="G154" s="193">
        <f t="shared" ref="G154" si="46">G44</f>
        <v>18692</v>
      </c>
      <c r="H154" s="193">
        <f>H153*(H155/365)</f>
        <v>20753.389589041097</v>
      </c>
      <c r="I154" s="193">
        <f>I153*(I155/365)</f>
        <v>22828.728547945208</v>
      </c>
      <c r="J154" s="193">
        <f>J153*(J155/365)</f>
        <v>25111.601402739732</v>
      </c>
      <c r="K154" s="193">
        <f>K153*(K155/365)</f>
        <v>27622.761543013708</v>
      </c>
      <c r="L154" s="193">
        <f>L153*(L155/365)</f>
        <v>30385.037697315078</v>
      </c>
    </row>
    <row r="155" spans="1:12" x14ac:dyDescent="0.55000000000000004">
      <c r="A155" s="194" t="s">
        <v>310</v>
      </c>
      <c r="B155" s="194"/>
      <c r="C155" s="223"/>
      <c r="D155" s="193">
        <f>D19</f>
        <v>65225</v>
      </c>
      <c r="E155" s="193">
        <f>E19</f>
        <v>108249</v>
      </c>
      <c r="F155" s="193">
        <f>F19</f>
        <v>156508</v>
      </c>
      <c r="G155" s="193">
        <f t="shared" ref="G155:L155" si="47">G19</f>
        <v>156508</v>
      </c>
      <c r="H155" s="193">
        <f t="shared" si="47"/>
        <v>172158.80000000002</v>
      </c>
      <c r="I155" s="193">
        <f t="shared" si="47"/>
        <v>189374.68000000002</v>
      </c>
      <c r="J155" s="193">
        <f t="shared" si="47"/>
        <v>208312.14800000004</v>
      </c>
      <c r="K155" s="193">
        <f t="shared" si="47"/>
        <v>229143.36280000006</v>
      </c>
      <c r="L155" s="193">
        <f t="shared" si="47"/>
        <v>252057.69908000008</v>
      </c>
    </row>
    <row r="156" spans="1:12" ht="9" customHeight="1" x14ac:dyDescent="0.55000000000000004">
      <c r="A156" s="194"/>
      <c r="B156" s="194"/>
      <c r="C156" s="194"/>
      <c r="D156" s="194"/>
    </row>
    <row r="157" spans="1:12" x14ac:dyDescent="0.55000000000000004">
      <c r="A157" s="220" t="s">
        <v>311</v>
      </c>
      <c r="B157" s="220"/>
      <c r="C157" s="222"/>
      <c r="D157" s="222">
        <f>D158/(D159/365)</f>
        <v>9.7017020308034709</v>
      </c>
      <c r="E157" s="222">
        <f>E158/(E159/365)</f>
        <v>4.3960205491145565</v>
      </c>
      <c r="F157" s="222">
        <f>F158/(F159/365)</f>
        <v>3.2866038294287732</v>
      </c>
      <c r="G157" s="222">
        <f>G158/(G159/365)</f>
        <v>3.2866038294287732</v>
      </c>
      <c r="H157" s="228">
        <v>3.3</v>
      </c>
      <c r="I157" s="228">
        <f>H157</f>
        <v>3.3</v>
      </c>
      <c r="J157" s="228">
        <f>I157</f>
        <v>3.3</v>
      </c>
      <c r="K157" s="228">
        <f>J157</f>
        <v>3.3</v>
      </c>
      <c r="L157" s="228">
        <f>K157</f>
        <v>3.3</v>
      </c>
    </row>
    <row r="158" spans="1:12" x14ac:dyDescent="0.55000000000000004">
      <c r="A158" s="194" t="s">
        <v>14</v>
      </c>
      <c r="B158" s="194"/>
      <c r="C158" s="193">
        <f>C45</f>
        <v>455</v>
      </c>
      <c r="D158" s="193">
        <f>D45</f>
        <v>1051</v>
      </c>
      <c r="E158" s="193">
        <f>E45</f>
        <v>776</v>
      </c>
      <c r="F158" s="193">
        <f>F45</f>
        <v>791</v>
      </c>
      <c r="G158" s="193">
        <f>G45</f>
        <v>791</v>
      </c>
      <c r="H158" s="193">
        <f>H157*(H159/365)</f>
        <v>873.19886695890432</v>
      </c>
      <c r="I158" s="193">
        <f>I157*(I159/365)</f>
        <v>960.51875365479475</v>
      </c>
      <c r="J158" s="193">
        <f>J157*(J159/365)</f>
        <v>1056.5706290202741</v>
      </c>
      <c r="K158" s="193">
        <f>K157*(K159/365)</f>
        <v>1162.2276919223016</v>
      </c>
      <c r="L158" s="193">
        <f>L157*(L159/365)</f>
        <v>1278.4504611145319</v>
      </c>
    </row>
    <row r="159" spans="1:12" x14ac:dyDescent="0.55000000000000004">
      <c r="A159" s="194" t="s">
        <v>312</v>
      </c>
      <c r="B159" s="194"/>
      <c r="C159" s="223"/>
      <c r="D159" s="193">
        <f t="shared" ref="D159:L159" si="48">D21</f>
        <v>39541</v>
      </c>
      <c r="E159" s="193">
        <f t="shared" si="48"/>
        <v>64431</v>
      </c>
      <c r="F159" s="193">
        <f t="shared" si="48"/>
        <v>87846</v>
      </c>
      <c r="G159" s="193">
        <f t="shared" si="48"/>
        <v>87846</v>
      </c>
      <c r="H159" s="193">
        <f t="shared" si="48"/>
        <v>96581.086800000019</v>
      </c>
      <c r="I159" s="193">
        <f t="shared" si="48"/>
        <v>106239.19548000002</v>
      </c>
      <c r="J159" s="193">
        <f t="shared" si="48"/>
        <v>116863.11502800003</v>
      </c>
      <c r="K159" s="193">
        <f t="shared" si="48"/>
        <v>128549.42653080005</v>
      </c>
      <c r="L159" s="193">
        <f t="shared" si="48"/>
        <v>141404.36918388004</v>
      </c>
    </row>
    <row r="160" spans="1:12" ht="9" customHeight="1" x14ac:dyDescent="0.55000000000000004">
      <c r="A160" s="194"/>
      <c r="B160" s="194"/>
      <c r="C160" s="194"/>
      <c r="D160" s="194"/>
    </row>
    <row r="161" spans="1:12" x14ac:dyDescent="0.55000000000000004">
      <c r="A161" s="220" t="s">
        <v>313</v>
      </c>
      <c r="B161" s="220"/>
      <c r="C161" s="222"/>
      <c r="D161" s="222">
        <f>D162/(D163/365)</f>
        <v>97.598143944451863</v>
      </c>
      <c r="E161" s="222">
        <f>E162/(E163/365)</f>
        <v>74.718860612504713</v>
      </c>
      <c r="F161" s="222">
        <f>F162/(F163/365)</f>
        <v>80.3</v>
      </c>
      <c r="G161" s="222">
        <f>G162/(G163/365)</f>
        <v>80.3</v>
      </c>
      <c r="H161" s="228">
        <v>80.3</v>
      </c>
      <c r="I161" s="228">
        <f>H161</f>
        <v>80.3</v>
      </c>
      <c r="J161" s="228">
        <f>I161</f>
        <v>80.3</v>
      </c>
      <c r="K161" s="228">
        <f>J161</f>
        <v>80.3</v>
      </c>
      <c r="L161" s="228">
        <f>K161</f>
        <v>80.3</v>
      </c>
    </row>
    <row r="162" spans="1:12" x14ac:dyDescent="0.55000000000000004">
      <c r="A162" s="194" t="s">
        <v>203</v>
      </c>
      <c r="B162" s="194"/>
      <c r="C162" s="193">
        <f>C53</f>
        <v>5601</v>
      </c>
      <c r="D162" s="193">
        <f>D53</f>
        <v>12015</v>
      </c>
      <c r="E162" s="193">
        <f>E53</f>
        <v>14632</v>
      </c>
      <c r="F162" s="193">
        <f>F53</f>
        <v>21175</v>
      </c>
      <c r="G162" s="193">
        <f>G53</f>
        <v>21175</v>
      </c>
      <c r="H162" s="193">
        <f>H161*(H163/365)</f>
        <v>23590.655907096814</v>
      </c>
      <c r="I162" s="193">
        <f>I161*(I163/365)</f>
        <v>25669.257280000114</v>
      </c>
      <c r="J162" s="193">
        <f>J161*(J163/365)</f>
        <v>27965.015025713747</v>
      </c>
      <c r="K162" s="193">
        <f>K161*(K163/365)</f>
        <v>30490.235040360345</v>
      </c>
      <c r="L162" s="193">
        <f>L161*(L163/365)</f>
        <v>33293.130710382124</v>
      </c>
    </row>
    <row r="163" spans="1:12" x14ac:dyDescent="0.55000000000000004">
      <c r="A163" s="194" t="s">
        <v>321</v>
      </c>
      <c r="B163" s="194"/>
      <c r="C163" s="223"/>
      <c r="D163" s="193">
        <f>(D21+D24+D27-D83-D84)</f>
        <v>44934</v>
      </c>
      <c r="E163" s="193">
        <f>(E21+E24+E27-E83-E84)</f>
        <v>71477</v>
      </c>
      <c r="F163" s="193">
        <f>(F21+F24+F27-F83-F84)</f>
        <v>96250</v>
      </c>
      <c r="G163" s="193">
        <f>(G21+G24+G27-G83-G84)</f>
        <v>96250</v>
      </c>
      <c r="H163" s="193">
        <f>H21+H24+H27-H83</f>
        <v>107230.25412316734</v>
      </c>
      <c r="I163" s="193">
        <f>I21+I24+I27-I83</f>
        <v>116678.44218181871</v>
      </c>
      <c r="J163" s="193">
        <f>J21+J24+J27-J83</f>
        <v>127113.70466233522</v>
      </c>
      <c r="K163" s="193">
        <f>K21+K24+K27-K83</f>
        <v>138591.97745618341</v>
      </c>
      <c r="L163" s="193">
        <f>L21+L24+L27-L83</f>
        <v>151332.41231991875</v>
      </c>
    </row>
    <row r="164" spans="1:12" ht="9" customHeight="1" x14ac:dyDescent="0.55000000000000004">
      <c r="A164" s="194"/>
      <c r="B164" s="194"/>
      <c r="C164" s="219"/>
      <c r="D164" s="219"/>
      <c r="E164" s="205"/>
      <c r="F164" s="205"/>
      <c r="G164" s="205"/>
      <c r="H164" s="205"/>
      <c r="I164" s="205"/>
      <c r="J164" s="205"/>
      <c r="K164" s="205"/>
      <c r="L164" s="205"/>
    </row>
    <row r="165" spans="1:12" x14ac:dyDescent="0.55000000000000004">
      <c r="A165" s="220" t="s">
        <v>314</v>
      </c>
      <c r="B165" s="222"/>
      <c r="C165" s="206">
        <f t="shared" ref="C165:L165" si="49">C154+C158-C162</f>
        <v>-89</v>
      </c>
      <c r="D165" s="206">
        <f t="shared" si="49"/>
        <v>-1040</v>
      </c>
      <c r="E165" s="206">
        <f t="shared" si="49"/>
        <v>-2139</v>
      </c>
      <c r="F165" s="206">
        <f t="shared" si="49"/>
        <v>-1692</v>
      </c>
      <c r="G165" s="206">
        <f t="shared" si="49"/>
        <v>-1692</v>
      </c>
      <c r="H165" s="206">
        <f t="shared" si="49"/>
        <v>-1964.0674510968129</v>
      </c>
      <c r="I165" s="206">
        <f t="shared" si="49"/>
        <v>-1880.0099784001104</v>
      </c>
      <c r="J165" s="206">
        <f t="shared" si="49"/>
        <v>-1796.8429939537418</v>
      </c>
      <c r="K165" s="206">
        <f t="shared" si="49"/>
        <v>-1705.2458054243361</v>
      </c>
      <c r="L165" s="206">
        <f t="shared" si="49"/>
        <v>-1629.6425519525146</v>
      </c>
    </row>
    <row r="166" spans="1:12" x14ac:dyDescent="0.55000000000000004">
      <c r="A166" s="220" t="s">
        <v>254</v>
      </c>
      <c r="B166" s="220"/>
      <c r="C166" s="206"/>
      <c r="D166" s="206">
        <f>C165-D165</f>
        <v>951</v>
      </c>
      <c r="E166" s="206">
        <f>D165-E165</f>
        <v>1099</v>
      </c>
      <c r="F166" s="206">
        <f>E165-F165</f>
        <v>-447</v>
      </c>
      <c r="G166" s="206">
        <f>E165-G165</f>
        <v>-447</v>
      </c>
      <c r="H166" s="206">
        <f>G165-H165</f>
        <v>272.06745109681287</v>
      </c>
      <c r="I166" s="206">
        <f>H165-I165</f>
        <v>-84.057472696702462</v>
      </c>
      <c r="J166" s="206">
        <f>I165-J165</f>
        <v>-83.166984446368588</v>
      </c>
      <c r="K166" s="206">
        <f>J165-K165</f>
        <v>-91.597188529405685</v>
      </c>
      <c r="L166" s="206">
        <f>K165-L165</f>
        <v>-75.603253471821517</v>
      </c>
    </row>
    <row r="167" spans="1:12" x14ac:dyDescent="0.55000000000000004">
      <c r="A167" s="194" t="s">
        <v>315</v>
      </c>
      <c r="B167" s="194"/>
      <c r="C167" s="193"/>
      <c r="D167" s="193">
        <f>C154-D154</f>
        <v>-4867</v>
      </c>
      <c r="E167" s="193">
        <f>D154-E154</f>
        <v>-1793</v>
      </c>
      <c r="F167" s="193">
        <f>E154-F154</f>
        <v>-6975</v>
      </c>
      <c r="G167" s="193">
        <f>E154-G154</f>
        <v>-6975</v>
      </c>
      <c r="H167" s="193">
        <f>G154-H154</f>
        <v>-2061.3895890410968</v>
      </c>
      <c r="I167" s="193">
        <f>H154-I154</f>
        <v>-2075.3389589041108</v>
      </c>
      <c r="J167" s="193">
        <f>I154-J154</f>
        <v>-2282.8728547945248</v>
      </c>
      <c r="K167" s="193">
        <f>J154-K154</f>
        <v>-2511.1601402739761</v>
      </c>
      <c r="L167" s="193">
        <f>K154-L154</f>
        <v>-2762.2761543013694</v>
      </c>
    </row>
    <row r="168" spans="1:12" x14ac:dyDescent="0.55000000000000004">
      <c r="A168" s="194" t="s">
        <v>316</v>
      </c>
      <c r="B168" s="194"/>
      <c r="C168" s="193"/>
      <c r="D168" s="193">
        <f>C158-D158</f>
        <v>-596</v>
      </c>
      <c r="E168" s="193">
        <f>D158-E158</f>
        <v>275</v>
      </c>
      <c r="F168" s="193">
        <f>E158-F158</f>
        <v>-15</v>
      </c>
      <c r="G168" s="193">
        <f>E158-G158</f>
        <v>-15</v>
      </c>
      <c r="H168" s="193">
        <f>G158-H158</f>
        <v>-82.198866958904318</v>
      </c>
      <c r="I168" s="193">
        <f>H158-I158</f>
        <v>-87.319886695890432</v>
      </c>
      <c r="J168" s="193">
        <f>I158-J158</f>
        <v>-96.051875365479304</v>
      </c>
      <c r="K168" s="193">
        <f>J158-K158</f>
        <v>-105.65706290202752</v>
      </c>
      <c r="L168" s="193">
        <f>K158-L158</f>
        <v>-116.22276919223032</v>
      </c>
    </row>
    <row r="169" spans="1:12" x14ac:dyDescent="0.55000000000000004">
      <c r="A169" s="194" t="s">
        <v>317</v>
      </c>
      <c r="B169" s="194"/>
      <c r="C169" s="193"/>
      <c r="D169" s="193">
        <f>D162-C162</f>
        <v>6414</v>
      </c>
      <c r="E169" s="193">
        <f>E162-D162</f>
        <v>2617</v>
      </c>
      <c r="F169" s="193">
        <f>F162-E162</f>
        <v>6543</v>
      </c>
      <c r="G169" s="193">
        <f>G162-E162</f>
        <v>6543</v>
      </c>
      <c r="H169" s="193">
        <f>H162-G162</f>
        <v>2415.6559070968142</v>
      </c>
      <c r="I169" s="193">
        <f>I162-H162</f>
        <v>2078.6013729033002</v>
      </c>
      <c r="J169" s="193">
        <f>J162-I162</f>
        <v>2295.7577457136322</v>
      </c>
      <c r="K169" s="193">
        <f>K162-J162</f>
        <v>2525.2200146465984</v>
      </c>
      <c r="L169" s="193">
        <f>L162-K162</f>
        <v>2802.8956700217786</v>
      </c>
    </row>
    <row r="170" spans="1:12" s="194" customFormat="1" ht="12.9" x14ac:dyDescent="0.5">
      <c r="D170" s="255">
        <f>D167+D168+D169-D166</f>
        <v>0</v>
      </c>
      <c r="E170" s="255">
        <f t="shared" ref="E170:L170" si="50">E167+E168+E169-E166</f>
        <v>0</v>
      </c>
      <c r="F170" s="255">
        <f t="shared" si="50"/>
        <v>0</v>
      </c>
      <c r="G170" s="255">
        <f t="shared" si="50"/>
        <v>0</v>
      </c>
      <c r="H170" s="255">
        <f t="shared" si="50"/>
        <v>0</v>
      </c>
      <c r="I170" s="255">
        <f t="shared" si="50"/>
        <v>1.3642420526593924E-12</v>
      </c>
      <c r="J170" s="255">
        <f t="shared" si="50"/>
        <v>-3.1832314562052488E-12</v>
      </c>
      <c r="K170" s="255">
        <f t="shared" si="50"/>
        <v>4.5474735088646412E-13</v>
      </c>
      <c r="L170" s="255">
        <f t="shared" si="50"/>
        <v>4.5474735088646412E-13</v>
      </c>
    </row>
    <row r="171" spans="1:12" s="194" customFormat="1" ht="12.9" x14ac:dyDescent="0.5">
      <c r="D171" s="255"/>
      <c r="E171" s="255"/>
      <c r="F171" s="255"/>
      <c r="G171" s="255"/>
      <c r="H171" s="255"/>
      <c r="I171" s="255"/>
      <c r="J171" s="255"/>
      <c r="K171" s="255"/>
      <c r="L171" s="255"/>
    </row>
    <row r="172" spans="1:12" s="194" customFormat="1" ht="12.9" x14ac:dyDescent="0.5">
      <c r="A172" s="194" t="s">
        <v>351</v>
      </c>
      <c r="D172" s="257">
        <f>D46</f>
        <v>5083</v>
      </c>
      <c r="E172" s="257">
        <f>E46</f>
        <v>6543</v>
      </c>
      <c r="F172" s="257">
        <f>F46</f>
        <v>9041</v>
      </c>
      <c r="G172" s="257">
        <f>G46</f>
        <v>9041</v>
      </c>
      <c r="H172" s="257">
        <f>H$19*H173</f>
        <v>9945.1000000000022</v>
      </c>
      <c r="I172" s="257">
        <f>I$19*I173</f>
        <v>10939.610000000002</v>
      </c>
      <c r="J172" s="257">
        <f>J$19*J173</f>
        <v>12033.571000000004</v>
      </c>
      <c r="K172" s="257">
        <f>K$19*K173</f>
        <v>13236.928100000005</v>
      </c>
      <c r="L172" s="257">
        <f>L$19*L173</f>
        <v>14560.620910000005</v>
      </c>
    </row>
    <row r="173" spans="1:12" s="194" customFormat="1" ht="12.9" x14ac:dyDescent="0.5">
      <c r="B173" s="194" t="s">
        <v>352</v>
      </c>
      <c r="D173" s="258">
        <f>D172/D$19</f>
        <v>7.7930241471828282E-2</v>
      </c>
      <c r="E173" s="258">
        <f>E172/E$19</f>
        <v>6.0443976387772637E-2</v>
      </c>
      <c r="F173" s="258">
        <f>F172/F$19</f>
        <v>5.7767015104659189E-2</v>
      </c>
      <c r="G173" s="260">
        <f>G172/G$19</f>
        <v>5.7767015104659189E-2</v>
      </c>
      <c r="H173" s="261">
        <f>G173</f>
        <v>5.7767015104659189E-2</v>
      </c>
      <c r="I173" s="261">
        <f>H173</f>
        <v>5.7767015104659189E-2</v>
      </c>
      <c r="J173" s="261">
        <f>I173</f>
        <v>5.7767015104659189E-2</v>
      </c>
      <c r="K173" s="261">
        <f>J173</f>
        <v>5.7767015104659189E-2</v>
      </c>
      <c r="L173" s="261">
        <f>K173</f>
        <v>5.7767015104659189E-2</v>
      </c>
    </row>
    <row r="174" spans="1:12" s="194" customFormat="1" ht="12.9" x14ac:dyDescent="0.5">
      <c r="A174" s="194" t="s">
        <v>353</v>
      </c>
      <c r="D174" s="257">
        <f>D55</f>
        <v>5066</v>
      </c>
      <c r="E174" s="257">
        <f>E55</f>
        <v>8509</v>
      </c>
      <c r="F174" s="257">
        <f>F55</f>
        <v>10618</v>
      </c>
      <c r="G174" s="257">
        <f>G55</f>
        <v>10618</v>
      </c>
      <c r="H174" s="257">
        <f>H$19*H175</f>
        <v>11679.800000000001</v>
      </c>
      <c r="I174" s="257">
        <f>I$19*I175</f>
        <v>12847.78</v>
      </c>
      <c r="J174" s="257">
        <f>J$19*J175</f>
        <v>14132.558000000003</v>
      </c>
      <c r="K174" s="257">
        <f>K$19*K175</f>
        <v>15545.813800000004</v>
      </c>
      <c r="L174" s="257">
        <f>L$19*L175</f>
        <v>17100.395180000003</v>
      </c>
    </row>
    <row r="175" spans="1:12" s="194" customFormat="1" ht="12.9" x14ac:dyDescent="0.5">
      <c r="B175" s="194" t="s">
        <v>354</v>
      </c>
      <c r="D175" s="258">
        <f>D174/D$19</f>
        <v>7.7669605212725187E-2</v>
      </c>
      <c r="E175" s="258">
        <f>E174/E$19</f>
        <v>7.8605806982050649E-2</v>
      </c>
      <c r="F175" s="258">
        <f>F174/F$19</f>
        <v>6.7843177345566996E-2</v>
      </c>
      <c r="G175" s="260">
        <f>G174/G$19</f>
        <v>6.7843177345566996E-2</v>
      </c>
      <c r="H175" s="261">
        <f>G175</f>
        <v>6.7843177345566996E-2</v>
      </c>
      <c r="I175" s="261">
        <f>H175</f>
        <v>6.7843177345566996E-2</v>
      </c>
      <c r="J175" s="261">
        <f>I175</f>
        <v>6.7843177345566996E-2</v>
      </c>
      <c r="K175" s="261">
        <f>J175</f>
        <v>6.7843177345566996E-2</v>
      </c>
      <c r="L175" s="261">
        <f>K175</f>
        <v>6.7843177345566996E-2</v>
      </c>
    </row>
    <row r="176" spans="1:12" s="194" customFormat="1" ht="12.9" x14ac:dyDescent="0.5">
      <c r="D176" s="255"/>
      <c r="E176" s="255"/>
      <c r="F176" s="255"/>
      <c r="G176" s="255"/>
      <c r="H176" s="255"/>
      <c r="I176" s="255"/>
      <c r="J176" s="255"/>
      <c r="K176" s="255"/>
      <c r="L176" s="255"/>
    </row>
    <row r="177" spans="1:13" s="194" customFormat="1" ht="12.9" x14ac:dyDescent="0.5">
      <c r="A177" s="194" t="s">
        <v>219</v>
      </c>
      <c r="D177" s="257">
        <f>D49</f>
        <v>3004</v>
      </c>
      <c r="E177" s="257">
        <f>E49</f>
        <v>4452</v>
      </c>
      <c r="F177" s="257">
        <f>F49</f>
        <v>6613</v>
      </c>
      <c r="G177" s="257">
        <f>G49</f>
        <v>6613</v>
      </c>
      <c r="H177" s="257">
        <f>H$19*H178</f>
        <v>7274.3</v>
      </c>
      <c r="I177" s="257">
        <f>I$19*I178</f>
        <v>8001.7300000000005</v>
      </c>
      <c r="J177" s="257">
        <f>J$19*J178</f>
        <v>8801.9030000000021</v>
      </c>
      <c r="K177" s="257">
        <f>K$19*K178</f>
        <v>9682.0933000000023</v>
      </c>
      <c r="L177" s="257">
        <f>L$19*L178</f>
        <v>10650.302630000004</v>
      </c>
    </row>
    <row r="178" spans="1:13" s="194" customFormat="1" ht="12.9" x14ac:dyDescent="0.5">
      <c r="B178" s="194" t="s">
        <v>356</v>
      </c>
      <c r="D178" s="260">
        <f>D177/D$19</f>
        <v>4.6055960137983902E-2</v>
      </c>
      <c r="E178" s="260">
        <f>E177/E$19</f>
        <v>4.112740071501815E-2</v>
      </c>
      <c r="F178" s="260">
        <f>F177/F$19</f>
        <v>4.2253431134510695E-2</v>
      </c>
      <c r="G178" s="260">
        <f>G177/G$19</f>
        <v>4.2253431134510695E-2</v>
      </c>
      <c r="H178" s="261">
        <f>G178</f>
        <v>4.2253431134510695E-2</v>
      </c>
      <c r="I178" s="261">
        <f>H178</f>
        <v>4.2253431134510695E-2</v>
      </c>
      <c r="J178" s="261">
        <f>I178</f>
        <v>4.2253431134510695E-2</v>
      </c>
      <c r="K178" s="261">
        <f>J178</f>
        <v>4.2253431134510695E-2</v>
      </c>
      <c r="L178" s="261">
        <f>K178</f>
        <v>4.2253431134510695E-2</v>
      </c>
    </row>
    <row r="179" spans="1:13" s="194" customFormat="1" ht="12.9" x14ac:dyDescent="0.5">
      <c r="A179" s="194" t="s">
        <v>357</v>
      </c>
      <c r="D179" s="257">
        <f>D56</f>
        <v>6670</v>
      </c>
      <c r="E179" s="257">
        <f>E56</f>
        <v>11786</v>
      </c>
      <c r="F179" s="257">
        <f>F56</f>
        <v>19312</v>
      </c>
      <c r="G179" s="257">
        <f>G56</f>
        <v>19312</v>
      </c>
      <c r="H179" s="257">
        <f>H$19*H180</f>
        <v>21243.200000000004</v>
      </c>
      <c r="I179" s="257">
        <f>I$19*I180</f>
        <v>23367.520000000004</v>
      </c>
      <c r="J179" s="257">
        <f>J$19*J180</f>
        <v>25704.272000000004</v>
      </c>
      <c r="K179" s="257">
        <f>K$19*K180</f>
        <v>28274.69920000001</v>
      </c>
      <c r="L179" s="257">
        <f>L$19*L180</f>
        <v>31102.16912000001</v>
      </c>
    </row>
    <row r="180" spans="1:13" s="194" customFormat="1" ht="12.9" x14ac:dyDescent="0.5">
      <c r="B180" s="194" t="s">
        <v>358</v>
      </c>
      <c r="D180" s="259">
        <f>D179/D$19</f>
        <v>0.10226140283633577</v>
      </c>
      <c r="E180" s="259">
        <f>E179/E$19</f>
        <v>0.10887860395938992</v>
      </c>
      <c r="F180" s="259">
        <f>F179/F$19</f>
        <v>0.12339305339024204</v>
      </c>
      <c r="G180" s="259">
        <f>G179/G$19</f>
        <v>0.12339305339024204</v>
      </c>
      <c r="H180" s="261">
        <f>G180</f>
        <v>0.12339305339024204</v>
      </c>
      <c r="I180" s="261">
        <f>H180</f>
        <v>0.12339305339024204</v>
      </c>
      <c r="J180" s="261">
        <f>I180</f>
        <v>0.12339305339024204</v>
      </c>
      <c r="K180" s="261">
        <f>J180</f>
        <v>0.12339305339024204</v>
      </c>
      <c r="L180" s="261">
        <f>K180</f>
        <v>0.12339305339024204</v>
      </c>
    </row>
    <row r="181" spans="1:13" s="194" customFormat="1" ht="12.9" x14ac:dyDescent="0.5">
      <c r="D181" s="256"/>
      <c r="E181" s="256">
        <f>D177-E177+E179-D179</f>
        <v>3668</v>
      </c>
      <c r="F181" s="256">
        <f>E177-F177+F179-E179</f>
        <v>5365</v>
      </c>
      <c r="G181" s="256">
        <f>F181</f>
        <v>5365</v>
      </c>
      <c r="H181" s="256">
        <f>G177-H177+H179-G179</f>
        <v>1269.9000000000051</v>
      </c>
      <c r="I181" s="256">
        <f>H177-I177+I179-H179</f>
        <v>1396.8899999999994</v>
      </c>
      <c r="J181" s="256">
        <f>I177-J177+J179-I179</f>
        <v>1536.5789999999979</v>
      </c>
      <c r="K181" s="256">
        <f>J177-K177+K179-J179</f>
        <v>1690.2369000000035</v>
      </c>
      <c r="L181" s="256">
        <f>K177-L177+L179-K179</f>
        <v>1859.260589999998</v>
      </c>
    </row>
    <row r="182" spans="1:13" x14ac:dyDescent="0.55000000000000004">
      <c r="A182" s="233" t="s">
        <v>328</v>
      </c>
    </row>
    <row r="183" spans="1:13" x14ac:dyDescent="0.55000000000000004">
      <c r="A183" s="194" t="s">
        <v>329</v>
      </c>
      <c r="C183" s="193">
        <v>5263</v>
      </c>
      <c r="D183" s="193">
        <v>11261</v>
      </c>
      <c r="E183" s="193">
        <v>9815</v>
      </c>
      <c r="F183" s="193">
        <v>10746</v>
      </c>
      <c r="G183" s="198">
        <v>20080</v>
      </c>
      <c r="H183" s="236">
        <f>H184*H185</f>
        <v>21909.23927565986</v>
      </c>
      <c r="I183" s="236">
        <f>I184*I185</f>
        <v>23834.5720878789</v>
      </c>
      <c r="J183" s="236">
        <f>J184*J185</f>
        <v>25961.24143465317</v>
      </c>
      <c r="K183" s="236">
        <f>K184*K185</f>
        <v>28300.470229704879</v>
      </c>
      <c r="L183" s="236">
        <f>L184*L185</f>
        <v>30897.441652283069</v>
      </c>
    </row>
    <row r="184" spans="1:13" x14ac:dyDescent="0.55000000000000004">
      <c r="A184" s="194" t="s">
        <v>331</v>
      </c>
      <c r="D184" s="193">
        <f t="shared" ref="D184:L184" si="51">(D21+D24+D27-D83-D84)/12</f>
        <v>3744.5</v>
      </c>
      <c r="E184" s="193">
        <f t="shared" si="51"/>
        <v>5956.416666666667</v>
      </c>
      <c r="F184" s="193">
        <f t="shared" si="51"/>
        <v>8020.833333333333</v>
      </c>
      <c r="G184" s="193">
        <f t="shared" si="51"/>
        <v>8020.833333333333</v>
      </c>
      <c r="H184" s="193">
        <f t="shared" si="51"/>
        <v>8763.6957102639444</v>
      </c>
      <c r="I184" s="193">
        <f t="shared" si="51"/>
        <v>9533.8288351515603</v>
      </c>
      <c r="J184" s="193">
        <f t="shared" si="51"/>
        <v>10384.496573861268</v>
      </c>
      <c r="K184" s="193">
        <f t="shared" si="51"/>
        <v>11320.188091881952</v>
      </c>
      <c r="L184" s="193">
        <f t="shared" si="51"/>
        <v>12358.976660913228</v>
      </c>
    </row>
    <row r="185" spans="1:13" x14ac:dyDescent="0.55000000000000004">
      <c r="A185" s="194" t="s">
        <v>332</v>
      </c>
      <c r="C185" s="193"/>
      <c r="D185" s="197">
        <f>D183/D184</f>
        <v>3.0073441046868741</v>
      </c>
      <c r="E185" s="197">
        <f>E183/E184</f>
        <v>1.6478027897085774</v>
      </c>
      <c r="F185" s="197">
        <f>F183/F184</f>
        <v>1.339761038961039</v>
      </c>
      <c r="G185" s="234">
        <f>G183/G184</f>
        <v>2.5034805194805196</v>
      </c>
      <c r="H185" s="267">
        <v>2.5</v>
      </c>
      <c r="I185" s="267">
        <f>H185</f>
        <v>2.5</v>
      </c>
      <c r="J185" s="267">
        <f>I185</f>
        <v>2.5</v>
      </c>
      <c r="K185" s="267">
        <f>J185</f>
        <v>2.5</v>
      </c>
      <c r="L185" s="267">
        <f>K185</f>
        <v>2.5</v>
      </c>
      <c r="M185" s="268" t="s">
        <v>363</v>
      </c>
    </row>
    <row r="186" spans="1:13" x14ac:dyDescent="0.55000000000000004">
      <c r="G186" s="193"/>
      <c r="H186" s="193"/>
      <c r="I186" s="193"/>
      <c r="J186" s="193"/>
      <c r="K186" s="193"/>
      <c r="L186" s="193"/>
    </row>
    <row r="187" spans="1:13" x14ac:dyDescent="0.55000000000000004">
      <c r="A187" s="194" t="s">
        <v>502</v>
      </c>
      <c r="C187" s="193">
        <f>18201+10528</f>
        <v>28729</v>
      </c>
      <c r="D187" s="193">
        <f>14359+25391</f>
        <v>39750</v>
      </c>
      <c r="E187" s="193">
        <f>16137+55618</f>
        <v>71755</v>
      </c>
      <c r="F187" s="193">
        <f>18383+92122</f>
        <v>110505</v>
      </c>
      <c r="G187" s="193">
        <f>F187</f>
        <v>110505</v>
      </c>
      <c r="H187" s="236">
        <f ca="1">H43</f>
        <v>112800.28705286977</v>
      </c>
      <c r="I187" s="236">
        <f ca="1">I43</f>
        <v>159652.94062187715</v>
      </c>
      <c r="J187" s="236">
        <f ca="1">J43</f>
        <v>212708.73116184998</v>
      </c>
      <c r="K187" s="236">
        <f ca="1">K43</f>
        <v>272598.35510093509</v>
      </c>
      <c r="L187" s="236">
        <f ca="1">L43</f>
        <v>339901.88523415179</v>
      </c>
    </row>
    <row r="188" spans="1:13" x14ac:dyDescent="0.55000000000000004">
      <c r="A188" s="194" t="s">
        <v>330</v>
      </c>
      <c r="C188" s="193"/>
      <c r="D188" s="193">
        <f>D191</f>
        <v>311</v>
      </c>
      <c r="E188" s="193">
        <f>E191</f>
        <v>519</v>
      </c>
      <c r="F188" s="193">
        <f>F191</f>
        <v>1088</v>
      </c>
      <c r="G188" s="193">
        <f>G191</f>
        <v>1088</v>
      </c>
      <c r="H188" s="193">
        <f ca="1">((G187+H187)/2)*H189</f>
        <v>1339.8317223172187</v>
      </c>
      <c r="I188" s="193">
        <f ca="1">((H187+I187)/2)*I189</f>
        <v>1634.7193660484813</v>
      </c>
      <c r="J188" s="193">
        <f ca="1">((I187+J187)/2)*J189</f>
        <v>2234.170030702363</v>
      </c>
      <c r="K188" s="193">
        <f ca="1">((J187+K187)/2)*K189</f>
        <v>2911.8425175767106</v>
      </c>
      <c r="L188" s="193">
        <f ca="1">((K187+L187)/2)*L189</f>
        <v>3675.0014420105213</v>
      </c>
    </row>
    <row r="189" spans="1:13" x14ac:dyDescent="0.55000000000000004">
      <c r="A189" s="194" t="s">
        <v>340</v>
      </c>
      <c r="D189" s="241">
        <f>D188/((D187+C187)/2)</f>
        <v>9.0830765636180436E-3</v>
      </c>
      <c r="E189" s="241">
        <f>E188/((E187+D187)/2)</f>
        <v>9.3089995964306532E-3</v>
      </c>
      <c r="F189" s="241">
        <f>F188/((F187+E187)/2)</f>
        <v>1.1938988258531768E-2</v>
      </c>
      <c r="G189" s="241">
        <f>G188/((G187+E187)/2)</f>
        <v>1.1938988258531768E-2</v>
      </c>
      <c r="H189" s="242">
        <v>1.2E-2</v>
      </c>
      <c r="I189" s="242">
        <f>H189</f>
        <v>1.2E-2</v>
      </c>
      <c r="J189" s="242">
        <f>I189</f>
        <v>1.2E-2</v>
      </c>
      <c r="K189" s="242">
        <f>J189</f>
        <v>1.2E-2</v>
      </c>
      <c r="L189" s="242">
        <f>K189</f>
        <v>1.2E-2</v>
      </c>
    </row>
    <row r="191" spans="1:13" x14ac:dyDescent="0.55000000000000004">
      <c r="A191" s="194" t="s">
        <v>338</v>
      </c>
      <c r="D191" s="193">
        <v>311</v>
      </c>
      <c r="E191" s="193">
        <v>519</v>
      </c>
      <c r="F191" s="193">
        <v>1088</v>
      </c>
      <c r="G191" s="193">
        <v>1088</v>
      </c>
      <c r="H191" s="193">
        <f ca="1">H188</f>
        <v>1339.8317223172187</v>
      </c>
      <c r="I191" s="193">
        <f ca="1">I188</f>
        <v>1634.7193660484813</v>
      </c>
      <c r="J191" s="193">
        <f ca="1">J188</f>
        <v>2234.170030702363</v>
      </c>
      <c r="K191" s="193">
        <f ca="1">K188</f>
        <v>2911.8425175767106</v>
      </c>
      <c r="L191" s="193">
        <f ca="1">L188</f>
        <v>3675.0014420105213</v>
      </c>
    </row>
    <row r="192" spans="1:13" x14ac:dyDescent="0.55000000000000004">
      <c r="A192" s="194" t="s">
        <v>339</v>
      </c>
      <c r="D192" s="215">
        <v>-156</v>
      </c>
      <c r="E192" s="215">
        <v>-104</v>
      </c>
      <c r="F192" s="215">
        <v>-566</v>
      </c>
      <c r="G192" s="215">
        <v>-566</v>
      </c>
      <c r="H192" s="215">
        <f>-((H56+G56)/2)*H193</f>
        <v>-738.12602739726037</v>
      </c>
      <c r="I192" s="215">
        <f>-((I56+H56)/2)*I193</f>
        <v>-811.93863013698649</v>
      </c>
      <c r="J192" s="215">
        <f>-((J56+I56)/2)*J193</f>
        <v>-893.13249315068504</v>
      </c>
      <c r="K192" s="215">
        <f>-((K56+J56)/2)*K193</f>
        <v>-982.44574246575371</v>
      </c>
      <c r="L192" s="215">
        <f>-((L56+K56)/2)*L193</f>
        <v>-1080.6903167123291</v>
      </c>
    </row>
    <row r="193" spans="1:14" x14ac:dyDescent="0.55000000000000004">
      <c r="A193" s="194"/>
      <c r="B193" s="194" t="s">
        <v>361</v>
      </c>
      <c r="D193" s="243"/>
      <c r="E193" s="243">
        <f>-E192/((E56+D56)/2)</f>
        <v>1.1270047680970958E-2</v>
      </c>
      <c r="F193" s="243">
        <f>-F192/((F56+E56)/2)</f>
        <v>3.640105473020773E-2</v>
      </c>
      <c r="G193" s="243">
        <f t="shared" ref="G193:L193" si="52">F193</f>
        <v>3.640105473020773E-2</v>
      </c>
      <c r="H193" s="244">
        <f t="shared" si="52"/>
        <v>3.640105473020773E-2</v>
      </c>
      <c r="I193" s="244">
        <f t="shared" si="52"/>
        <v>3.640105473020773E-2</v>
      </c>
      <c r="J193" s="244">
        <f t="shared" si="52"/>
        <v>3.640105473020773E-2</v>
      </c>
      <c r="K193" s="244">
        <f t="shared" si="52"/>
        <v>3.640105473020773E-2</v>
      </c>
      <c r="L193" s="244">
        <f t="shared" si="52"/>
        <v>3.640105473020773E-2</v>
      </c>
    </row>
    <row r="194" spans="1:14" x14ac:dyDescent="0.55000000000000004">
      <c r="A194" s="214" t="s">
        <v>283</v>
      </c>
      <c r="B194" s="214"/>
      <c r="C194" s="215"/>
      <c r="D194" s="215">
        <f t="shared" ref="D194:L194" si="53">D191+D192</f>
        <v>155</v>
      </c>
      <c r="E194" s="215">
        <f t="shared" si="53"/>
        <v>415</v>
      </c>
      <c r="F194" s="215">
        <f t="shared" si="53"/>
        <v>522</v>
      </c>
      <c r="G194" s="215">
        <f t="shared" si="53"/>
        <v>522</v>
      </c>
      <c r="H194" s="215">
        <f t="shared" ca="1" si="53"/>
        <v>601.70569491995832</v>
      </c>
      <c r="I194" s="215">
        <f t="shared" ca="1" si="53"/>
        <v>822.78073591149484</v>
      </c>
      <c r="J194" s="215">
        <f t="shared" ca="1" si="53"/>
        <v>1341.0375375516778</v>
      </c>
      <c r="K194" s="215">
        <f t="shared" ca="1" si="53"/>
        <v>1929.3967751109569</v>
      </c>
      <c r="L194" s="215">
        <f t="shared" ca="1" si="53"/>
        <v>2594.3111252981921</v>
      </c>
    </row>
    <row r="197" spans="1:14" ht="14.7" thickBot="1" x14ac:dyDescent="0.6">
      <c r="C197" s="169" t="s">
        <v>255</v>
      </c>
      <c r="D197" s="169"/>
      <c r="E197" s="169"/>
      <c r="F197" s="254"/>
      <c r="G197" s="254"/>
      <c r="H197" s="254"/>
      <c r="I197" s="169" t="s">
        <v>255</v>
      </c>
      <c r="J197" s="170" t="s">
        <v>257</v>
      </c>
      <c r="K197" s="170"/>
      <c r="L197" s="170"/>
      <c r="M197" s="170"/>
      <c r="N197" s="170"/>
    </row>
    <row r="198" spans="1:14" ht="14.7" thickTop="1" x14ac:dyDescent="0.55000000000000004">
      <c r="C198" s="418">
        <v>2010</v>
      </c>
      <c r="D198" s="418">
        <v>2011</v>
      </c>
      <c r="E198" s="418">
        <v>2012</v>
      </c>
      <c r="F198" s="254"/>
      <c r="G198" s="254"/>
      <c r="H198" s="254"/>
      <c r="I198" s="418">
        <v>2012</v>
      </c>
      <c r="J198" s="418">
        <f>E198+1</f>
        <v>2013</v>
      </c>
      <c r="K198" s="418">
        <f>J198+1</f>
        <v>2014</v>
      </c>
      <c r="L198" s="418">
        <f>K198+1</f>
        <v>2015</v>
      </c>
      <c r="M198" s="418">
        <f>L198+1</f>
        <v>2016</v>
      </c>
      <c r="N198" s="418">
        <f>M198+1</f>
        <v>2017</v>
      </c>
    </row>
    <row r="200" spans="1:14" x14ac:dyDescent="0.55000000000000004">
      <c r="A200" s="156" t="s">
        <v>44</v>
      </c>
      <c r="B200" s="156"/>
      <c r="C200" s="414">
        <f>D19</f>
        <v>65225</v>
      </c>
      <c r="D200" s="414">
        <f>E19</f>
        <v>108249</v>
      </c>
      <c r="E200" s="414">
        <f>F19</f>
        <v>156508</v>
      </c>
      <c r="F200" s="414"/>
      <c r="G200" s="156" t="s">
        <v>549</v>
      </c>
      <c r="I200" s="414">
        <f>F92-F86</f>
        <v>41379</v>
      </c>
      <c r="J200" s="414">
        <f ca="1">H92-H86</f>
        <v>43458.526328529617</v>
      </c>
      <c r="K200" s="414">
        <f ca="1">I92-I86</f>
        <v>48777.986381226408</v>
      </c>
      <c r="L200" s="414">
        <f ca="1">J92-J86</f>
        <v>55182.459886747085</v>
      </c>
      <c r="M200" s="414">
        <f ca="1">K92-K86</f>
        <v>62228.852734136832</v>
      </c>
      <c r="N200" s="414">
        <f ca="1">L92-L86</f>
        <v>69900.501555794894</v>
      </c>
    </row>
    <row r="201" spans="1:14" x14ac:dyDescent="0.55000000000000004">
      <c r="B201" s="254" t="s">
        <v>500</v>
      </c>
      <c r="C201" s="412">
        <f>'P&amp;L'!B34</f>
        <v>24498</v>
      </c>
      <c r="D201" s="412">
        <f>'P&amp;L'!C34</f>
        <v>38315</v>
      </c>
      <c r="E201" s="412">
        <f>'P&amp;L'!D34</f>
        <v>57512</v>
      </c>
      <c r="G201" s="415" t="s">
        <v>500</v>
      </c>
      <c r="J201" s="419">
        <f ca="1">J200*J204</f>
        <v>17383.410531411846</v>
      </c>
      <c r="K201" s="419">
        <f ca="1">K200*K204</f>
        <v>19511.194552490564</v>
      </c>
      <c r="L201" s="419">
        <f ca="1">L200*L204</f>
        <v>22072.983954698837</v>
      </c>
      <c r="M201" s="419">
        <f ca="1">M200*M204</f>
        <v>24891.541093654734</v>
      </c>
      <c r="N201" s="419">
        <f ca="1">N200*N204</f>
        <v>27960.20062231796</v>
      </c>
    </row>
    <row r="202" spans="1:14" x14ac:dyDescent="0.55000000000000004">
      <c r="B202" s="254" t="s">
        <v>501</v>
      </c>
      <c r="C202" s="412">
        <f>C200-C201</f>
        <v>40727</v>
      </c>
      <c r="D202" s="412">
        <f>D200-D201</f>
        <v>69934</v>
      </c>
      <c r="E202" s="412">
        <f>E200-E201</f>
        <v>98996</v>
      </c>
      <c r="G202" s="415" t="s">
        <v>501</v>
      </c>
      <c r="J202" s="412">
        <f ca="1">J205*J200</f>
        <v>26075.115797117771</v>
      </c>
      <c r="K202" s="412">
        <f ca="1">K205*K200</f>
        <v>29266.791828735844</v>
      </c>
      <c r="L202" s="412">
        <f ca="1">L205*L200</f>
        <v>33109.475932048248</v>
      </c>
      <c r="M202" s="412">
        <f ca="1">M205*M200</f>
        <v>37337.311640482098</v>
      </c>
      <c r="N202" s="412">
        <f ca="1">N205*N200</f>
        <v>41940.300933476938</v>
      </c>
    </row>
    <row r="203" spans="1:14" ht="9" customHeight="1" x14ac:dyDescent="0.55000000000000004">
      <c r="G203" s="416"/>
    </row>
    <row r="204" spans="1:14" x14ac:dyDescent="0.55000000000000004">
      <c r="B204" s="254" t="s">
        <v>500</v>
      </c>
      <c r="C204" s="413">
        <f>C201/C200</f>
        <v>0.3755921809122269</v>
      </c>
      <c r="D204" s="413">
        <f>D201/D200</f>
        <v>0.35395246145460929</v>
      </c>
      <c r="E204" s="413">
        <f>E201/E200</f>
        <v>0.36747003348071666</v>
      </c>
      <c r="G204" s="415" t="s">
        <v>500</v>
      </c>
      <c r="J204" s="417">
        <v>0.4</v>
      </c>
      <c r="K204" s="417">
        <f>J204</f>
        <v>0.4</v>
      </c>
      <c r="L204" s="417">
        <f>K204</f>
        <v>0.4</v>
      </c>
      <c r="M204" s="417">
        <f>L204</f>
        <v>0.4</v>
      </c>
      <c r="N204" s="417">
        <f>M204</f>
        <v>0.4</v>
      </c>
    </row>
    <row r="205" spans="1:14" x14ac:dyDescent="0.55000000000000004">
      <c r="B205" s="254" t="s">
        <v>501</v>
      </c>
      <c r="C205" s="413">
        <f>C202/C200</f>
        <v>0.6244078190877731</v>
      </c>
      <c r="D205" s="413">
        <f>D202/D200</f>
        <v>0.64604753854539076</v>
      </c>
      <c r="E205" s="413">
        <f>E202/E200</f>
        <v>0.63252996651928339</v>
      </c>
      <c r="G205" s="415" t="s">
        <v>501</v>
      </c>
      <c r="J205" s="413">
        <f>1-J204</f>
        <v>0.6</v>
      </c>
      <c r="K205" s="413">
        <f>1-K204</f>
        <v>0.6</v>
      </c>
      <c r="L205" s="413">
        <f>1-L204</f>
        <v>0.6</v>
      </c>
      <c r="M205" s="413">
        <f>1-M204</f>
        <v>0.6</v>
      </c>
      <c r="N205" s="413">
        <f>1-N204</f>
        <v>0.6</v>
      </c>
    </row>
    <row r="206" spans="1:14" ht="16.5" customHeight="1" x14ac:dyDescent="0.55000000000000004">
      <c r="H206" s="319" t="s">
        <v>218</v>
      </c>
      <c r="I206" s="319" t="s">
        <v>504</v>
      </c>
      <c r="J206" s="319"/>
    </row>
    <row r="207" spans="1:14" x14ac:dyDescent="0.55000000000000004">
      <c r="A207" s="156" t="s">
        <v>133</v>
      </c>
      <c r="C207" s="414">
        <f>D28</f>
        <v>18385</v>
      </c>
      <c r="D207" s="414">
        <f>E28</f>
        <v>33790</v>
      </c>
      <c r="E207" s="414">
        <f>F28</f>
        <v>55241</v>
      </c>
      <c r="F207" s="414"/>
      <c r="G207" s="156" t="s">
        <v>503</v>
      </c>
      <c r="H207" s="414">
        <f>'Excess Cash'!C6</f>
        <v>121251</v>
      </c>
      <c r="I207" s="414">
        <f>-'Excess Cash'!C17</f>
        <v>-20080</v>
      </c>
      <c r="J207" s="414"/>
    </row>
    <row r="208" spans="1:14" x14ac:dyDescent="0.55000000000000004">
      <c r="B208" s="254" t="s">
        <v>500</v>
      </c>
      <c r="C208" s="412">
        <f>'P&amp;L'!B36</f>
        <v>7590</v>
      </c>
      <c r="D208" s="412">
        <f>'P&amp;L'!C36</f>
        <v>13538</v>
      </c>
      <c r="E208" s="412">
        <f>'P&amp;L'!D36</f>
        <v>23733</v>
      </c>
      <c r="G208" s="415" t="s">
        <v>500</v>
      </c>
      <c r="H208" s="419">
        <f>'Excess Cash'!C8</f>
        <v>37587.810000000012</v>
      </c>
      <c r="I208" s="419">
        <f>I207*I211</f>
        <v>-6224.800000000002</v>
      </c>
      <c r="J208" s="419">
        <f ca="1">H208+I208+J201</f>
        <v>48746.420531411859</v>
      </c>
      <c r="K208" s="419">
        <f ca="1">J208+K201</f>
        <v>68257.615083902419</v>
      </c>
      <c r="L208" s="419">
        <f ca="1">K208+L201</f>
        <v>90330.599038601256</v>
      </c>
      <c r="M208" s="419">
        <f ca="1">L208+M201</f>
        <v>115222.140132256</v>
      </c>
      <c r="N208" s="419">
        <f ca="1">M208+N201</f>
        <v>143182.34075457396</v>
      </c>
    </row>
    <row r="209" spans="2:14" x14ac:dyDescent="0.55000000000000004">
      <c r="B209" s="254" t="s">
        <v>501</v>
      </c>
      <c r="C209" s="412">
        <f>C207-C208</f>
        <v>10795</v>
      </c>
      <c r="D209" s="412">
        <f>D207-D208</f>
        <v>20252</v>
      </c>
      <c r="E209" s="412">
        <f>E207-E208</f>
        <v>31508</v>
      </c>
      <c r="G209" s="415" t="s">
        <v>501</v>
      </c>
      <c r="H209" s="412">
        <f>'Excess Cash'!C7</f>
        <v>83663.189999999988</v>
      </c>
      <c r="I209" s="412">
        <f>I207*I212</f>
        <v>-13855.199999999999</v>
      </c>
      <c r="J209" s="412"/>
      <c r="K209" s="412"/>
      <c r="L209" s="412"/>
      <c r="M209" s="412"/>
      <c r="N209" s="412"/>
    </row>
    <row r="210" spans="2:14" ht="9" customHeight="1" x14ac:dyDescent="0.55000000000000004">
      <c r="G210" s="416"/>
    </row>
    <row r="211" spans="2:14" x14ac:dyDescent="0.55000000000000004">
      <c r="B211" s="254" t="s">
        <v>500</v>
      </c>
      <c r="C211" s="413">
        <f>C208/C207</f>
        <v>0.41283655153657872</v>
      </c>
      <c r="D211" s="413">
        <f>D208/D207</f>
        <v>0.40065108020124296</v>
      </c>
      <c r="E211" s="413">
        <f>E208/E207</f>
        <v>0.42962654550062451</v>
      </c>
      <c r="G211" s="254" t="s">
        <v>500</v>
      </c>
      <c r="H211" s="413">
        <f>H208/H207</f>
        <v>0.31000000000000011</v>
      </c>
      <c r="I211" s="413">
        <f>H211</f>
        <v>0.31000000000000011</v>
      </c>
      <c r="J211" s="416"/>
      <c r="K211" s="416"/>
      <c r="L211" s="416"/>
      <c r="M211" s="416"/>
      <c r="N211" s="416"/>
    </row>
    <row r="212" spans="2:14" x14ac:dyDescent="0.55000000000000004">
      <c r="B212" s="254" t="s">
        <v>501</v>
      </c>
      <c r="C212" s="413">
        <f>C209/C207</f>
        <v>0.58716344846342128</v>
      </c>
      <c r="D212" s="413">
        <f>D209/D207</f>
        <v>0.59934891979875704</v>
      </c>
      <c r="E212" s="413">
        <f>E209/E207</f>
        <v>0.57037345449937549</v>
      </c>
      <c r="G212" s="254" t="s">
        <v>501</v>
      </c>
      <c r="H212" s="413">
        <f>H209/H207</f>
        <v>0.69</v>
      </c>
      <c r="I212" s="413">
        <f>H212</f>
        <v>0.69</v>
      </c>
      <c r="J212" s="416"/>
      <c r="K212" s="416"/>
      <c r="L212" s="416"/>
      <c r="M212" s="416"/>
      <c r="N212" s="416"/>
    </row>
    <row r="214" spans="2:14" x14ac:dyDescent="0.55000000000000004">
      <c r="D214" s="414"/>
      <c r="E214" s="414"/>
      <c r="F214" s="414"/>
      <c r="G214" s="414"/>
      <c r="H214" s="414"/>
      <c r="I214" s="254" t="s">
        <v>545</v>
      </c>
      <c r="J214" s="254" t="s">
        <v>544</v>
      </c>
    </row>
    <row r="215" spans="2:14" x14ac:dyDescent="0.55000000000000004">
      <c r="D215" s="412"/>
      <c r="E215" s="412"/>
      <c r="F215" s="412"/>
      <c r="G215" s="156" t="s">
        <v>220</v>
      </c>
      <c r="I215" s="414">
        <v>20000</v>
      </c>
      <c r="J215" s="414">
        <v>100000</v>
      </c>
    </row>
    <row r="216" spans="2:14" x14ac:dyDescent="0.55000000000000004">
      <c r="D216" s="412"/>
      <c r="E216" s="412"/>
      <c r="F216" s="412"/>
      <c r="G216" s="254" t="s">
        <v>543</v>
      </c>
      <c r="I216" s="412">
        <f ca="1">H62</f>
        <v>136269.29260060011</v>
      </c>
      <c r="J216" s="412">
        <f ca="1">I216</f>
        <v>136269.29260060011</v>
      </c>
    </row>
    <row r="217" spans="2:14" x14ac:dyDescent="0.55000000000000004">
      <c r="G217" s="254" t="s">
        <v>450</v>
      </c>
      <c r="H217" s="447">
        <v>0.02</v>
      </c>
      <c r="I217" s="412">
        <f>H217*I215</f>
        <v>400</v>
      </c>
      <c r="J217" s="412">
        <f>J215*H217</f>
        <v>2000</v>
      </c>
    </row>
    <row r="218" spans="2:14" x14ac:dyDescent="0.55000000000000004">
      <c r="D218" s="413"/>
      <c r="E218" s="413"/>
      <c r="F218" s="413"/>
      <c r="G218" s="254" t="s">
        <v>546</v>
      </c>
      <c r="I218" s="412">
        <f>H36</f>
        <v>64928.545876832679</v>
      </c>
      <c r="J218" s="412">
        <f>H36</f>
        <v>64928.545876832679</v>
      </c>
    </row>
    <row r="219" spans="2:14" x14ac:dyDescent="0.55000000000000004">
      <c r="D219" s="413"/>
      <c r="E219" s="413"/>
      <c r="F219" s="413"/>
      <c r="G219" s="254" t="s">
        <v>547</v>
      </c>
      <c r="I219" s="412">
        <f ca="1">J201</f>
        <v>17383.410531411846</v>
      </c>
      <c r="J219" s="412">
        <f ca="1">I219</f>
        <v>17383.410531411846</v>
      </c>
    </row>
    <row r="220" spans="2:14" x14ac:dyDescent="0.55000000000000004">
      <c r="G220" s="254" t="s">
        <v>448</v>
      </c>
      <c r="I220" s="448">
        <f>I218/I217</f>
        <v>162.32136469208169</v>
      </c>
      <c r="J220" s="448">
        <f>J218/J217</f>
        <v>32.464272938416336</v>
      </c>
    </row>
    <row r="221" spans="2:14" x14ac:dyDescent="0.55000000000000004">
      <c r="G221" s="254" t="s">
        <v>548</v>
      </c>
      <c r="I221" s="448">
        <f ca="1">I219/I217</f>
        <v>43.458526328529615</v>
      </c>
      <c r="J221" s="448">
        <f ca="1">J219/J217</f>
        <v>8.6917052657059237</v>
      </c>
    </row>
    <row r="222" spans="2:14" x14ac:dyDescent="0.55000000000000004">
      <c r="G222" s="254" t="s">
        <v>449</v>
      </c>
      <c r="I222" s="448">
        <f>I215/I218</f>
        <v>0.308030924301606</v>
      </c>
      <c r="J222" s="448">
        <f>J215/J218</f>
        <v>1.54015462150803</v>
      </c>
    </row>
    <row r="223" spans="2:14" x14ac:dyDescent="0.55000000000000004">
      <c r="G223" s="254" t="s">
        <v>542</v>
      </c>
      <c r="I223" s="413">
        <f ca="1">I215/(I215+I216)</f>
        <v>0.12798419745277068</v>
      </c>
      <c r="J223" s="413">
        <f ca="1">J215/(J215+J216)</f>
        <v>0.42324586026100458</v>
      </c>
    </row>
  </sheetData>
  <pageMargins left="0.25" right="0.25" top="1" bottom="1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A4DC-C3B5-4E88-9725-9D13480B1E75}">
  <dimension ref="B1:Y49"/>
  <sheetViews>
    <sheetView showGridLines="0" topLeftCell="H1" zoomScale="92" zoomScaleNormal="92" workbookViewId="0">
      <selection activeCell="Y1" sqref="Y1"/>
    </sheetView>
  </sheetViews>
  <sheetFormatPr baseColWidth="10" defaultRowHeight="14.4" x14ac:dyDescent="0.55000000000000004"/>
  <cols>
    <col min="1" max="1" width="6.26171875" style="342" customWidth="1"/>
    <col min="2" max="2" width="6.9453125" style="342" customWidth="1"/>
    <col min="3" max="7" width="10.9453125" style="342"/>
    <col min="8" max="8" width="5.578125" style="342" customWidth="1"/>
    <col min="9" max="16" width="10.9453125" style="342"/>
    <col min="17" max="17" width="17.5234375" style="342" bestFit="1" customWidth="1"/>
    <col min="18" max="16384" width="10.9453125" style="342"/>
  </cols>
  <sheetData>
    <row r="1" spans="2:25" ht="15.9" thickBot="1" x14ac:dyDescent="0.65">
      <c r="B1" s="372" t="s">
        <v>459</v>
      </c>
      <c r="F1" s="343"/>
      <c r="G1" s="343"/>
      <c r="H1" s="343"/>
      <c r="J1" s="344"/>
      <c r="K1" s="344"/>
      <c r="L1" s="344"/>
      <c r="R1" s="425">
        <v>2012</v>
      </c>
      <c r="S1" s="425">
        <f t="shared" ref="S1:Y1" si="0">R1+1</f>
        <v>2013</v>
      </c>
      <c r="T1" s="425">
        <f t="shared" si="0"/>
        <v>2014</v>
      </c>
      <c r="U1" s="425">
        <f t="shared" si="0"/>
        <v>2015</v>
      </c>
      <c r="V1" s="425">
        <f t="shared" si="0"/>
        <v>2016</v>
      </c>
      <c r="W1" s="425">
        <f t="shared" si="0"/>
        <v>2017</v>
      </c>
      <c r="X1" s="425">
        <f t="shared" si="0"/>
        <v>2018</v>
      </c>
      <c r="Y1" s="425">
        <f t="shared" si="0"/>
        <v>2019</v>
      </c>
    </row>
    <row r="2" spans="2:25" ht="14.7" thickTop="1" x14ac:dyDescent="0.55000000000000004">
      <c r="N2" s="345"/>
      <c r="O2" s="346" t="s">
        <v>469</v>
      </c>
    </row>
    <row r="3" spans="2:25" ht="15.6" x14ac:dyDescent="0.6">
      <c r="B3" s="345"/>
      <c r="C3" s="347" t="s">
        <v>44</v>
      </c>
      <c r="E3" s="345"/>
      <c r="F3" s="347" t="s">
        <v>133</v>
      </c>
      <c r="G3" s="347" t="s">
        <v>443</v>
      </c>
      <c r="I3" s="345"/>
      <c r="J3" s="347" t="s">
        <v>444</v>
      </c>
      <c r="K3" s="347" t="s">
        <v>391</v>
      </c>
      <c r="L3" s="347" t="s">
        <v>159</v>
      </c>
      <c r="N3" s="345"/>
      <c r="O3" s="347" t="s">
        <v>444</v>
      </c>
      <c r="Q3" s="423" t="s">
        <v>44</v>
      </c>
      <c r="R3" s="343">
        <v>156508</v>
      </c>
      <c r="S3" s="343">
        <v>170910</v>
      </c>
      <c r="T3" s="343">
        <v>182795</v>
      </c>
      <c r="U3" s="343">
        <v>233715</v>
      </c>
      <c r="V3" s="343">
        <v>215639</v>
      </c>
      <c r="W3" s="343">
        <v>229234</v>
      </c>
      <c r="X3" s="343">
        <v>265595</v>
      </c>
      <c r="Y3" s="343">
        <v>260174</v>
      </c>
    </row>
    <row r="4" spans="2:25" ht="15.6" x14ac:dyDescent="0.6">
      <c r="B4" s="345">
        <v>2003</v>
      </c>
      <c r="C4" s="343">
        <f>'Annual Summary'!E4</f>
        <v>6207</v>
      </c>
      <c r="E4" s="345">
        <v>2003</v>
      </c>
      <c r="F4" s="343">
        <f>'Annual Summary'!E12</f>
        <v>25</v>
      </c>
      <c r="G4" s="350">
        <f t="shared" ref="G4:G13" si="1">F4/C4</f>
        <v>4.0277106492669565E-3</v>
      </c>
      <c r="I4" s="345">
        <v>2003</v>
      </c>
      <c r="J4" s="343">
        <f>'Annual Summary'!E25</f>
        <v>6815</v>
      </c>
      <c r="K4" s="343">
        <f>J4-L4</f>
        <v>2592</v>
      </c>
      <c r="L4" s="343">
        <f>'Annual Summary'!E31</f>
        <v>4223</v>
      </c>
      <c r="M4" s="373">
        <f t="shared" ref="M4:M13" si="2">J4-K4-L4</f>
        <v>0</v>
      </c>
      <c r="N4" s="345">
        <v>2003</v>
      </c>
      <c r="O4" s="352">
        <f>L4/J4</f>
        <v>0.61966250917094645</v>
      </c>
      <c r="Q4" s="427" t="s">
        <v>509</v>
      </c>
      <c r="R4" s="426">
        <f>R3/C12-1</f>
        <v>0.44581474193756976</v>
      </c>
      <c r="S4" s="426">
        <f t="shared" ref="S4:Y4" si="3">S3/R3-1</f>
        <v>9.2020855163953197E-2</v>
      </c>
      <c r="T4" s="426">
        <f t="shared" si="3"/>
        <v>6.9539523725937524E-2</v>
      </c>
      <c r="U4" s="426">
        <f t="shared" si="3"/>
        <v>0.27856341803659834</v>
      </c>
      <c r="V4" s="426">
        <f t="shared" si="3"/>
        <v>-7.7342061913013738E-2</v>
      </c>
      <c r="W4" s="426">
        <f t="shared" si="3"/>
        <v>6.304518199398057E-2</v>
      </c>
      <c r="X4" s="426">
        <f t="shared" si="3"/>
        <v>0.15861957650261305</v>
      </c>
      <c r="Y4" s="426">
        <f t="shared" si="3"/>
        <v>-2.04107758052674E-2</v>
      </c>
    </row>
    <row r="5" spans="2:25" ht="15.6" x14ac:dyDescent="0.6">
      <c r="B5" s="345">
        <f t="shared" ref="B5:B13" si="4">B4+1</f>
        <v>2004</v>
      </c>
      <c r="C5" s="343">
        <f>'Annual Summary'!F4</f>
        <v>8279</v>
      </c>
      <c r="E5" s="345">
        <f t="shared" ref="E5:E13" si="5">E4+1</f>
        <v>2004</v>
      </c>
      <c r="F5" s="343">
        <f>'Annual Summary'!F12</f>
        <v>336</v>
      </c>
      <c r="G5" s="350">
        <f t="shared" si="1"/>
        <v>4.0584611668075851E-2</v>
      </c>
      <c r="I5" s="345">
        <f t="shared" ref="I5:I13" si="6">I4+1</f>
        <v>2004</v>
      </c>
      <c r="J5" s="343">
        <f>'Annual Summary'!F25</f>
        <v>8050</v>
      </c>
      <c r="K5" s="343">
        <f t="shared" ref="K5:K13" si="7">J5-L5</f>
        <v>2974</v>
      </c>
      <c r="L5" s="343">
        <f>'Annual Summary'!F31</f>
        <v>5076</v>
      </c>
      <c r="M5" s="373">
        <f t="shared" si="2"/>
        <v>0</v>
      </c>
      <c r="N5" s="345">
        <f t="shared" ref="N5:N13" si="8">N4+1</f>
        <v>2004</v>
      </c>
      <c r="O5" s="352">
        <f t="shared" ref="O5:O13" si="9">L5/J5</f>
        <v>0.63055900621118011</v>
      </c>
      <c r="Q5" s="423" t="s">
        <v>133</v>
      </c>
      <c r="R5" s="343">
        <v>55241</v>
      </c>
      <c r="S5" s="343">
        <v>48999</v>
      </c>
      <c r="T5" s="343">
        <v>52503</v>
      </c>
      <c r="U5" s="343">
        <v>71230</v>
      </c>
      <c r="V5" s="343">
        <v>60024</v>
      </c>
      <c r="W5" s="343">
        <v>61344</v>
      </c>
      <c r="X5" s="343">
        <v>70898</v>
      </c>
      <c r="Y5" s="343">
        <v>63930</v>
      </c>
    </row>
    <row r="6" spans="2:25" ht="15.6" x14ac:dyDescent="0.6">
      <c r="B6" s="345">
        <f t="shared" si="4"/>
        <v>2005</v>
      </c>
      <c r="C6" s="343">
        <f>'Annual Summary'!G4</f>
        <v>13931</v>
      </c>
      <c r="E6" s="345">
        <f t="shared" si="5"/>
        <v>2005</v>
      </c>
      <c r="F6" s="343">
        <f>'Annual Summary'!G12</f>
        <v>1643</v>
      </c>
      <c r="G6" s="350">
        <f t="shared" si="1"/>
        <v>0.11793841073864045</v>
      </c>
      <c r="I6" s="345">
        <f t="shared" si="6"/>
        <v>2005</v>
      </c>
      <c r="J6" s="343">
        <f>'Annual Summary'!G25</f>
        <v>11516</v>
      </c>
      <c r="K6" s="343">
        <f t="shared" si="7"/>
        <v>4088</v>
      </c>
      <c r="L6" s="343">
        <f>'Annual Summary'!G31</f>
        <v>7428</v>
      </c>
      <c r="M6" s="373">
        <f t="shared" si="2"/>
        <v>0</v>
      </c>
      <c r="N6" s="345">
        <f t="shared" si="8"/>
        <v>2005</v>
      </c>
      <c r="O6" s="352">
        <f t="shared" si="9"/>
        <v>0.64501563042723165</v>
      </c>
      <c r="Q6" s="427" t="s">
        <v>508</v>
      </c>
      <c r="R6" s="426">
        <f t="shared" ref="R6:Y6" si="10">R5/R$3</f>
        <v>0.35295959311984054</v>
      </c>
      <c r="S6" s="426">
        <f t="shared" si="10"/>
        <v>0.28669475162366159</v>
      </c>
      <c r="T6" s="426">
        <f t="shared" si="10"/>
        <v>0.28722339232473537</v>
      </c>
      <c r="U6" s="426">
        <f t="shared" si="10"/>
        <v>0.30477290717326661</v>
      </c>
      <c r="V6" s="426">
        <f t="shared" si="10"/>
        <v>0.27835410106706115</v>
      </c>
      <c r="W6" s="426">
        <f t="shared" si="10"/>
        <v>0.26760428208729942</v>
      </c>
      <c r="X6" s="426">
        <f t="shared" si="10"/>
        <v>0.26694026619477024</v>
      </c>
      <c r="Y6" s="426">
        <f t="shared" si="10"/>
        <v>0.24572017188496928</v>
      </c>
    </row>
    <row r="7" spans="2:25" ht="15.6" x14ac:dyDescent="0.6">
      <c r="B7" s="345">
        <f t="shared" si="4"/>
        <v>2006</v>
      </c>
      <c r="C7" s="343">
        <f>'Annual Summary'!H4</f>
        <v>19315</v>
      </c>
      <c r="E7" s="345">
        <f t="shared" si="5"/>
        <v>2006</v>
      </c>
      <c r="F7" s="343">
        <f>'Annual Summary'!H12</f>
        <v>2453</v>
      </c>
      <c r="G7" s="350">
        <f t="shared" si="1"/>
        <v>0.1269997411338338</v>
      </c>
      <c r="I7" s="345">
        <f t="shared" si="6"/>
        <v>2006</v>
      </c>
      <c r="J7" s="343">
        <f>'Annual Summary'!H25</f>
        <v>17205</v>
      </c>
      <c r="K7" s="343">
        <f t="shared" si="7"/>
        <v>7221</v>
      </c>
      <c r="L7" s="343">
        <f>'Annual Summary'!H31</f>
        <v>9984</v>
      </c>
      <c r="M7" s="373">
        <f t="shared" si="2"/>
        <v>0</v>
      </c>
      <c r="N7" s="345">
        <f t="shared" si="8"/>
        <v>2006</v>
      </c>
      <c r="O7" s="352">
        <f t="shared" si="9"/>
        <v>0.58029642545771576</v>
      </c>
      <c r="Q7" s="423" t="s">
        <v>453</v>
      </c>
      <c r="R7" s="343">
        <v>3277</v>
      </c>
      <c r="S7" s="343">
        <v>6757</v>
      </c>
      <c r="T7" s="343">
        <v>7946</v>
      </c>
      <c r="U7" s="343">
        <v>11257</v>
      </c>
      <c r="V7" s="343">
        <v>10505</v>
      </c>
      <c r="W7" s="343">
        <v>10157</v>
      </c>
      <c r="X7" s="343">
        <v>10903</v>
      </c>
      <c r="Y7" s="343">
        <v>12547</v>
      </c>
    </row>
    <row r="8" spans="2:25" ht="15.6" x14ac:dyDescent="0.6">
      <c r="B8" s="345">
        <f t="shared" si="4"/>
        <v>2007</v>
      </c>
      <c r="C8" s="343">
        <f>'Annual Summary'!I4</f>
        <v>24578</v>
      </c>
      <c r="E8" s="345">
        <f t="shared" si="5"/>
        <v>2007</v>
      </c>
      <c r="F8" s="343">
        <f>'Annual Summary'!I12</f>
        <v>4407</v>
      </c>
      <c r="G8" s="350">
        <f t="shared" si="1"/>
        <v>0.17930669704613883</v>
      </c>
      <c r="I8" s="345">
        <f t="shared" si="6"/>
        <v>2007</v>
      </c>
      <c r="J8" s="343">
        <f>'Annual Summary'!I25</f>
        <v>25347</v>
      </c>
      <c r="K8" s="343">
        <f t="shared" si="7"/>
        <v>10815</v>
      </c>
      <c r="L8" s="343">
        <f>'Annual Summary'!I31</f>
        <v>14532</v>
      </c>
      <c r="M8" s="373">
        <f t="shared" si="2"/>
        <v>0</v>
      </c>
      <c r="N8" s="345">
        <f t="shared" si="8"/>
        <v>2007</v>
      </c>
      <c r="O8" s="352">
        <f t="shared" si="9"/>
        <v>0.57332228666114338</v>
      </c>
      <c r="Q8" s="423" t="s">
        <v>66</v>
      </c>
      <c r="R8" s="343">
        <f t="shared" ref="R8:Y8" si="11">R5+R7</f>
        <v>58518</v>
      </c>
      <c r="S8" s="343">
        <f t="shared" si="11"/>
        <v>55756</v>
      </c>
      <c r="T8" s="343">
        <f t="shared" si="11"/>
        <v>60449</v>
      </c>
      <c r="U8" s="343">
        <f t="shared" si="11"/>
        <v>82487</v>
      </c>
      <c r="V8" s="343">
        <f t="shared" si="11"/>
        <v>70529</v>
      </c>
      <c r="W8" s="343">
        <f t="shared" si="11"/>
        <v>71501</v>
      </c>
      <c r="X8" s="343">
        <f t="shared" si="11"/>
        <v>81801</v>
      </c>
      <c r="Y8" s="343">
        <f t="shared" si="11"/>
        <v>76477</v>
      </c>
    </row>
    <row r="9" spans="2:25" ht="15.6" x14ac:dyDescent="0.6">
      <c r="B9" s="345">
        <f t="shared" si="4"/>
        <v>2008</v>
      </c>
      <c r="C9" s="343">
        <f>'Annual Summary'!J4</f>
        <v>37491</v>
      </c>
      <c r="E9" s="345">
        <f t="shared" si="5"/>
        <v>2008</v>
      </c>
      <c r="F9" s="343">
        <f>'Annual Summary'!J12</f>
        <v>8327</v>
      </c>
      <c r="G9" s="350">
        <f t="shared" si="1"/>
        <v>0.22210663892667573</v>
      </c>
      <c r="I9" s="345">
        <f t="shared" si="6"/>
        <v>2008</v>
      </c>
      <c r="J9" s="343">
        <f>'Annual Summary'!J25</f>
        <v>36171</v>
      </c>
      <c r="K9" s="343">
        <f t="shared" si="7"/>
        <v>13874</v>
      </c>
      <c r="L9" s="343">
        <f>'Annual Summary'!J31</f>
        <v>22297</v>
      </c>
      <c r="M9" s="373">
        <f t="shared" si="2"/>
        <v>0</v>
      </c>
      <c r="N9" s="345">
        <f t="shared" si="8"/>
        <v>2008</v>
      </c>
      <c r="O9" s="352">
        <f t="shared" si="9"/>
        <v>0.61643305410411653</v>
      </c>
      <c r="Q9" s="427" t="s">
        <v>507</v>
      </c>
      <c r="R9" s="426">
        <f t="shared" ref="R9:Y9" si="12">R8/R$3</f>
        <v>0.37389781991974852</v>
      </c>
      <c r="S9" s="426">
        <f t="shared" si="12"/>
        <v>0.32623017962670409</v>
      </c>
      <c r="T9" s="426">
        <f t="shared" si="12"/>
        <v>0.3306928526491425</v>
      </c>
      <c r="U9" s="426">
        <f t="shared" si="12"/>
        <v>0.35293840788995146</v>
      </c>
      <c r="V9" s="426">
        <f t="shared" si="12"/>
        <v>0.32706977865784947</v>
      </c>
      <c r="W9" s="426">
        <f t="shared" si="12"/>
        <v>0.31191271800867237</v>
      </c>
      <c r="X9" s="426">
        <f t="shared" si="12"/>
        <v>0.30799149080366722</v>
      </c>
      <c r="Y9" s="426">
        <f t="shared" si="12"/>
        <v>0.29394559025882677</v>
      </c>
    </row>
    <row r="10" spans="2:25" ht="15.6" x14ac:dyDescent="0.6">
      <c r="B10" s="345">
        <f t="shared" si="4"/>
        <v>2009</v>
      </c>
      <c r="C10" s="343">
        <f>'Annual Summary'!K4</f>
        <v>42905</v>
      </c>
      <c r="E10" s="345">
        <f t="shared" si="5"/>
        <v>2009</v>
      </c>
      <c r="F10" s="343">
        <f>'Annual Summary'!K12</f>
        <v>11740</v>
      </c>
      <c r="G10" s="350">
        <f t="shared" si="1"/>
        <v>0.2736277823097541</v>
      </c>
      <c r="I10" s="345">
        <f t="shared" si="6"/>
        <v>2009</v>
      </c>
      <c r="J10" s="343">
        <f>'Annual Summary'!K25</f>
        <v>47501</v>
      </c>
      <c r="K10" s="343">
        <f t="shared" si="7"/>
        <v>15861</v>
      </c>
      <c r="L10" s="343">
        <f>'Annual Summary'!K31</f>
        <v>31640</v>
      </c>
      <c r="M10" s="373">
        <f t="shared" si="2"/>
        <v>0</v>
      </c>
      <c r="N10" s="345">
        <f t="shared" si="8"/>
        <v>2009</v>
      </c>
      <c r="O10" s="352">
        <f t="shared" si="9"/>
        <v>0.66609124018441712</v>
      </c>
      <c r="Q10" s="423" t="s">
        <v>58</v>
      </c>
      <c r="R10" s="343">
        <v>41733</v>
      </c>
      <c r="S10" s="343">
        <v>37037</v>
      </c>
      <c r="T10" s="343">
        <v>39510</v>
      </c>
      <c r="U10" s="343">
        <v>53394</v>
      </c>
      <c r="V10" s="343">
        <v>45687</v>
      </c>
      <c r="W10" s="343">
        <v>48351</v>
      </c>
      <c r="X10" s="343">
        <v>59531</v>
      </c>
      <c r="Y10" s="343">
        <v>55256</v>
      </c>
    </row>
    <row r="11" spans="2:25" ht="15.6" x14ac:dyDescent="0.6">
      <c r="B11" s="345">
        <f t="shared" si="4"/>
        <v>2010</v>
      </c>
      <c r="C11" s="343">
        <f>'Annual Summary'!L4</f>
        <v>65225</v>
      </c>
      <c r="E11" s="345">
        <f t="shared" si="5"/>
        <v>2010</v>
      </c>
      <c r="F11" s="343">
        <f>'Annual Summary'!L12</f>
        <v>18385</v>
      </c>
      <c r="G11" s="350">
        <f t="shared" si="1"/>
        <v>0.28187044844768111</v>
      </c>
      <c r="I11" s="345">
        <f t="shared" si="6"/>
        <v>2010</v>
      </c>
      <c r="J11" s="343">
        <f>'Annual Summary'!L25</f>
        <v>75183</v>
      </c>
      <c r="K11" s="343">
        <f t="shared" si="7"/>
        <v>27392</v>
      </c>
      <c r="L11" s="343">
        <f>'Annual Summary'!L31</f>
        <v>47791</v>
      </c>
      <c r="M11" s="373">
        <f t="shared" si="2"/>
        <v>0</v>
      </c>
      <c r="N11" s="345">
        <f t="shared" si="8"/>
        <v>2010</v>
      </c>
      <c r="O11" s="352">
        <f t="shared" si="9"/>
        <v>0.63566231727917211</v>
      </c>
      <c r="Q11" s="427" t="s">
        <v>510</v>
      </c>
      <c r="R11" s="426">
        <f t="shared" ref="R11:Y11" si="13">R10/R$3</f>
        <v>0.26665090602397323</v>
      </c>
      <c r="S11" s="426">
        <f t="shared" si="13"/>
        <v>0.21670469837926393</v>
      </c>
      <c r="T11" s="426">
        <f t="shared" si="13"/>
        <v>0.21614376760852322</v>
      </c>
      <c r="U11" s="426">
        <f t="shared" si="13"/>
        <v>0.22845773698735639</v>
      </c>
      <c r="V11" s="426">
        <f t="shared" si="13"/>
        <v>0.211867983064288</v>
      </c>
      <c r="W11" s="426">
        <f t="shared" si="13"/>
        <v>0.21092420845075338</v>
      </c>
      <c r="X11" s="426">
        <f t="shared" si="13"/>
        <v>0.22414202074587247</v>
      </c>
      <c r="Y11" s="426">
        <f t="shared" si="13"/>
        <v>0.21238094505984456</v>
      </c>
    </row>
    <row r="12" spans="2:25" ht="15.6" x14ac:dyDescent="0.6">
      <c r="B12" s="345">
        <f t="shared" si="4"/>
        <v>2011</v>
      </c>
      <c r="C12" s="343">
        <f>'Annual Summary'!M4</f>
        <v>108249</v>
      </c>
      <c r="E12" s="345">
        <f t="shared" si="5"/>
        <v>2011</v>
      </c>
      <c r="F12" s="343">
        <f>'Annual Summary'!M12</f>
        <v>33790</v>
      </c>
      <c r="G12" s="350">
        <f t="shared" si="1"/>
        <v>0.31215068961376086</v>
      </c>
      <c r="I12" s="345">
        <f t="shared" si="6"/>
        <v>2011</v>
      </c>
      <c r="J12" s="343">
        <f>'Annual Summary'!M25</f>
        <v>116371</v>
      </c>
      <c r="K12" s="343">
        <f t="shared" si="7"/>
        <v>39756</v>
      </c>
      <c r="L12" s="343">
        <f>'Annual Summary'!M31</f>
        <v>76615</v>
      </c>
      <c r="M12" s="373">
        <f t="shared" si="2"/>
        <v>0</v>
      </c>
      <c r="N12" s="345">
        <f t="shared" si="8"/>
        <v>2011</v>
      </c>
      <c r="O12" s="352">
        <f t="shared" si="9"/>
        <v>0.65836849386874741</v>
      </c>
    </row>
    <row r="13" spans="2:25" ht="15.6" x14ac:dyDescent="0.6">
      <c r="B13" s="345">
        <f t="shared" si="4"/>
        <v>2012</v>
      </c>
      <c r="C13" s="343">
        <f>'Annual Summary'!N4</f>
        <v>156508</v>
      </c>
      <c r="E13" s="345">
        <f t="shared" si="5"/>
        <v>2012</v>
      </c>
      <c r="F13" s="343">
        <f>'Annual Summary'!N12</f>
        <v>55241</v>
      </c>
      <c r="G13" s="350">
        <f t="shared" si="1"/>
        <v>0.35295959311984054</v>
      </c>
      <c r="I13" s="345">
        <f t="shared" si="6"/>
        <v>2012</v>
      </c>
      <c r="J13" s="343">
        <f>'Annual Summary'!N25</f>
        <v>176064</v>
      </c>
      <c r="K13" s="343">
        <f t="shared" si="7"/>
        <v>57854</v>
      </c>
      <c r="L13" s="343">
        <f>'Annual Summary'!N31</f>
        <v>118210</v>
      </c>
      <c r="M13" s="373">
        <f t="shared" si="2"/>
        <v>0</v>
      </c>
      <c r="N13" s="345">
        <f t="shared" si="8"/>
        <v>2012</v>
      </c>
      <c r="O13" s="352">
        <f t="shared" si="9"/>
        <v>0.67140358051617599</v>
      </c>
      <c r="Q13" s="420" t="s">
        <v>511</v>
      </c>
      <c r="R13" s="343"/>
      <c r="S13" s="343"/>
      <c r="T13" s="343"/>
      <c r="U13" s="343"/>
      <c r="V13" s="343"/>
      <c r="W13" s="344">
        <v>64225</v>
      </c>
      <c r="X13" s="344">
        <v>77434</v>
      </c>
      <c r="Y13" s="344">
        <v>69391</v>
      </c>
    </row>
    <row r="14" spans="2:25" ht="11.7" customHeight="1" x14ac:dyDescent="0.6">
      <c r="B14" s="345"/>
      <c r="C14" s="349"/>
      <c r="E14" s="345"/>
      <c r="F14" s="349"/>
      <c r="G14" s="354"/>
      <c r="I14" s="345"/>
      <c r="J14" s="349"/>
      <c r="K14" s="349"/>
      <c r="L14" s="349"/>
      <c r="M14" s="351"/>
      <c r="N14" s="345"/>
      <c r="O14" s="352"/>
      <c r="Q14" s="420" t="s">
        <v>270</v>
      </c>
      <c r="R14" s="343"/>
      <c r="S14" s="343"/>
      <c r="T14" s="343"/>
      <c r="U14" s="343"/>
      <c r="V14" s="343"/>
      <c r="W14" s="344">
        <v>-12451</v>
      </c>
      <c r="X14" s="344">
        <v>-13313</v>
      </c>
      <c r="Y14" s="344">
        <v>-10495</v>
      </c>
    </row>
    <row r="15" spans="2:25" ht="15.6" x14ac:dyDescent="0.6">
      <c r="B15" s="355" t="s">
        <v>445</v>
      </c>
      <c r="C15" s="356">
        <f>((C13/C4)^(1/9)-1)</f>
        <v>0.43132883932853172</v>
      </c>
      <c r="E15" s="355" t="s">
        <v>445</v>
      </c>
      <c r="F15" s="356">
        <f>((F13/F4)^(1/9)-1)</f>
        <v>1.3528339618664762</v>
      </c>
      <c r="G15" s="345"/>
      <c r="I15" s="355" t="s">
        <v>445</v>
      </c>
      <c r="J15" s="356">
        <f>((J13/J4)^(1/9)-1)</f>
        <v>0.43519738303511479</v>
      </c>
      <c r="K15" s="356">
        <f>((K13/K4)^(1/9)-1)</f>
        <v>0.4120672387595119</v>
      </c>
      <c r="L15" s="356">
        <f>((L13/L4)^(1/9)-1)</f>
        <v>0.44804300336487879</v>
      </c>
      <c r="Q15" s="420" t="s">
        <v>457</v>
      </c>
      <c r="R15" s="343"/>
      <c r="S15" s="343"/>
      <c r="T15" s="343"/>
      <c r="U15" s="343"/>
      <c r="V15" s="343"/>
      <c r="W15" s="344">
        <v>-329</v>
      </c>
      <c r="X15" s="344">
        <v>-721</v>
      </c>
      <c r="Y15" s="344">
        <v>-624</v>
      </c>
    </row>
    <row r="16" spans="2:25" ht="15.6" x14ac:dyDescent="0.6">
      <c r="Q16" s="420" t="s">
        <v>204</v>
      </c>
      <c r="R16" s="343"/>
      <c r="S16" s="343"/>
      <c r="T16" s="343"/>
      <c r="U16" s="343"/>
      <c r="V16" s="343"/>
      <c r="W16" s="344">
        <v>-124</v>
      </c>
      <c r="X16" s="344">
        <v>-745</v>
      </c>
      <c r="Y16" s="344">
        <v>-1078</v>
      </c>
    </row>
    <row r="17" spans="2:25" ht="15.6" x14ac:dyDescent="0.6">
      <c r="B17" s="345"/>
      <c r="C17" s="347" t="s">
        <v>58</v>
      </c>
      <c r="D17" s="348"/>
      <c r="E17" s="345"/>
      <c r="F17" s="347" t="s">
        <v>446</v>
      </c>
      <c r="G17" s="348"/>
      <c r="I17" s="345"/>
      <c r="J17" s="347" t="s">
        <v>447</v>
      </c>
      <c r="K17" s="347" t="s">
        <v>415</v>
      </c>
      <c r="N17" s="345"/>
      <c r="O17" s="345"/>
      <c r="P17" s="348"/>
      <c r="Q17" s="345" t="s">
        <v>499</v>
      </c>
      <c r="R17" s="343"/>
      <c r="S17" s="343"/>
      <c r="T17" s="343"/>
      <c r="U17" s="343"/>
      <c r="V17" s="343"/>
      <c r="W17" s="343"/>
      <c r="X17" s="343"/>
      <c r="Y17" s="343"/>
    </row>
    <row r="18" spans="2:25" ht="15.6" x14ac:dyDescent="0.6">
      <c r="B18" s="345">
        <v>2003</v>
      </c>
      <c r="C18" s="343">
        <f>'Annual Summary'!E14</f>
        <v>69</v>
      </c>
      <c r="E18" s="345">
        <v>2003</v>
      </c>
      <c r="F18" s="374">
        <f>'Annual Summary'!E18</f>
        <v>158</v>
      </c>
      <c r="I18" s="345">
        <v>2003</v>
      </c>
      <c r="J18" s="354">
        <f>'Annual Summary'!E37</f>
        <v>3.8130099900861741E-3</v>
      </c>
      <c r="K18" s="354">
        <f>'Annual Summary'!E38</f>
        <v>1.6590526568886751E-2</v>
      </c>
      <c r="N18" s="358"/>
      <c r="O18" s="358"/>
    </row>
    <row r="19" spans="2:25" ht="15.6" x14ac:dyDescent="0.6">
      <c r="B19" s="345">
        <f t="shared" ref="B19:B27" si="14">B18+1</f>
        <v>2004</v>
      </c>
      <c r="C19" s="343">
        <f>'Annual Summary'!F14</f>
        <v>266</v>
      </c>
      <c r="E19" s="345">
        <f t="shared" ref="E19:E27" si="15">E18+1</f>
        <v>2004</v>
      </c>
      <c r="F19" s="374">
        <f>'Annual Summary'!F18</f>
        <v>769</v>
      </c>
      <c r="I19" s="345">
        <f t="shared" ref="I19:I27" si="16">I18+1</f>
        <v>2004</v>
      </c>
      <c r="J19" s="354">
        <f>'Annual Summary'!F37</f>
        <v>4.520686175580222E-2</v>
      </c>
      <c r="K19" s="354">
        <f>'Annual Summary'!F38</f>
        <v>5.7210452736853427E-2</v>
      </c>
      <c r="N19" s="358"/>
      <c r="O19" s="358"/>
      <c r="Q19" s="420" t="s">
        <v>220</v>
      </c>
      <c r="R19" s="343"/>
      <c r="S19" s="343"/>
      <c r="T19" s="343"/>
      <c r="U19" s="343"/>
      <c r="V19" s="343"/>
      <c r="W19" s="343"/>
      <c r="X19" s="343"/>
      <c r="Y19" s="343"/>
    </row>
    <row r="20" spans="2:25" ht="15.6" x14ac:dyDescent="0.6">
      <c r="B20" s="345">
        <f t="shared" si="14"/>
        <v>2005</v>
      </c>
      <c r="C20" s="343">
        <f>'Annual Summary'!G14</f>
        <v>1328</v>
      </c>
      <c r="E20" s="345">
        <f t="shared" si="15"/>
        <v>2005</v>
      </c>
      <c r="F20" s="374">
        <f>'Annual Summary'!G18</f>
        <v>2254</v>
      </c>
      <c r="I20" s="345">
        <f t="shared" si="16"/>
        <v>2005</v>
      </c>
      <c r="J20" s="354">
        <f>'Annual Summary'!G37</f>
        <v>0.1679443933353777</v>
      </c>
      <c r="K20" s="354">
        <f>'Annual Summary'!G38</f>
        <v>0.21241202815099169</v>
      </c>
      <c r="N20" s="358"/>
      <c r="O20" s="358"/>
      <c r="Q20" s="420" t="s">
        <v>503</v>
      </c>
      <c r="R20" s="343"/>
      <c r="S20" s="343"/>
      <c r="T20" s="343"/>
      <c r="U20" s="343">
        <f>21120+20481+164065</f>
        <v>205666</v>
      </c>
      <c r="V20" s="343">
        <v>237585</v>
      </c>
      <c r="W20" s="343">
        <v>268895</v>
      </c>
      <c r="X20" s="343">
        <v>237100</v>
      </c>
      <c r="Y20" s="343">
        <v>205898</v>
      </c>
    </row>
    <row r="21" spans="2:25" ht="15.6" x14ac:dyDescent="0.6">
      <c r="B21" s="345">
        <f t="shared" si="14"/>
        <v>2006</v>
      </c>
      <c r="C21" s="343">
        <f>'Annual Summary'!H14</f>
        <v>1989</v>
      </c>
      <c r="E21" s="345">
        <f t="shared" si="15"/>
        <v>2006</v>
      </c>
      <c r="F21" s="374">
        <f>'Annual Summary'!H18</f>
        <v>1545</v>
      </c>
      <c r="I21" s="345">
        <f t="shared" si="16"/>
        <v>2006</v>
      </c>
      <c r="J21" s="354">
        <f>'Annual Summary'!H37</f>
        <v>0.17081577939486786</v>
      </c>
      <c r="K21" s="354">
        <f>'Annual Summary'!H38</f>
        <v>0.22846312887663681</v>
      </c>
      <c r="N21" s="358"/>
      <c r="O21" s="358"/>
      <c r="Q21" s="420" t="s">
        <v>159</v>
      </c>
      <c r="R21" s="343"/>
      <c r="S21" s="343"/>
      <c r="T21" s="343"/>
      <c r="U21" s="343"/>
      <c r="V21" s="343"/>
      <c r="W21" s="343"/>
      <c r="X21" s="343"/>
      <c r="Y21" s="343"/>
    </row>
    <row r="22" spans="2:25" ht="15.6" x14ac:dyDescent="0.6">
      <c r="B22" s="345">
        <f t="shared" si="14"/>
        <v>2007</v>
      </c>
      <c r="C22" s="343">
        <f>'Annual Summary'!I14</f>
        <v>3495</v>
      </c>
      <c r="E22" s="345">
        <f t="shared" si="15"/>
        <v>2007</v>
      </c>
      <c r="F22" s="374">
        <f>'Annual Summary'!I18</f>
        <v>4533</v>
      </c>
      <c r="I22" s="345">
        <f t="shared" si="16"/>
        <v>2007</v>
      </c>
      <c r="J22" s="354">
        <f>'Annual Summary'!I37</f>
        <v>0.2071347997743937</v>
      </c>
      <c r="K22" s="354">
        <f>'Annual Summary'!I38</f>
        <v>0.28511992168379835</v>
      </c>
      <c r="N22" s="358"/>
      <c r="O22" s="358"/>
      <c r="Q22" s="420" t="s">
        <v>444</v>
      </c>
      <c r="R22" s="348"/>
      <c r="U22" s="343">
        <v>290345</v>
      </c>
      <c r="V22" s="343">
        <v>321686</v>
      </c>
      <c r="W22" s="343">
        <v>375319</v>
      </c>
      <c r="X22" s="343">
        <v>365725</v>
      </c>
      <c r="Y22" s="343">
        <v>338516</v>
      </c>
    </row>
    <row r="23" spans="2:25" ht="15.6" x14ac:dyDescent="0.6">
      <c r="B23" s="345">
        <f t="shared" si="14"/>
        <v>2008</v>
      </c>
      <c r="C23" s="343">
        <f>'Annual Summary'!J14</f>
        <v>6119</v>
      </c>
      <c r="E23" s="345">
        <f t="shared" si="15"/>
        <v>2008</v>
      </c>
      <c r="F23" s="374">
        <f>'Annual Summary'!J18</f>
        <v>8167</v>
      </c>
      <c r="I23" s="345">
        <f t="shared" si="16"/>
        <v>2008</v>
      </c>
      <c r="J23" s="354">
        <f>'Annual Summary'!J37</f>
        <v>0.27071751357326312</v>
      </c>
      <c r="K23" s="354">
        <f>'Annual Summary'!J38</f>
        <v>0.33229248689891117</v>
      </c>
      <c r="N23" s="358"/>
      <c r="O23" s="358"/>
      <c r="Q23" s="355"/>
      <c r="R23" s="353"/>
      <c r="U23" s="359"/>
      <c r="V23" s="359"/>
    </row>
    <row r="24" spans="2:25" ht="15.6" x14ac:dyDescent="0.6">
      <c r="B24" s="345">
        <f t="shared" si="14"/>
        <v>2009</v>
      </c>
      <c r="C24" s="343">
        <f>'Annual Summary'!K14</f>
        <v>8235</v>
      </c>
      <c r="E24" s="345">
        <f t="shared" si="15"/>
        <v>2009</v>
      </c>
      <c r="F24" s="374">
        <f>'Annual Summary'!K18</f>
        <v>8872</v>
      </c>
      <c r="I24" s="345">
        <f t="shared" si="16"/>
        <v>2009</v>
      </c>
      <c r="J24" s="354">
        <f>'Annual Summary'!K37</f>
        <v>0.28061956209962713</v>
      </c>
      <c r="K24" s="354">
        <f>'Annual Summary'!K38</f>
        <v>0.30535624895711666</v>
      </c>
      <c r="N24" s="358"/>
      <c r="O24" s="358"/>
      <c r="Q24" s="420" t="s">
        <v>505</v>
      </c>
      <c r="R24" s="353"/>
      <c r="U24" s="359"/>
      <c r="V24" s="359"/>
    </row>
    <row r="25" spans="2:25" ht="15.6" x14ac:dyDescent="0.6">
      <c r="B25" s="345">
        <f t="shared" si="14"/>
        <v>2010</v>
      </c>
      <c r="C25" s="343">
        <f>'Annual Summary'!L14</f>
        <v>14013</v>
      </c>
      <c r="E25" s="345">
        <f t="shared" si="15"/>
        <v>2010</v>
      </c>
      <c r="F25" s="374">
        <f>'Annual Summary'!L18</f>
        <v>15816</v>
      </c>
      <c r="I25" s="345">
        <f t="shared" si="16"/>
        <v>2010</v>
      </c>
      <c r="J25" s="354">
        <f>'Annual Summary'!L37</f>
        <v>0.29971308402073621</v>
      </c>
      <c r="K25" s="354">
        <f>'Annual Summary'!L38</f>
        <v>0.3528345356347018</v>
      </c>
      <c r="N25" s="358"/>
      <c r="O25" s="358"/>
      <c r="Q25" s="420" t="s">
        <v>449</v>
      </c>
      <c r="R25" s="353"/>
      <c r="U25" s="359"/>
      <c r="V25" s="359"/>
    </row>
    <row r="26" spans="2:25" ht="15.6" x14ac:dyDescent="0.6">
      <c r="B26" s="345">
        <f t="shared" si="14"/>
        <v>2011</v>
      </c>
      <c r="C26" s="343">
        <f>'Annual Summary'!M14</f>
        <v>25922</v>
      </c>
      <c r="E26" s="345">
        <f t="shared" si="15"/>
        <v>2011</v>
      </c>
      <c r="F26" s="374">
        <f>'Annual Summary'!M18</f>
        <v>29574</v>
      </c>
      <c r="I26" s="345">
        <f t="shared" si="16"/>
        <v>2011</v>
      </c>
      <c r="J26" s="354">
        <f>'Annual Summary'!M37</f>
        <v>0.35279868862044123</v>
      </c>
      <c r="K26" s="354">
        <f>'Annual Summary'!M38</f>
        <v>0.41673231194636917</v>
      </c>
      <c r="N26" s="358"/>
      <c r="O26" s="358"/>
      <c r="Q26" s="353" t="s">
        <v>448</v>
      </c>
      <c r="R26" s="353"/>
      <c r="U26" s="359"/>
      <c r="V26" s="359"/>
    </row>
    <row r="27" spans="2:25" ht="15.6" x14ac:dyDescent="0.6">
      <c r="B27" s="345">
        <f t="shared" si="14"/>
        <v>2012</v>
      </c>
      <c r="C27" s="343">
        <f>'Annual Summary'!N14</f>
        <v>41733</v>
      </c>
      <c r="E27" s="345">
        <f t="shared" si="15"/>
        <v>2012</v>
      </c>
      <c r="F27" s="374">
        <f>'Annual Summary'!N18</f>
        <v>41056</v>
      </c>
      <c r="I27" s="345">
        <f t="shared" si="16"/>
        <v>2012</v>
      </c>
      <c r="J27" s="354">
        <f>'Annual Summary'!N37</f>
        <v>0.37780019491510936</v>
      </c>
      <c r="K27" s="354">
        <f>'Annual Summary'!N38</f>
        <v>0.42841524445014756</v>
      </c>
      <c r="N27" s="358"/>
      <c r="O27" s="358"/>
      <c r="Q27" s="349" t="s">
        <v>447</v>
      </c>
      <c r="R27" s="421">
        <f>J27</f>
        <v>0.37780019491510936</v>
      </c>
      <c r="U27" s="359"/>
      <c r="V27" s="359"/>
    </row>
    <row r="28" spans="2:25" ht="11.7" customHeight="1" x14ac:dyDescent="0.6">
      <c r="B28" s="345"/>
      <c r="C28" s="349"/>
      <c r="E28" s="345"/>
      <c r="F28" s="349"/>
      <c r="I28" s="345"/>
      <c r="J28" s="354"/>
      <c r="K28" s="354"/>
      <c r="N28" s="358"/>
      <c r="O28" s="358"/>
      <c r="Q28" s="349" t="s">
        <v>415</v>
      </c>
      <c r="R28" s="421">
        <f>K27</f>
        <v>0.42841524445014756</v>
      </c>
      <c r="U28" s="359"/>
      <c r="V28" s="359"/>
    </row>
    <row r="29" spans="2:25" ht="15.6" x14ac:dyDescent="0.6">
      <c r="B29" s="355" t="s">
        <v>445</v>
      </c>
      <c r="C29" s="356">
        <f>((C27/C18)^(1/9)-1)</f>
        <v>1.0373707047905145</v>
      </c>
      <c r="E29" s="355" t="s">
        <v>445</v>
      </c>
      <c r="F29" s="356">
        <f>((F27/F18)^(1/9)-1)</f>
        <v>0.85482171624338488</v>
      </c>
      <c r="Q29" s="349"/>
      <c r="R29" s="353"/>
      <c r="U29" s="359"/>
      <c r="V29" s="359"/>
    </row>
    <row r="32" spans="2:25" ht="15.6" x14ac:dyDescent="0.6">
      <c r="B32" s="341"/>
      <c r="F32" s="343"/>
      <c r="G32" s="343"/>
      <c r="H32" s="343"/>
      <c r="J32" s="361" t="s">
        <v>128</v>
      </c>
      <c r="K32" s="344"/>
      <c r="L32" s="344"/>
      <c r="R32" s="344"/>
    </row>
    <row r="33" spans="2:24" x14ac:dyDescent="0.55000000000000004">
      <c r="N33" s="345"/>
      <c r="O33" s="346"/>
      <c r="S33" s="346"/>
    </row>
    <row r="34" spans="2:24" ht="15.6" x14ac:dyDescent="0.6">
      <c r="B34" s="345"/>
      <c r="C34" s="347"/>
      <c r="E34" s="345"/>
      <c r="F34" s="347"/>
      <c r="G34" s="347"/>
      <c r="I34" s="345"/>
      <c r="J34" s="347" t="s">
        <v>309</v>
      </c>
      <c r="K34" s="347" t="s">
        <v>311</v>
      </c>
      <c r="L34" s="347" t="s">
        <v>313</v>
      </c>
      <c r="M34" s="347" t="s">
        <v>451</v>
      </c>
      <c r="O34" s="347"/>
      <c r="R34" s="348"/>
      <c r="S34" s="347"/>
      <c r="V34" s="349"/>
      <c r="W34" s="349"/>
      <c r="X34" s="349"/>
    </row>
    <row r="35" spans="2:24" ht="15.6" x14ac:dyDescent="0.6">
      <c r="B35" s="345"/>
      <c r="C35" s="349"/>
      <c r="D35" s="349"/>
      <c r="E35" s="345"/>
      <c r="I35" s="345">
        <v>2003</v>
      </c>
      <c r="J35" s="362">
        <f>'Annual Summary'!E43</f>
        <v>45.044304817141942</v>
      </c>
      <c r="K35" s="362">
        <f>'Annual Summary'!E47</f>
        <v>4.543231829295399</v>
      </c>
      <c r="L35" s="362">
        <f>'Annual Summary'!E51</f>
        <v>75.458616983160155</v>
      </c>
      <c r="M35" s="362">
        <f t="shared" ref="M35:M42" si="17">J35+K35-L35</f>
        <v>-25.871080336722812</v>
      </c>
      <c r="O35" s="362"/>
      <c r="P35" s="352"/>
      <c r="R35" s="353"/>
      <c r="S35" s="352"/>
      <c r="V35" s="349"/>
      <c r="W35" s="349"/>
      <c r="X35" s="349"/>
    </row>
    <row r="36" spans="2:24" ht="15.6" x14ac:dyDescent="0.6">
      <c r="B36" s="345"/>
      <c r="C36" s="349"/>
      <c r="D36" s="349"/>
      <c r="E36" s="345"/>
      <c r="I36" s="345">
        <f t="shared" ref="I36:I44" si="18">I35+1</f>
        <v>2004</v>
      </c>
      <c r="J36" s="362">
        <f>'Annual Summary'!F43</f>
        <v>34.123686435559854</v>
      </c>
      <c r="K36" s="362">
        <f>'Annual Summary'!F47</f>
        <v>6.121720358684823</v>
      </c>
      <c r="L36" s="362">
        <f>'Annual Summary'!F51</f>
        <v>72.98993936052922</v>
      </c>
      <c r="M36" s="362">
        <f t="shared" si="17"/>
        <v>-32.744532566284541</v>
      </c>
      <c r="O36" s="362"/>
      <c r="P36" s="352"/>
      <c r="R36" s="353"/>
      <c r="S36" s="352"/>
      <c r="V36" s="349"/>
      <c r="W36" s="349"/>
      <c r="X36" s="349"/>
    </row>
    <row r="37" spans="2:24" ht="15.6" x14ac:dyDescent="0.6">
      <c r="B37" s="345"/>
      <c r="C37" s="349"/>
      <c r="D37" s="349"/>
      <c r="E37" s="345"/>
      <c r="I37" s="345">
        <f t="shared" si="18"/>
        <v>2005</v>
      </c>
      <c r="J37" s="362">
        <f>'Annual Summary'!G43</f>
        <v>23.449501112626518</v>
      </c>
      <c r="K37" s="362">
        <f>'Annual Summary'!G47</f>
        <v>6.0901001112347046</v>
      </c>
      <c r="L37" s="362">
        <f>'Annual Summary'!G51</f>
        <v>56.341431670281992</v>
      </c>
      <c r="M37" s="362">
        <f t="shared" si="17"/>
        <v>-26.80183044642077</v>
      </c>
      <c r="O37" s="362"/>
      <c r="P37" s="352"/>
      <c r="R37" s="353"/>
      <c r="S37" s="352"/>
      <c r="V37" s="349"/>
      <c r="W37" s="349"/>
      <c r="X37" s="349"/>
    </row>
    <row r="38" spans="2:24" ht="15.6" x14ac:dyDescent="0.6">
      <c r="B38" s="345"/>
      <c r="C38" s="349"/>
      <c r="D38" s="349"/>
      <c r="E38" s="345"/>
      <c r="I38" s="345">
        <f t="shared" si="18"/>
        <v>2006</v>
      </c>
      <c r="J38" s="362">
        <f>'Annual Summary'!H43</f>
        <v>23.659332125291222</v>
      </c>
      <c r="K38" s="362">
        <f>'Annual Summary'!H47</f>
        <v>7.1845155646278336</v>
      </c>
      <c r="L38" s="362">
        <f>'Annual Summary'!H51</f>
        <v>78.502093642938718</v>
      </c>
      <c r="M38" s="362">
        <f t="shared" si="17"/>
        <v>-47.658245953019659</v>
      </c>
      <c r="O38" s="362"/>
      <c r="P38" s="352"/>
      <c r="R38" s="353"/>
      <c r="S38" s="352"/>
      <c r="V38" s="349"/>
      <c r="W38" s="349"/>
      <c r="X38" s="349"/>
    </row>
    <row r="39" spans="2:24" ht="15.6" x14ac:dyDescent="0.6">
      <c r="B39" s="345"/>
      <c r="C39" s="349"/>
      <c r="D39" s="349"/>
      <c r="E39" s="345"/>
      <c r="F39" s="362"/>
      <c r="I39" s="345">
        <f t="shared" si="18"/>
        <v>2007</v>
      </c>
      <c r="J39" s="362">
        <f>'Annual Summary'!I43</f>
        <v>24.310562291480185</v>
      </c>
      <c r="K39" s="362">
        <f>'Annual Summary'!I47</f>
        <v>7.6884207962985505</v>
      </c>
      <c r="L39" s="362">
        <f>'Annual Summary'!I51</f>
        <v>96.338289962825286</v>
      </c>
      <c r="M39" s="362">
        <f t="shared" si="17"/>
        <v>-64.339306875046546</v>
      </c>
      <c r="O39" s="362"/>
      <c r="P39" s="352"/>
      <c r="R39" s="353"/>
      <c r="S39" s="352"/>
    </row>
    <row r="40" spans="2:24" ht="15.6" x14ac:dyDescent="0.6">
      <c r="B40" s="355"/>
      <c r="C40" s="356"/>
      <c r="E40" s="355"/>
      <c r="F40" s="356"/>
      <c r="G40" s="345"/>
      <c r="I40" s="345">
        <f t="shared" si="18"/>
        <v>2008</v>
      </c>
      <c r="J40" s="362">
        <f>'Annual Summary'!J43</f>
        <v>23.579792483529381</v>
      </c>
      <c r="K40" s="362">
        <f>'Annual Summary'!J47</f>
        <v>7.6473614884333587</v>
      </c>
      <c r="L40" s="362">
        <f>'Annual Summary'!J51</f>
        <v>74.503568391080861</v>
      </c>
      <c r="M40" s="362">
        <f t="shared" si="17"/>
        <v>-43.276414419118126</v>
      </c>
    </row>
    <row r="41" spans="2:24" ht="15.6" x14ac:dyDescent="0.6">
      <c r="I41" s="345">
        <f t="shared" si="18"/>
        <v>2009</v>
      </c>
      <c r="J41" s="362">
        <f>'Annual Summary'!K43</f>
        <v>28.59258827642466</v>
      </c>
      <c r="K41" s="362">
        <f>'Annual Summary'!K47</f>
        <v>6.4663396020714092</v>
      </c>
      <c r="L41" s="362">
        <f>'Annual Summary'!K51</f>
        <v>72.015112019163027</v>
      </c>
      <c r="M41" s="362">
        <f t="shared" si="17"/>
        <v>-36.956184140666956</v>
      </c>
    </row>
    <row r="42" spans="2:24" ht="15.6" x14ac:dyDescent="0.6">
      <c r="B42" s="345"/>
      <c r="C42" s="347"/>
      <c r="D42" s="348"/>
      <c r="E42" s="345"/>
      <c r="F42" s="347"/>
      <c r="G42" s="348"/>
      <c r="I42" s="345">
        <f t="shared" si="18"/>
        <v>2010</v>
      </c>
      <c r="J42" s="362">
        <f>'Annual Summary'!L43</f>
        <v>30.834036029129933</v>
      </c>
      <c r="K42" s="362">
        <f>'Annual Summary'!L47</f>
        <v>9.7017020308034709</v>
      </c>
      <c r="L42" s="362">
        <f>'Annual Summary'!L51</f>
        <v>101.62854560622914</v>
      </c>
      <c r="M42" s="362">
        <f t="shared" si="17"/>
        <v>-61.092807546295731</v>
      </c>
      <c r="N42" s="345"/>
      <c r="O42" s="345"/>
      <c r="P42" s="348"/>
    </row>
    <row r="43" spans="2:24" ht="15.6" x14ac:dyDescent="0.6">
      <c r="B43" s="345"/>
      <c r="C43" s="349"/>
      <c r="D43" s="349"/>
      <c r="E43" s="345"/>
      <c r="F43" s="357"/>
      <c r="G43" s="357"/>
      <c r="I43" s="345">
        <f t="shared" si="18"/>
        <v>2011</v>
      </c>
      <c r="J43" s="362">
        <f>'Annual Summary'!M43</f>
        <v>18.103492872913375</v>
      </c>
      <c r="K43" s="362">
        <f>'Annual Summary'!M47</f>
        <v>4.3960205491145565</v>
      </c>
      <c r="L43" s="362">
        <f>'Annual Summary'!M51</f>
        <v>77.34735256633067</v>
      </c>
      <c r="M43" s="362">
        <f>J43+K43-L43</f>
        <v>-54.847839144302739</v>
      </c>
      <c r="O43" s="363"/>
      <c r="Q43" s="358"/>
      <c r="R43" s="358"/>
      <c r="S43" s="358"/>
      <c r="T43" s="364"/>
      <c r="U43" s="365"/>
    </row>
    <row r="44" spans="2:24" ht="15.6" x14ac:dyDescent="0.6">
      <c r="B44" s="345"/>
      <c r="C44" s="349"/>
      <c r="D44" s="349"/>
      <c r="E44" s="345"/>
      <c r="F44" s="357"/>
      <c r="G44" s="357"/>
      <c r="I44" s="345">
        <f t="shared" si="18"/>
        <v>2012</v>
      </c>
      <c r="J44" s="362">
        <f>'Annual Summary'!N43</f>
        <v>25.490390267590154</v>
      </c>
      <c r="K44" s="362">
        <f>'Annual Summary'!N47</f>
        <v>3.2866038294287732</v>
      </c>
      <c r="L44" s="362">
        <f>'Annual Summary'!N51</f>
        <v>83.223411472073565</v>
      </c>
      <c r="M44" s="362">
        <f>J44+K44-L44</f>
        <v>-54.446417375054637</v>
      </c>
      <c r="N44" s="358"/>
      <c r="O44" s="358"/>
      <c r="Q44" s="358"/>
      <c r="R44" s="358"/>
      <c r="S44" s="358"/>
      <c r="T44" s="364"/>
      <c r="U44" s="364"/>
    </row>
    <row r="45" spans="2:24" ht="15.6" x14ac:dyDescent="0.6">
      <c r="B45" s="345"/>
      <c r="C45" s="349"/>
      <c r="D45" s="349"/>
      <c r="E45" s="345"/>
      <c r="F45" s="357"/>
      <c r="G45" s="357"/>
      <c r="I45" s="345"/>
      <c r="J45" s="354"/>
      <c r="K45" s="354"/>
      <c r="L45" s="354"/>
      <c r="M45" s="354"/>
      <c r="N45" s="358"/>
      <c r="O45" s="358"/>
      <c r="Q45" s="358"/>
      <c r="R45" s="358"/>
      <c r="S45" s="358"/>
      <c r="T45" s="364"/>
      <c r="U45" s="364"/>
    </row>
    <row r="46" spans="2:24" ht="15.6" x14ac:dyDescent="0.6">
      <c r="B46" s="345"/>
      <c r="C46" s="349"/>
      <c r="D46" s="349"/>
      <c r="E46" s="345"/>
      <c r="F46" s="357"/>
      <c r="G46" s="357"/>
      <c r="I46" s="345"/>
      <c r="J46" s="354"/>
      <c r="K46" s="354"/>
      <c r="L46" s="354"/>
      <c r="M46" s="354"/>
      <c r="N46" s="358"/>
      <c r="O46" s="358"/>
      <c r="Q46" s="358"/>
      <c r="R46" s="358"/>
      <c r="S46" s="358"/>
      <c r="T46" s="364"/>
      <c r="U46" s="364"/>
    </row>
    <row r="47" spans="2:24" ht="15.6" x14ac:dyDescent="0.6">
      <c r="B47" s="345"/>
      <c r="C47" s="349"/>
      <c r="D47" s="349"/>
      <c r="E47" s="345"/>
      <c r="F47" s="357"/>
      <c r="G47" s="357"/>
      <c r="I47" s="345"/>
      <c r="J47" s="354"/>
      <c r="K47" s="354"/>
      <c r="L47" s="354"/>
      <c r="M47" s="354"/>
      <c r="N47" s="358"/>
      <c r="O47" s="358"/>
      <c r="Q47" s="358"/>
      <c r="R47" s="358"/>
      <c r="S47" s="358"/>
      <c r="T47" s="364"/>
      <c r="U47" s="364"/>
    </row>
    <row r="48" spans="2:24" ht="15.6" x14ac:dyDescent="0.6">
      <c r="B48" s="345"/>
      <c r="C48" s="349"/>
      <c r="D48" s="349"/>
      <c r="E48" s="345"/>
      <c r="F48" s="357"/>
      <c r="G48" s="357"/>
      <c r="I48" s="345"/>
      <c r="J48" s="354"/>
      <c r="K48" s="354"/>
      <c r="L48" s="354"/>
      <c r="M48" s="354"/>
      <c r="N48" s="358"/>
      <c r="O48" s="358"/>
      <c r="Q48" s="358"/>
      <c r="R48" s="358"/>
      <c r="S48" s="358"/>
      <c r="T48" s="364"/>
      <c r="U48" s="364"/>
    </row>
    <row r="49" spans="2:6" x14ac:dyDescent="0.55000000000000004">
      <c r="B49" s="355"/>
      <c r="C49" s="360"/>
      <c r="E49" s="355"/>
      <c r="F49" s="35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e006b2bdfc7100d96a4b29f4bdfa4515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dada58345766a1a0cc3b93590a79a703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owshiddenversion" ma:index="82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3" nillable="true" ma:displayName="UI Version" ma:hidden="true" ma:internalName="_UIVersion" ma:readOnly="true">
      <xsd:simpleType>
        <xsd:restriction base="dms:Unknown"/>
      </xsd:simpleType>
    </xsd:element>
    <xsd:element name="_UIVersionString" ma:index="84" nillable="true" ma:displayName="Version" ma:internalName="_UIVersionString" ma:readOnly="true">
      <xsd:simpleType>
        <xsd:restriction base="dms:Text"/>
      </xsd:simpleType>
    </xsd:element>
    <xsd:element name="InstanceID" ma:index="85" nillable="true" ma:displayName="Instance ID" ma:hidden="true" ma:internalName="InstanceID" ma:readOnly="true">
      <xsd:simpleType>
        <xsd:restriction base="dms:Unknown"/>
      </xsd:simpleType>
    </xsd:element>
    <xsd:element name="Order" ma:index="86" nillable="true" ma:displayName="Order" ma:hidden="true" ma:internalName="Order">
      <xsd:simpleType>
        <xsd:restriction base="dms:Number"/>
      </xsd:simpleType>
    </xsd:element>
    <xsd:element name="GUID" ma:index="87" nillable="true" ma:displayName="GUID" ma:hidden="true" ma:internalName="GUID" ma:readOnly="true">
      <xsd:simpleType>
        <xsd:restriction base="dms:Unknown"/>
      </xsd:simpleType>
    </xsd:element>
    <xsd:element name="WorkflowVersion" ma:index="88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89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0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1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2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c67fc125-a0fc-4a42-b75c-7232ee8f6b2e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48142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TN Excel Supplement.xlsx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6585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B92E72-190F-4E8C-AAE8-E5041D9B61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8E3E57-FE87-4C3F-83D2-F7DC549C00CF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60B91B04-2990-4B57-B48B-0D67EE7C5EF0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Bce Sheet</vt:lpstr>
      <vt:lpstr>P&amp;L</vt:lpstr>
      <vt:lpstr>Cash Flow</vt:lpstr>
      <vt:lpstr>Excess Cash</vt:lpstr>
      <vt:lpstr>Dividend Analysis</vt:lpstr>
      <vt:lpstr>Repurchase Analysis</vt:lpstr>
      <vt:lpstr>iPref Analysis</vt:lpstr>
      <vt:lpstr>Exhibit 11 (Model)</vt:lpstr>
      <vt:lpstr>Charts</vt:lpstr>
      <vt:lpstr>Performance Post</vt:lpstr>
      <vt:lpstr>Annual Summary</vt:lpstr>
      <vt:lpstr>Annual Ratios</vt:lpstr>
      <vt:lpstr>Quarterly Summary</vt:lpstr>
      <vt:lpstr>Quarterly Ratios</vt:lpstr>
      <vt:lpstr>DuPont</vt:lpstr>
      <vt:lpstr>CCC</vt:lpstr>
      <vt:lpstr>Blank Forecast from Case</vt:lpstr>
      <vt:lpstr>Forecast (Case)</vt:lpstr>
      <vt:lpstr>Forecast Calcs (Case)</vt:lpstr>
      <vt:lpstr>Perpetual Dividend Calcs (Case)</vt:lpstr>
      <vt:lpstr>Dividend Analysis (Case)</vt:lpstr>
      <vt:lpstr>Repurchase Analysis (Case)</vt:lpstr>
      <vt:lpstr>iPref Analysis (Case)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TN Excel Supplement_1784e6ed-f8a8-43fa-8bf2-9e916802f1cc.xlsx</dc:title>
  <dc:creator>Beth Meyer</dc:creator>
  <cp:lastModifiedBy>usuario</cp:lastModifiedBy>
  <cp:lastPrinted>2014-04-22T15:44:08Z</cp:lastPrinted>
  <dcterms:created xsi:type="dcterms:W3CDTF">2014-04-08T16:06:17Z</dcterms:created>
  <dcterms:modified xsi:type="dcterms:W3CDTF">2020-08-13T02:27:07Z</dcterms:modified>
</cp:coreProperties>
</file>