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0-AV\UTDT\MFIN\2020 MFIN\Curso FC\FC - TRADICIONAL\2-VC\Clase\"/>
    </mc:Choice>
  </mc:AlternateContent>
  <xr:revisionPtr revIDLastSave="0" documentId="13_ncr:1_{9BCB3BF3-D6F3-470F-9F78-A568DBC583B8}" xr6:coauthVersionLast="45" xr6:coauthVersionMax="45" xr10:uidLastSave="{00000000-0000-0000-0000-000000000000}"/>
  <bookViews>
    <workbookView xWindow="-96" yWindow="-96" windowWidth="23232" windowHeight="12552" tabRatio="622" firstSheet="1" activeTab="5" xr2:uid="{00000000-000D-0000-FFFF-FFFF00000000}"/>
  </bookViews>
  <sheets>
    <sheet name="__FDSCACHE__" sheetId="5" state="veryHidden" r:id="rId1"/>
    <sheet name="Exhibit 6" sheetId="12" r:id="rId2"/>
    <sheet name="DCF - Base Case (2 WACC)" sheetId="28" r:id="rId3"/>
    <sheet name="DCF - Base Case (1 WACC)" sheetId="19" r:id="rId4"/>
    <sheet name="VC Method" sheetId="24" r:id="rId5"/>
    <sheet name="WACC" sheetId="20" r:id="rId6"/>
    <sheet name="VC valuation" sheetId="26" r:id="rId7"/>
    <sheet name="VC valuation (risk-adjusted)" sheetId="27" r:id="rId8"/>
    <sheet name="DPV valuation (sensitivity)" sheetId="29" r:id="rId9"/>
    <sheet name="Term Sheet Analysis" sheetId="25" r:id="rId10"/>
    <sheet name="Term Sheet Analysis (sensitiv)" sheetId="30" r:id="rId11"/>
    <sheet name="M&amp;A Comps (Ex. 7)" sheetId="17" r:id="rId12"/>
  </sheets>
  <externalReferences>
    <externalReference r:id="rId13"/>
  </externalReferences>
  <definedNames>
    <definedName name="Acquiror">#REF!</definedName>
    <definedName name="amzn" localSheetId="5">'[1]Comps (Ex12)'!#REF!</definedName>
    <definedName name="amzn">'[1]Comps (Ex12)'!#REF!</definedName>
    <definedName name="_xlnm.Print_Area" localSheetId="11">'M&amp;A Comps (Ex. 7)'!$A$1:$N$35</definedName>
    <definedName name="_xlnm.Print_Area" localSheetId="4">'VC Method'!$B$1:$I$13</definedName>
    <definedName name="asset_write_up">#REF!</definedName>
    <definedName name="assets_acq">#REF!</definedName>
    <definedName name="assets_adj">#REF!</definedName>
    <definedName name="assets_targ">#REF!</definedName>
    <definedName name="assets_total">#REF!</definedName>
    <definedName name="baseyear">#REF!</definedName>
    <definedName name="book_acq">#REF!</definedName>
    <definedName name="book_new">#REF!</definedName>
    <definedName name="book_targ">#REF!</definedName>
    <definedName name="book_total">#REF!</definedName>
    <definedName name="cap_acq">#REF!</definedName>
    <definedName name="cash_acq">#REF!</definedName>
    <definedName name="cash_per">#REF!</definedName>
    <definedName name="cash_rate">#REF!</definedName>
    <definedName name="cash_targ">#REF!</definedName>
    <definedName name="cash_total">#REF!</definedName>
    <definedName name="date">#REF!</definedName>
    <definedName name="debt_acq">#REF!</definedName>
    <definedName name="debt_adj">#REF!</definedName>
    <definedName name="debt_issue">#REF!</definedName>
    <definedName name="debt_new">#REF!</definedName>
    <definedName name="debt_targ">#REF!</definedName>
    <definedName name="ebdiat_acq">#REF!</definedName>
    <definedName name="ebdiat_targ">#REF!</definedName>
    <definedName name="ebdiat_total">#REF!</definedName>
    <definedName name="ebit_acq">#REF!</definedName>
    <definedName name="ebit_targ">#REF!</definedName>
    <definedName name="ebit_total">#REF!</definedName>
    <definedName name="eps_new1">#REF!</definedName>
    <definedName name="eps_new2">#REF!</definedName>
    <definedName name="eps_new3">#REF!</definedName>
    <definedName name="eps_yr1_acq">#REF!</definedName>
    <definedName name="eps_yr1_targ">#REF!</definedName>
    <definedName name="eps_yr2_acq">#REF!</definedName>
    <definedName name="eps_yr2_targ">#REF!</definedName>
    <definedName name="eps_yr3_acq">#REF!</definedName>
    <definedName name="eps_yr3_targ">#REF!</definedName>
    <definedName name="EQUITY">#REF!</definedName>
    <definedName name="equity_acq">#REF!</definedName>
    <definedName name="equity_targ">#REF!</definedName>
    <definedName name="equity_total">#REF!</definedName>
    <definedName name="exchange">#REF!</definedName>
    <definedName name="fv_acq">#REF!</definedName>
    <definedName name="fv_targ">#REF!</definedName>
    <definedName name="fvcash_acq">#REF!</definedName>
    <definedName name="fvcash_targ">#REF!</definedName>
    <definedName name="gw_adj_1">#REF!</definedName>
    <definedName name="gw_adj_2">#REF!</definedName>
    <definedName name="gw_adj_3">#REF!</definedName>
    <definedName name="gw_new">#REF!</definedName>
    <definedName name="gw_targ">#REF!</definedName>
    <definedName name="gw_target">#REF!</definedName>
    <definedName name="gw_years">#REF!</definedName>
    <definedName name="gwtog">#REF!</definedName>
    <definedName name="int_adj_1">#REF!</definedName>
    <definedName name="int_adj_2">#REF!</definedName>
    <definedName name="int_adj_3">#REF!</definedName>
    <definedName name="ni_acq">#REF!</definedName>
    <definedName name="ni_targ">#REF!</definedName>
    <definedName name="ni_total">#REF!</definedName>
    <definedName name="pref_acq">#REF!</definedName>
    <definedName name="pref_new">#REF!</definedName>
    <definedName name="pref_targ">#REF!</definedName>
    <definedName name="price_acq">#REF!</definedName>
    <definedName name="price_merg">#REF!</definedName>
    <definedName name="price_targ">#REF!</definedName>
    <definedName name="refin_int">#REF!</definedName>
    <definedName name="refin_rate">#REF!</definedName>
    <definedName name="refin_tog">#REF!</definedName>
    <definedName name="rev_acq">#REF!</definedName>
    <definedName name="rev_targ">#REF!</definedName>
    <definedName name="rev_total">#REF!</definedName>
    <definedName name="shos_acq">#REF!</definedName>
    <definedName name="shos_targ">#REF!</definedName>
    <definedName name="syn_adj_1">#REF!</definedName>
    <definedName name="syn_adj_2">#REF!</definedName>
    <definedName name="syn_adj_3">#REF!</definedName>
    <definedName name="Target">#REF!</definedName>
    <definedName name="tax_rate">#REF!</definedName>
    <definedName name="trans_exp">#REF!</definedName>
    <definedName name="transtog">#REF!</definedName>
    <definedName name="VALUATION">#REF!</definedName>
    <definedName name="wacc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52" i="30" l="1"/>
  <c r="U51" i="30"/>
  <c r="U52" i="30" s="1"/>
  <c r="U48" i="30"/>
  <c r="T51" i="30"/>
  <c r="T42" i="30"/>
  <c r="T48" i="30" l="1"/>
  <c r="T41" i="30"/>
  <c r="T44" i="30"/>
  <c r="F10" i="30"/>
  <c r="H10" i="30" s="1"/>
  <c r="N23" i="30"/>
  <c r="N24" i="30" s="1"/>
  <c r="N30" i="30" s="1"/>
  <c r="N20" i="30"/>
  <c r="N25" i="30" s="1"/>
  <c r="J20" i="30"/>
  <c r="J23" i="30" s="1"/>
  <c r="P19" i="30"/>
  <c r="L19" i="30"/>
  <c r="H19" i="30"/>
  <c r="L15" i="30"/>
  <c r="N14" i="30"/>
  <c r="N16" i="30" s="1"/>
  <c r="J14" i="30"/>
  <c r="J16" i="30" s="1"/>
  <c r="P11" i="30"/>
  <c r="P14" i="30" s="1"/>
  <c r="L11" i="30"/>
  <c r="L20" i="30" s="1"/>
  <c r="P10" i="30"/>
  <c r="L10" i="30"/>
  <c r="N9" i="30"/>
  <c r="N15" i="30" s="1"/>
  <c r="L9" i="30"/>
  <c r="L24" i="30" s="1"/>
  <c r="L30" i="30" s="1"/>
  <c r="J9" i="30"/>
  <c r="J15" i="30" s="1"/>
  <c r="F6" i="29"/>
  <c r="F8" i="29" s="1"/>
  <c r="O33" i="29"/>
  <c r="N33" i="29"/>
  <c r="M33" i="29"/>
  <c r="L33" i="29"/>
  <c r="K33" i="29"/>
  <c r="O32" i="29"/>
  <c r="N32" i="29"/>
  <c r="M32" i="29"/>
  <c r="L32" i="29"/>
  <c r="K32" i="29"/>
  <c r="O31" i="29"/>
  <c r="N31" i="29"/>
  <c r="M31" i="29"/>
  <c r="L31" i="29"/>
  <c r="K31" i="29"/>
  <c r="O30" i="29"/>
  <c r="N30" i="29"/>
  <c r="M30" i="29"/>
  <c r="L30" i="29"/>
  <c r="K30" i="29"/>
  <c r="O29" i="29"/>
  <c r="N29" i="29"/>
  <c r="M29" i="29"/>
  <c r="L29" i="29"/>
  <c r="K29" i="29"/>
  <c r="O28" i="29"/>
  <c r="N28" i="29"/>
  <c r="M28" i="29"/>
  <c r="L28" i="29"/>
  <c r="K28" i="29"/>
  <c r="I13" i="29"/>
  <c r="I15" i="29" s="1"/>
  <c r="I16" i="29" s="1"/>
  <c r="H8" i="29"/>
  <c r="G8" i="29"/>
  <c r="I7" i="29"/>
  <c r="I8" i="29" s="1"/>
  <c r="G4" i="29"/>
  <c r="H4" i="29" s="1"/>
  <c r="I4" i="29" s="1"/>
  <c r="A32" i="19"/>
  <c r="A32" i="28"/>
  <c r="A40" i="28"/>
  <c r="A40" i="19"/>
  <c r="P23" i="30" l="1"/>
  <c r="L25" i="30"/>
  <c r="L23" i="30"/>
  <c r="J29" i="30"/>
  <c r="N29" i="30"/>
  <c r="P9" i="30"/>
  <c r="N26" i="30"/>
  <c r="P20" i="30"/>
  <c r="P25" i="30" s="1"/>
  <c r="J25" i="30"/>
  <c r="J24" i="30" s="1"/>
  <c r="L14" i="30"/>
  <c r="L16" i="30" s="1"/>
  <c r="F10" i="29"/>
  <c r="D38" i="29" s="1"/>
  <c r="I18" i="29"/>
  <c r="F21" i="29" s="1"/>
  <c r="F50" i="28"/>
  <c r="E16" i="20"/>
  <c r="F50" i="19"/>
  <c r="A33" i="19" s="1"/>
  <c r="J84" i="28"/>
  <c r="K84" i="28" s="1"/>
  <c r="L84" i="28" s="1"/>
  <c r="M84" i="28" s="1"/>
  <c r="N84" i="28" s="1"/>
  <c r="O84" i="28" s="1"/>
  <c r="P84" i="28" s="1"/>
  <c r="Q84" i="28" s="1"/>
  <c r="R84" i="28" s="1"/>
  <c r="M82" i="28"/>
  <c r="L82" i="28"/>
  <c r="L85" i="28" s="1"/>
  <c r="L86" i="28" s="1"/>
  <c r="K82" i="28"/>
  <c r="J82" i="28"/>
  <c r="J85" i="28" s="1"/>
  <c r="J86" i="28" s="1"/>
  <c r="I82" i="28"/>
  <c r="I85" i="28" s="1"/>
  <c r="H82" i="28"/>
  <c r="I22" i="28" s="1"/>
  <c r="G82" i="28"/>
  <c r="R69" i="28"/>
  <c r="Q69" i="28"/>
  <c r="P69" i="28"/>
  <c r="O69" i="28"/>
  <c r="N69" i="28"/>
  <c r="J68" i="28"/>
  <c r="I68" i="28"/>
  <c r="H68" i="28"/>
  <c r="G68" i="28"/>
  <c r="F59" i="28"/>
  <c r="A59" i="28"/>
  <c r="A58" i="28"/>
  <c r="A57" i="28"/>
  <c r="F42" i="28"/>
  <c r="A42" i="28"/>
  <c r="J30" i="28"/>
  <c r="K29" i="28"/>
  <c r="K30" i="28" s="1"/>
  <c r="A26" i="28"/>
  <c r="G22" i="28"/>
  <c r="M18" i="28"/>
  <c r="L18" i="28"/>
  <c r="K18" i="28"/>
  <c r="J18" i="28"/>
  <c r="I18" i="28"/>
  <c r="H18" i="28"/>
  <c r="G18" i="28"/>
  <c r="M15" i="28"/>
  <c r="M12" i="28" s="1"/>
  <c r="L15" i="28"/>
  <c r="L12" i="28" s="1"/>
  <c r="K15" i="28"/>
  <c r="J15" i="28"/>
  <c r="I15" i="28"/>
  <c r="H15" i="28"/>
  <c r="G15" i="28"/>
  <c r="I12" i="28"/>
  <c r="H12" i="28"/>
  <c r="H13" i="28" s="1"/>
  <c r="M9" i="28"/>
  <c r="L9" i="28"/>
  <c r="L75" i="28" s="1"/>
  <c r="K9" i="28"/>
  <c r="K75" i="28" s="1"/>
  <c r="J9" i="28"/>
  <c r="I9" i="28"/>
  <c r="I16" i="28" s="1"/>
  <c r="H9" i="28"/>
  <c r="G9" i="28"/>
  <c r="G74" i="28" s="1"/>
  <c r="K7" i="28"/>
  <c r="K68" i="28" s="1"/>
  <c r="J30" i="30" l="1"/>
  <c r="J26" i="30"/>
  <c r="P26" i="30"/>
  <c r="P29" i="30"/>
  <c r="P24" i="30"/>
  <c r="P15" i="30"/>
  <c r="P16" i="30" s="1"/>
  <c r="L29" i="30"/>
  <c r="L26" i="30"/>
  <c r="F22" i="29"/>
  <c r="Q28" i="29" s="1"/>
  <c r="D28" i="29"/>
  <c r="A33" i="28"/>
  <c r="I13" i="28"/>
  <c r="K10" i="28"/>
  <c r="K69" i="28" s="1"/>
  <c r="I19" i="28"/>
  <c r="I76" i="28"/>
  <c r="G72" i="28"/>
  <c r="H79" i="28"/>
  <c r="J22" i="28"/>
  <c r="J76" i="28" s="1"/>
  <c r="G73" i="28"/>
  <c r="M19" i="28"/>
  <c r="I24" i="28"/>
  <c r="I77" i="28" s="1"/>
  <c r="L10" i="28"/>
  <c r="L69" i="28" s="1"/>
  <c r="K72" i="28"/>
  <c r="H72" i="28"/>
  <c r="H22" i="28"/>
  <c r="H76" i="28" s="1"/>
  <c r="K12" i="28"/>
  <c r="K70" i="28" s="1"/>
  <c r="M10" i="28"/>
  <c r="M69" i="28" s="1"/>
  <c r="M22" i="28"/>
  <c r="M76" i="28" s="1"/>
  <c r="J10" i="28"/>
  <c r="J69" i="28" s="1"/>
  <c r="H19" i="28"/>
  <c r="K74" i="28"/>
  <c r="L70" i="28"/>
  <c r="L13" i="28"/>
  <c r="N9" i="28"/>
  <c r="M70" i="28"/>
  <c r="L29" i="28"/>
  <c r="J72" i="28"/>
  <c r="J19" i="28"/>
  <c r="G79" i="28"/>
  <c r="K19" i="28"/>
  <c r="K16" i="28"/>
  <c r="H70" i="28"/>
  <c r="G75" i="28"/>
  <c r="M75" i="28"/>
  <c r="M74" i="28"/>
  <c r="K79" i="28"/>
  <c r="K73" i="28"/>
  <c r="K85" i="28"/>
  <c r="K86" i="28" s="1"/>
  <c r="K83" i="28"/>
  <c r="L79" i="28"/>
  <c r="L73" i="28"/>
  <c r="L19" i="28"/>
  <c r="L16" i="28"/>
  <c r="L72" i="28"/>
  <c r="L7" i="28"/>
  <c r="J74" i="28"/>
  <c r="J83" i="28"/>
  <c r="J75" i="28"/>
  <c r="M72" i="28"/>
  <c r="J16" i="28"/>
  <c r="H83" i="28"/>
  <c r="M13" i="28"/>
  <c r="G16" i="28"/>
  <c r="M79" i="28"/>
  <c r="N79" i="28" s="1"/>
  <c r="M73" i="28"/>
  <c r="K22" i="28"/>
  <c r="K76" i="28" s="1"/>
  <c r="M83" i="28"/>
  <c r="H74" i="28"/>
  <c r="H10" i="28"/>
  <c r="H69" i="28" s="1"/>
  <c r="H75" i="28"/>
  <c r="G12" i="28"/>
  <c r="H16" i="28"/>
  <c r="L22" i="28"/>
  <c r="L76" i="28" s="1"/>
  <c r="G83" i="28"/>
  <c r="I74" i="28"/>
  <c r="I72" i="28"/>
  <c r="I83" i="28"/>
  <c r="I75" i="28"/>
  <c r="I70" i="28"/>
  <c r="I10" i="28"/>
  <c r="I69" i="28" s="1"/>
  <c r="J12" i="28"/>
  <c r="M16" i="28"/>
  <c r="I79" i="28"/>
  <c r="I73" i="28"/>
  <c r="G19" i="28"/>
  <c r="G24" i="28" s="1"/>
  <c r="G77" i="28" s="1"/>
  <c r="G76" i="28"/>
  <c r="J79" i="28"/>
  <c r="J73" i="28"/>
  <c r="M85" i="28"/>
  <c r="M86" i="28" s="1"/>
  <c r="H73" i="28"/>
  <c r="L74" i="28"/>
  <c r="L83" i="28"/>
  <c r="N83" i="28" s="1"/>
  <c r="O33" i="27"/>
  <c r="N33" i="27"/>
  <c r="M33" i="27"/>
  <c r="L33" i="27"/>
  <c r="K33" i="27"/>
  <c r="O32" i="27"/>
  <c r="N32" i="27"/>
  <c r="M32" i="27"/>
  <c r="L32" i="27"/>
  <c r="K32" i="27"/>
  <c r="O31" i="27"/>
  <c r="N31" i="27"/>
  <c r="M31" i="27"/>
  <c r="L31" i="27"/>
  <c r="K31" i="27"/>
  <c r="O30" i="27"/>
  <c r="N30" i="27"/>
  <c r="M30" i="27"/>
  <c r="L30" i="27"/>
  <c r="K30" i="27"/>
  <c r="O29" i="27"/>
  <c r="N29" i="27"/>
  <c r="M29" i="27"/>
  <c r="L29" i="27"/>
  <c r="K29" i="27"/>
  <c r="O28" i="27"/>
  <c r="N28" i="27"/>
  <c r="M28" i="27"/>
  <c r="L28" i="27"/>
  <c r="K28" i="27"/>
  <c r="H8" i="27"/>
  <c r="G8" i="27"/>
  <c r="F8" i="27"/>
  <c r="I7" i="27"/>
  <c r="I8" i="27" s="1"/>
  <c r="F10" i="27" s="1"/>
  <c r="G4" i="27"/>
  <c r="H4" i="27" s="1"/>
  <c r="I4" i="27" s="1"/>
  <c r="O27" i="26"/>
  <c r="N27" i="26"/>
  <c r="M27" i="26"/>
  <c r="L27" i="26"/>
  <c r="K27" i="26"/>
  <c r="P30" i="30" l="1"/>
  <c r="G78" i="28"/>
  <c r="J24" i="28"/>
  <c r="J25" i="28" s="1"/>
  <c r="J27" i="28"/>
  <c r="K24" i="28"/>
  <c r="K32" i="28" s="1"/>
  <c r="D38" i="27"/>
  <c r="M24" i="28"/>
  <c r="K13" i="28"/>
  <c r="H24" i="28"/>
  <c r="O79" i="28"/>
  <c r="N75" i="28"/>
  <c r="N74" i="28"/>
  <c r="O9" i="28"/>
  <c r="G70" i="28"/>
  <c r="G13" i="28"/>
  <c r="L68" i="28"/>
  <c r="M7" i="28"/>
  <c r="I78" i="28"/>
  <c r="N13" i="28"/>
  <c r="O13" i="28" s="1"/>
  <c r="P13" i="28" s="1"/>
  <c r="Q13" i="28" s="1"/>
  <c r="K87" i="28"/>
  <c r="N82" i="28"/>
  <c r="O83" i="28"/>
  <c r="L24" i="28"/>
  <c r="J87" i="28"/>
  <c r="J32" i="28"/>
  <c r="J77" i="28"/>
  <c r="J78" i="28" s="1"/>
  <c r="J70" i="28"/>
  <c r="J13" i="28"/>
  <c r="L30" i="28"/>
  <c r="M29" i="28"/>
  <c r="R30" i="19"/>
  <c r="P30" i="17"/>
  <c r="P26" i="17"/>
  <c r="P8" i="17"/>
  <c r="P34" i="17" s="1"/>
  <c r="P16" i="17"/>
  <c r="P14" i="17"/>
  <c r="L30" i="17"/>
  <c r="L8" i="17"/>
  <c r="L14" i="17"/>
  <c r="L16" i="17"/>
  <c r="L26" i="17"/>
  <c r="H14" i="17"/>
  <c r="H8" i="17"/>
  <c r="H16" i="17"/>
  <c r="H26" i="17"/>
  <c r="H30" i="17"/>
  <c r="H28" i="17"/>
  <c r="H24" i="17"/>
  <c r="H22" i="17"/>
  <c r="H20" i="17"/>
  <c r="H18" i="17"/>
  <c r="H12" i="17"/>
  <c r="H10" i="17"/>
  <c r="H6" i="17"/>
  <c r="H33" i="17" s="1"/>
  <c r="M27" i="28" l="1"/>
  <c r="M25" i="28"/>
  <c r="L27" i="28"/>
  <c r="L25" i="28"/>
  <c r="K25" i="28"/>
  <c r="K27" i="28"/>
  <c r="K77" i="28"/>
  <c r="K78" i="28" s="1"/>
  <c r="H77" i="28"/>
  <c r="H78" i="28" s="1"/>
  <c r="H25" i="28"/>
  <c r="I25" i="28"/>
  <c r="M87" i="28"/>
  <c r="M77" i="28"/>
  <c r="M78" i="28" s="1"/>
  <c r="N12" i="28"/>
  <c r="L77" i="28"/>
  <c r="L78" i="28" s="1"/>
  <c r="L32" i="28"/>
  <c r="L87" i="28"/>
  <c r="O74" i="28"/>
  <c r="O12" i="28"/>
  <c r="P9" i="28"/>
  <c r="O75" i="28"/>
  <c r="N22" i="28"/>
  <c r="N76" i="28" s="1"/>
  <c r="N85" i="28"/>
  <c r="N86" i="28" s="1"/>
  <c r="M68" i="28"/>
  <c r="N7" i="28"/>
  <c r="P79" i="28"/>
  <c r="O82" i="28"/>
  <c r="O22" i="28" s="1"/>
  <c r="O76" i="28" s="1"/>
  <c r="P83" i="28"/>
  <c r="M30" i="28"/>
  <c r="M32" i="28" s="1"/>
  <c r="N29" i="28"/>
  <c r="P33" i="17"/>
  <c r="L33" i="17"/>
  <c r="N20" i="25"/>
  <c r="N23" i="25" s="1"/>
  <c r="P19" i="25"/>
  <c r="N15" i="25"/>
  <c r="N14" i="25"/>
  <c r="N16" i="25" s="1"/>
  <c r="P11" i="25"/>
  <c r="P10" i="25"/>
  <c r="N9" i="25"/>
  <c r="J20" i="25"/>
  <c r="J23" i="25" s="1"/>
  <c r="L19" i="25"/>
  <c r="J14" i="25"/>
  <c r="L11" i="25"/>
  <c r="L10" i="25"/>
  <c r="J9" i="25"/>
  <c r="J15" i="25" s="1"/>
  <c r="J16" i="25" s="1"/>
  <c r="Q79" i="28" l="1"/>
  <c r="O70" i="28"/>
  <c r="O15" i="28"/>
  <c r="N30" i="28"/>
  <c r="O29" i="28"/>
  <c r="P82" i="28"/>
  <c r="P22" i="28" s="1"/>
  <c r="P76" i="28" s="1"/>
  <c r="Q83" i="28"/>
  <c r="Q82" i="28" s="1"/>
  <c r="P74" i="28"/>
  <c r="P12" i="28"/>
  <c r="P75" i="28"/>
  <c r="Q9" i="28"/>
  <c r="O7" i="28"/>
  <c r="N68" i="28"/>
  <c r="O85" i="28"/>
  <c r="O86" i="28" s="1"/>
  <c r="N70" i="28"/>
  <c r="N15" i="28"/>
  <c r="P20" i="25"/>
  <c r="P23" i="25" s="1"/>
  <c r="L20" i="25"/>
  <c r="L25" i="25" s="1"/>
  <c r="L23" i="25"/>
  <c r="N25" i="25"/>
  <c r="N24" i="25" s="1"/>
  <c r="N30" i="25" s="1"/>
  <c r="P9" i="25"/>
  <c r="P14" i="25"/>
  <c r="N29" i="25"/>
  <c r="P15" i="25"/>
  <c r="J29" i="25"/>
  <c r="L9" i="25"/>
  <c r="J25" i="25"/>
  <c r="J24" i="25" s="1"/>
  <c r="L14" i="25"/>
  <c r="O32" i="26"/>
  <c r="N32" i="26"/>
  <c r="M32" i="26"/>
  <c r="L32" i="26"/>
  <c r="K32" i="26"/>
  <c r="O31" i="26"/>
  <c r="N31" i="26"/>
  <c r="M31" i="26"/>
  <c r="L31" i="26"/>
  <c r="K31" i="26"/>
  <c r="O30" i="26"/>
  <c r="N30" i="26"/>
  <c r="M30" i="26"/>
  <c r="L30" i="26"/>
  <c r="K30" i="26"/>
  <c r="O29" i="26"/>
  <c r="N29" i="26"/>
  <c r="M29" i="26"/>
  <c r="L29" i="26"/>
  <c r="K29" i="26"/>
  <c r="O28" i="26"/>
  <c r="N28" i="26"/>
  <c r="M28" i="26"/>
  <c r="L28" i="26"/>
  <c r="K28" i="26"/>
  <c r="I7" i="26"/>
  <c r="I8" i="26" s="1"/>
  <c r="F10" i="26" s="1"/>
  <c r="H8" i="26"/>
  <c r="G8" i="26"/>
  <c r="F8" i="26"/>
  <c r="G4" i="26"/>
  <c r="H4" i="26" s="1"/>
  <c r="I4" i="26" s="1"/>
  <c r="E24" i="24"/>
  <c r="N24" i="24" s="1"/>
  <c r="K16" i="24" s="1"/>
  <c r="D37" i="26" l="1"/>
  <c r="Q85" i="28"/>
  <c r="Q86" i="28" s="1"/>
  <c r="P7" i="28"/>
  <c r="Q7" i="28" s="1"/>
  <c r="R7" i="28" s="1"/>
  <c r="O68" i="28"/>
  <c r="P68" i="28" s="1"/>
  <c r="Q68" i="28" s="1"/>
  <c r="R68" i="28" s="1"/>
  <c r="O72" i="28"/>
  <c r="O16" i="28"/>
  <c r="O18" i="28"/>
  <c r="O73" i="28" s="1"/>
  <c r="N72" i="28"/>
  <c r="N16" i="28"/>
  <c r="N18" i="28"/>
  <c r="N73" i="28" s="1"/>
  <c r="P15" i="28"/>
  <c r="P70" i="28"/>
  <c r="R79" i="28"/>
  <c r="P85" i="28"/>
  <c r="P86" i="28" s="1"/>
  <c r="Q22" i="28"/>
  <c r="Q76" i="28" s="1"/>
  <c r="O30" i="28"/>
  <c r="P29" i="28"/>
  <c r="Q74" i="28"/>
  <c r="Q12" i="28"/>
  <c r="Q75" i="28"/>
  <c r="R9" i="28"/>
  <c r="P29" i="25"/>
  <c r="P24" i="25"/>
  <c r="P30" i="25" s="1"/>
  <c r="P25" i="25"/>
  <c r="P16" i="25"/>
  <c r="N26" i="25"/>
  <c r="J30" i="25"/>
  <c r="J26" i="25"/>
  <c r="L15" i="25"/>
  <c r="L16" i="25" s="1"/>
  <c r="L24" i="25"/>
  <c r="L29" i="25"/>
  <c r="B16" i="24"/>
  <c r="G16" i="20"/>
  <c r="N8" i="24"/>
  <c r="H10" i="25"/>
  <c r="H19" i="25"/>
  <c r="O19" i="28" l="1"/>
  <c r="O24" i="28" s="1"/>
  <c r="Q15" i="28"/>
  <c r="Q70" i="28"/>
  <c r="R82" i="28"/>
  <c r="R74" i="28"/>
  <c r="T9" i="28"/>
  <c r="R75" i="28"/>
  <c r="R12" i="28"/>
  <c r="P72" i="28"/>
  <c r="P16" i="28"/>
  <c r="P18" i="28"/>
  <c r="P73" i="28" s="1"/>
  <c r="N19" i="28"/>
  <c r="N24" i="28" s="1"/>
  <c r="Q29" i="28"/>
  <c r="P30" i="28"/>
  <c r="P26" i="25"/>
  <c r="L30" i="25"/>
  <c r="L26" i="25"/>
  <c r="N23" i="24"/>
  <c r="E8" i="24"/>
  <c r="E23" i="24"/>
  <c r="G24" i="20"/>
  <c r="R69" i="19"/>
  <c r="Q69" i="19"/>
  <c r="P69" i="19"/>
  <c r="O69" i="19"/>
  <c r="N69" i="19"/>
  <c r="J84" i="19"/>
  <c r="K84" i="19" s="1"/>
  <c r="L84" i="19" s="1"/>
  <c r="M84" i="19" s="1"/>
  <c r="N84" i="19" s="1"/>
  <c r="O84" i="19" s="1"/>
  <c r="P84" i="19" s="1"/>
  <c r="Q84" i="19" s="1"/>
  <c r="R84" i="19" s="1"/>
  <c r="M82" i="19"/>
  <c r="L82" i="19"/>
  <c r="K82" i="19"/>
  <c r="J82" i="19"/>
  <c r="G82" i="19"/>
  <c r="G22" i="19" s="1"/>
  <c r="H82" i="19"/>
  <c r="I82" i="19"/>
  <c r="I85" i="19" s="1"/>
  <c r="E9" i="20"/>
  <c r="G21" i="20"/>
  <c r="G18" i="19"/>
  <c r="H18" i="19"/>
  <c r="I18" i="19"/>
  <c r="J18" i="19"/>
  <c r="K18" i="19"/>
  <c r="L18" i="19"/>
  <c r="M18" i="19"/>
  <c r="M15" i="19"/>
  <c r="M12" i="19" s="1"/>
  <c r="L15" i="19"/>
  <c r="L12" i="19" s="1"/>
  <c r="K15" i="19"/>
  <c r="K12" i="19" s="1"/>
  <c r="J15" i="19"/>
  <c r="J12" i="19" s="1"/>
  <c r="L20" i="24" s="1"/>
  <c r="I15" i="19"/>
  <c r="I12" i="19" s="1"/>
  <c r="H15" i="19"/>
  <c r="G15" i="19"/>
  <c r="G12" i="19" s="1"/>
  <c r="M9" i="19"/>
  <c r="L9" i="19"/>
  <c r="K9" i="19"/>
  <c r="J9" i="19"/>
  <c r="C20" i="24" s="1"/>
  <c r="I9" i="19"/>
  <c r="H9" i="19"/>
  <c r="G9" i="19"/>
  <c r="N27" i="28" l="1"/>
  <c r="N25" i="28"/>
  <c r="O27" i="28"/>
  <c r="O25" i="28"/>
  <c r="M22" i="19"/>
  <c r="C21" i="24"/>
  <c r="I6" i="24" s="1"/>
  <c r="I5" i="24" s="1"/>
  <c r="I13" i="27"/>
  <c r="I15" i="27" s="1"/>
  <c r="I16" i="27" s="1"/>
  <c r="I13" i="26"/>
  <c r="I15" i="26" s="1"/>
  <c r="R29" i="28"/>
  <c r="R30" i="28" s="1"/>
  <c r="Q30" i="28"/>
  <c r="N77" i="28"/>
  <c r="N78" i="28" s="1"/>
  <c r="N87" i="28"/>
  <c r="N32" i="28"/>
  <c r="R85" i="28"/>
  <c r="R86" i="28" s="1"/>
  <c r="R22" i="28"/>
  <c r="R76" i="28" s="1"/>
  <c r="P19" i="28"/>
  <c r="P24" i="28" s="1"/>
  <c r="R26" i="28"/>
  <c r="R70" i="28"/>
  <c r="T12" i="28"/>
  <c r="R15" i="28"/>
  <c r="Q72" i="28"/>
  <c r="Q16" i="28"/>
  <c r="Q18" i="28"/>
  <c r="Q73" i="28" s="1"/>
  <c r="O87" i="28"/>
  <c r="O32" i="28"/>
  <c r="O77" i="28"/>
  <c r="O78" i="28" s="1"/>
  <c r="L21" i="24"/>
  <c r="P6" i="24"/>
  <c r="F6" i="24"/>
  <c r="F12" i="24" s="1"/>
  <c r="G6" i="24"/>
  <c r="G13" i="24" s="1"/>
  <c r="H22" i="19"/>
  <c r="L22" i="19"/>
  <c r="J79" i="19"/>
  <c r="J85" i="19"/>
  <c r="J86" i="19" s="1"/>
  <c r="H79" i="19"/>
  <c r="K79" i="19"/>
  <c r="K83" i="19"/>
  <c r="M79" i="19"/>
  <c r="N79" i="19" s="1"/>
  <c r="O79" i="19" s="1"/>
  <c r="P79" i="19" s="1"/>
  <c r="Q79" i="19" s="1"/>
  <c r="R79" i="19" s="1"/>
  <c r="L79" i="19"/>
  <c r="G83" i="19"/>
  <c r="H83" i="19"/>
  <c r="L83" i="19"/>
  <c r="N83" i="19" s="1"/>
  <c r="O83" i="19" s="1"/>
  <c r="P83" i="19" s="1"/>
  <c r="Q83" i="19" s="1"/>
  <c r="H12" i="19"/>
  <c r="I79" i="19"/>
  <c r="J83" i="19"/>
  <c r="L85" i="19"/>
  <c r="L86" i="19" s="1"/>
  <c r="G79" i="19"/>
  <c r="I83" i="19"/>
  <c r="K22" i="19"/>
  <c r="M85" i="19"/>
  <c r="M86" i="19" s="1"/>
  <c r="J22" i="19"/>
  <c r="I22" i="19"/>
  <c r="M83" i="19"/>
  <c r="K85" i="19"/>
  <c r="K86" i="19" s="1"/>
  <c r="I24" i="12"/>
  <c r="H24" i="12"/>
  <c r="G24" i="12"/>
  <c r="F24" i="12"/>
  <c r="E24" i="12"/>
  <c r="D24" i="12"/>
  <c r="C24" i="12"/>
  <c r="C22" i="12"/>
  <c r="I22" i="12"/>
  <c r="H22" i="12"/>
  <c r="G22" i="12"/>
  <c r="F22" i="12"/>
  <c r="E22" i="12"/>
  <c r="D22" i="12"/>
  <c r="I17" i="12"/>
  <c r="H17" i="12"/>
  <c r="H18" i="12" s="1"/>
  <c r="G17" i="12"/>
  <c r="G18" i="12" s="1"/>
  <c r="F17" i="12"/>
  <c r="F18" i="12" s="1"/>
  <c r="E17" i="12"/>
  <c r="E18" i="12" s="1"/>
  <c r="D17" i="12"/>
  <c r="D18" i="12" s="1"/>
  <c r="C17" i="12"/>
  <c r="C18" i="12" s="1"/>
  <c r="I14" i="12"/>
  <c r="I15" i="12" s="1"/>
  <c r="H14" i="12"/>
  <c r="H15" i="12" s="1"/>
  <c r="G14" i="12"/>
  <c r="G15" i="12" s="1"/>
  <c r="F14" i="12"/>
  <c r="F15" i="12" s="1"/>
  <c r="E14" i="12"/>
  <c r="E15" i="12" s="1"/>
  <c r="D14" i="12"/>
  <c r="D15" i="12" s="1"/>
  <c r="C14" i="12"/>
  <c r="C15" i="12" s="1"/>
  <c r="I21" i="12"/>
  <c r="H21" i="12"/>
  <c r="G21" i="12"/>
  <c r="F21" i="12"/>
  <c r="E21" i="12"/>
  <c r="D21" i="12"/>
  <c r="C21" i="12"/>
  <c r="I18" i="12"/>
  <c r="I13" i="12"/>
  <c r="H13" i="12"/>
  <c r="G13" i="12"/>
  <c r="F13" i="12"/>
  <c r="E13" i="12"/>
  <c r="D13" i="12"/>
  <c r="C13" i="12"/>
  <c r="I11" i="12"/>
  <c r="H11" i="12"/>
  <c r="G11" i="12"/>
  <c r="F11" i="12"/>
  <c r="E11" i="12"/>
  <c r="D11" i="12"/>
  <c r="C11" i="12"/>
  <c r="I9" i="12"/>
  <c r="H9" i="12"/>
  <c r="G9" i="12"/>
  <c r="F9" i="12"/>
  <c r="E9" i="12"/>
  <c r="D9" i="12"/>
  <c r="C9" i="12"/>
  <c r="C7" i="12"/>
  <c r="I8" i="12"/>
  <c r="H8" i="12"/>
  <c r="G8" i="12"/>
  <c r="F8" i="12"/>
  <c r="E8" i="12"/>
  <c r="D8" i="12"/>
  <c r="C8" i="12"/>
  <c r="I7" i="12"/>
  <c r="H7" i="12"/>
  <c r="G7" i="12"/>
  <c r="F7" i="12"/>
  <c r="E7" i="12"/>
  <c r="D7" i="12"/>
  <c r="I14" i="24" l="1"/>
  <c r="I13" i="24"/>
  <c r="I12" i="24"/>
  <c r="P27" i="28"/>
  <c r="P25" i="28"/>
  <c r="Q19" i="28"/>
  <c r="Q24" i="28" s="1"/>
  <c r="Q77" i="28" s="1"/>
  <c r="Q78" i="28" s="1"/>
  <c r="I18" i="27"/>
  <c r="F21" i="27" s="1"/>
  <c r="D28" i="27" s="1"/>
  <c r="I17" i="26"/>
  <c r="F20" i="26" s="1"/>
  <c r="F21" i="26" s="1"/>
  <c r="Q27" i="26" s="1"/>
  <c r="I10" i="24"/>
  <c r="P5" i="24"/>
  <c r="Q5" i="24" s="1"/>
  <c r="Q6" i="24" s="1"/>
  <c r="E6" i="24"/>
  <c r="E14" i="24" s="1"/>
  <c r="I11" i="24"/>
  <c r="H6" i="24"/>
  <c r="H5" i="24" s="1"/>
  <c r="E21" i="24"/>
  <c r="R72" i="28"/>
  <c r="R16" i="28"/>
  <c r="T15" i="28"/>
  <c r="R18" i="28"/>
  <c r="R73" i="28" s="1"/>
  <c r="R33" i="28"/>
  <c r="F52" i="28"/>
  <c r="P87" i="28"/>
  <c r="P77" i="28"/>
  <c r="P78" i="28" s="1"/>
  <c r="P32" i="28"/>
  <c r="P11" i="24"/>
  <c r="P10" i="24"/>
  <c r="F13" i="24"/>
  <c r="F11" i="24"/>
  <c r="F14" i="24"/>
  <c r="P12" i="24"/>
  <c r="P13" i="24"/>
  <c r="F10" i="24"/>
  <c r="F5" i="24"/>
  <c r="G10" i="24"/>
  <c r="G11" i="24"/>
  <c r="G14" i="24"/>
  <c r="N5" i="24"/>
  <c r="N6" i="24" s="1"/>
  <c r="O5" i="24"/>
  <c r="O6" i="24" s="1"/>
  <c r="G5" i="24"/>
  <c r="G12" i="24"/>
  <c r="P14" i="24"/>
  <c r="E10" i="20"/>
  <c r="D3" i="12"/>
  <c r="E3" i="12" s="1"/>
  <c r="F3" i="12" s="1"/>
  <c r="G3" i="12" s="1"/>
  <c r="H3" i="12" s="1"/>
  <c r="I3" i="12" s="1"/>
  <c r="H13" i="24" l="1"/>
  <c r="R5" i="24"/>
  <c r="R6" i="24" s="1"/>
  <c r="H12" i="24"/>
  <c r="F40" i="28"/>
  <c r="F33" i="28"/>
  <c r="Q87" i="28"/>
  <c r="Q32" i="28"/>
  <c r="E13" i="24"/>
  <c r="E5" i="24"/>
  <c r="Q25" i="28"/>
  <c r="Q27" i="28"/>
  <c r="F22" i="27"/>
  <c r="F11" i="30" s="1"/>
  <c r="D27" i="26"/>
  <c r="E10" i="24"/>
  <c r="E11" i="24"/>
  <c r="E12" i="24"/>
  <c r="H11" i="24"/>
  <c r="H10" i="24"/>
  <c r="H14" i="24"/>
  <c r="R19" i="28"/>
  <c r="R24" i="28" s="1"/>
  <c r="R10" i="24"/>
  <c r="R13" i="24"/>
  <c r="R11" i="24"/>
  <c r="R14" i="24"/>
  <c r="R12" i="24"/>
  <c r="Q10" i="24"/>
  <c r="Q13" i="24"/>
  <c r="Q12" i="24"/>
  <c r="Q11" i="24"/>
  <c r="Q14" i="24"/>
  <c r="N14" i="24"/>
  <c r="N11" i="24"/>
  <c r="N10" i="24"/>
  <c r="N13" i="24"/>
  <c r="N12" i="24"/>
  <c r="O11" i="24"/>
  <c r="O14" i="24"/>
  <c r="O13" i="24"/>
  <c r="O12" i="24"/>
  <c r="O10" i="24"/>
  <c r="G13" i="20"/>
  <c r="G10" i="20"/>
  <c r="G9" i="20"/>
  <c r="G7" i="20"/>
  <c r="F20" i="30" l="1"/>
  <c r="H11" i="30"/>
  <c r="F14" i="30"/>
  <c r="F9" i="30"/>
  <c r="F15" i="30" s="1"/>
  <c r="Q28" i="27"/>
  <c r="F11" i="25"/>
  <c r="R25" i="28"/>
  <c r="R27" i="28"/>
  <c r="R87" i="28"/>
  <c r="R32" i="28"/>
  <c r="F39" i="28" s="1"/>
  <c r="R77" i="28"/>
  <c r="R78" i="28" s="1"/>
  <c r="F53" i="28"/>
  <c r="G11" i="20"/>
  <c r="G5" i="20"/>
  <c r="H14" i="30" l="1"/>
  <c r="H20" i="30"/>
  <c r="H9" i="30"/>
  <c r="F16" i="30"/>
  <c r="F23" i="30"/>
  <c r="F25" i="30"/>
  <c r="F20" i="25"/>
  <c r="F9" i="25"/>
  <c r="F15" i="25" s="1"/>
  <c r="H11" i="25"/>
  <c r="F14" i="25"/>
  <c r="U26" i="28"/>
  <c r="W26" i="28" s="1"/>
  <c r="G33" i="28"/>
  <c r="F32" i="28"/>
  <c r="F34" i="28" s="1"/>
  <c r="U52" i="28"/>
  <c r="L50" i="28"/>
  <c r="F41" i="28"/>
  <c r="G39" i="28" s="1"/>
  <c r="G15" i="20"/>
  <c r="F29" i="30" l="1"/>
  <c r="F24" i="30"/>
  <c r="F30" i="30" s="1"/>
  <c r="H25" i="30"/>
  <c r="H23" i="30"/>
  <c r="H15" i="30"/>
  <c r="H16" i="30" s="1"/>
  <c r="H24" i="30"/>
  <c r="F16" i="25"/>
  <c r="H20" i="25"/>
  <c r="H9" i="25"/>
  <c r="H14" i="25"/>
  <c r="F23" i="25"/>
  <c r="F25" i="25"/>
  <c r="F46" i="28"/>
  <c r="F45" i="28"/>
  <c r="L44" i="28" s="1"/>
  <c r="G45" i="28"/>
  <c r="G41" i="28"/>
  <c r="G46" i="28"/>
  <c r="F43" i="28"/>
  <c r="L38" i="28" s="1"/>
  <c r="G40" i="28"/>
  <c r="A59" i="19"/>
  <c r="A58" i="19"/>
  <c r="A57" i="19"/>
  <c r="A42" i="19"/>
  <c r="K7" i="19"/>
  <c r="L7" i="19" s="1"/>
  <c r="M7" i="19" s="1"/>
  <c r="N7" i="19" s="1"/>
  <c r="O7" i="19" s="1"/>
  <c r="P7" i="19" s="1"/>
  <c r="Q7" i="19" s="1"/>
  <c r="R7" i="19" s="1"/>
  <c r="H30" i="30" l="1"/>
  <c r="F26" i="30"/>
  <c r="H26" i="30"/>
  <c r="H29" i="30"/>
  <c r="F24" i="25"/>
  <c r="F30" i="25" s="1"/>
  <c r="F29" i="25"/>
  <c r="H15" i="25"/>
  <c r="H16" i="25" s="1"/>
  <c r="H24" i="25"/>
  <c r="H25" i="25"/>
  <c r="H23" i="25"/>
  <c r="E11" i="20"/>
  <c r="E7" i="20"/>
  <c r="E5" i="20" s="1"/>
  <c r="E22" i="20" s="1"/>
  <c r="G22" i="20" s="1"/>
  <c r="H30" i="25" l="1"/>
  <c r="F26" i="25"/>
  <c r="H29" i="25"/>
  <c r="H26" i="25"/>
  <c r="G23" i="20"/>
  <c r="E24" i="20"/>
  <c r="E23" i="20"/>
  <c r="G25" i="20" l="1"/>
  <c r="G14" i="20" s="1"/>
  <c r="E25" i="20"/>
  <c r="E14" i="20" s="1"/>
  <c r="O68" i="19"/>
  <c r="P68" i="19" s="1"/>
  <c r="Q68" i="19" s="1"/>
  <c r="R68" i="19" s="1"/>
  <c r="N68" i="19"/>
  <c r="M68" i="19"/>
  <c r="L68" i="19"/>
  <c r="K68" i="19"/>
  <c r="J68" i="19"/>
  <c r="I68" i="19"/>
  <c r="H68" i="19"/>
  <c r="G68" i="19"/>
  <c r="J30" i="19"/>
  <c r="K29" i="19"/>
  <c r="K30" i="19" s="1"/>
  <c r="A26" i="19"/>
  <c r="H75" i="19"/>
  <c r="G16" i="19"/>
  <c r="G70" i="19"/>
  <c r="H10" i="19"/>
  <c r="H69" i="19" s="1"/>
  <c r="E18" i="20" l="1"/>
  <c r="E27" i="20" s="1"/>
  <c r="G18" i="20"/>
  <c r="G27" i="20" s="1"/>
  <c r="H70" i="19"/>
  <c r="I10" i="19"/>
  <c r="I69" i="19" s="1"/>
  <c r="H16" i="19"/>
  <c r="G72" i="19"/>
  <c r="H74" i="19"/>
  <c r="G75" i="19"/>
  <c r="F59" i="19"/>
  <c r="J10" i="19"/>
  <c r="J69" i="19" s="1"/>
  <c r="G13" i="19"/>
  <c r="G74" i="19"/>
  <c r="G76" i="19"/>
  <c r="H13" i="19"/>
  <c r="H76" i="19"/>
  <c r="M10" i="19"/>
  <c r="M69" i="19" s="1"/>
  <c r="G73" i="19"/>
  <c r="K10" i="19"/>
  <c r="K69" i="19" s="1"/>
  <c r="L10" i="19"/>
  <c r="L69" i="19" s="1"/>
  <c r="H72" i="19"/>
  <c r="L29" i="19"/>
  <c r="W50" i="28" l="1"/>
  <c r="U50" i="28" s="1"/>
  <c r="W50" i="19"/>
  <c r="U50" i="19" s="1"/>
  <c r="F42" i="19"/>
  <c r="G19" i="19"/>
  <c r="G24" i="19" s="1"/>
  <c r="G77" i="19" s="1"/>
  <c r="G78" i="19" s="1"/>
  <c r="H73" i="19"/>
  <c r="H19" i="19"/>
  <c r="L30" i="19"/>
  <c r="M29" i="19"/>
  <c r="H24" i="19" l="1"/>
  <c r="N29" i="19"/>
  <c r="M30" i="19"/>
  <c r="H77" i="19" l="1"/>
  <c r="H78" i="19" s="1"/>
  <c r="H25" i="19"/>
  <c r="O29" i="19"/>
  <c r="N30" i="19"/>
  <c r="O30" i="19" l="1"/>
  <c r="P29" i="19"/>
  <c r="P30" i="19" l="1"/>
  <c r="Q29" i="19"/>
  <c r="Q30" i="19" l="1"/>
  <c r="R29" i="19"/>
  <c r="I75" i="19" l="1"/>
  <c r="K75" i="19" l="1"/>
  <c r="J75" i="19"/>
  <c r="L75" i="19" l="1"/>
  <c r="M75" i="19" l="1"/>
  <c r="I73" i="19" l="1"/>
  <c r="I72" i="19"/>
  <c r="I16" i="19"/>
  <c r="I19" i="19"/>
  <c r="I74" i="19" l="1"/>
  <c r="I70" i="19"/>
  <c r="I13" i="19"/>
  <c r="J73" i="19"/>
  <c r="J72" i="19"/>
  <c r="J16" i="19"/>
  <c r="J19" i="19"/>
  <c r="J70" i="19"/>
  <c r="J74" i="19"/>
  <c r="J13" i="19"/>
  <c r="N20" i="24" s="1"/>
  <c r="K73" i="19" l="1"/>
  <c r="K72" i="19"/>
  <c r="K16" i="19"/>
  <c r="K76" i="19" l="1"/>
  <c r="K19" i="19"/>
  <c r="L73" i="19"/>
  <c r="L72" i="19"/>
  <c r="L16" i="19"/>
  <c r="L19" i="19"/>
  <c r="L74" i="19"/>
  <c r="L70" i="19"/>
  <c r="L13" i="19"/>
  <c r="K13" i="19"/>
  <c r="K70" i="19"/>
  <c r="K74" i="19"/>
  <c r="K24" i="19" l="1"/>
  <c r="K27" i="19" s="1"/>
  <c r="M70" i="19"/>
  <c r="M74" i="19"/>
  <c r="M13" i="19"/>
  <c r="M73" i="19"/>
  <c r="M16" i="19"/>
  <c r="M72" i="19"/>
  <c r="N21" i="24" l="1"/>
  <c r="N13" i="19"/>
  <c r="O13" i="19" s="1"/>
  <c r="P13" i="19" s="1"/>
  <c r="Q13" i="19" s="1"/>
  <c r="K87" i="19"/>
  <c r="M19" i="19"/>
  <c r="K77" i="19"/>
  <c r="K78" i="19" s="1"/>
  <c r="K32" i="19"/>
  <c r="M76" i="19" l="1"/>
  <c r="M24" i="19"/>
  <c r="M27" i="19" s="1"/>
  <c r="L76" i="19"/>
  <c r="L24" i="19"/>
  <c r="L27" i="19" s="1"/>
  <c r="L87" i="19" l="1"/>
  <c r="L25" i="19"/>
  <c r="M87" i="19"/>
  <c r="M25" i="19"/>
  <c r="L77" i="19"/>
  <c r="L78" i="19" s="1"/>
  <c r="L32" i="19"/>
  <c r="M77" i="19"/>
  <c r="M78" i="19" s="1"/>
  <c r="M32" i="19"/>
  <c r="J76" i="19" l="1"/>
  <c r="J24" i="19"/>
  <c r="J27" i="19" s="1"/>
  <c r="I76" i="19"/>
  <c r="I24" i="19"/>
  <c r="I25" i="19" s="1"/>
  <c r="J87" i="19" l="1"/>
  <c r="J25" i="19"/>
  <c r="K25" i="19"/>
  <c r="I77" i="19"/>
  <c r="I78" i="19" s="1"/>
  <c r="J32" i="19"/>
  <c r="J77" i="19"/>
  <c r="J78" i="19" s="1"/>
  <c r="N9" i="19" l="1"/>
  <c r="N74" i="19" s="1"/>
  <c r="N75" i="19" l="1"/>
  <c r="O9" i="19"/>
  <c r="O75" i="19" s="1"/>
  <c r="N82" i="19"/>
  <c r="O74" i="19" l="1"/>
  <c r="P9" i="19"/>
  <c r="P75" i="19" s="1"/>
  <c r="O82" i="19"/>
  <c r="O22" i="19" s="1"/>
  <c r="O76" i="19" s="1"/>
  <c r="N22" i="19"/>
  <c r="N76" i="19" s="1"/>
  <c r="N85" i="19"/>
  <c r="N86" i="19" s="1"/>
  <c r="O85" i="19" l="1"/>
  <c r="O86" i="19" s="1"/>
  <c r="Q9" i="19"/>
  <c r="Q74" i="19" s="1"/>
  <c r="P82" i="19"/>
  <c r="P22" i="19" s="1"/>
  <c r="P76" i="19" s="1"/>
  <c r="P74" i="19"/>
  <c r="P85" i="19" l="1"/>
  <c r="P86" i="19" s="1"/>
  <c r="R9" i="19"/>
  <c r="R82" i="19" s="1"/>
  <c r="R85" i="19" s="1"/>
  <c r="R86" i="19" s="1"/>
  <c r="Q82" i="19"/>
  <c r="Q22" i="19" s="1"/>
  <c r="Q76" i="19" s="1"/>
  <c r="Q75" i="19"/>
  <c r="N12" i="19"/>
  <c r="O12" i="19"/>
  <c r="O15" i="19" s="1"/>
  <c r="O70" i="19" l="1"/>
  <c r="R75" i="19"/>
  <c r="R74" i="19"/>
  <c r="T9" i="19"/>
  <c r="R12" i="19"/>
  <c r="R26" i="19" s="1"/>
  <c r="R22" i="19"/>
  <c r="R76" i="19" s="1"/>
  <c r="Q85" i="19"/>
  <c r="Q86" i="19" s="1"/>
  <c r="O18" i="19"/>
  <c r="O73" i="19" s="1"/>
  <c r="O72" i="19"/>
  <c r="O16" i="19"/>
  <c r="N70" i="19"/>
  <c r="N15" i="19"/>
  <c r="Q12" i="19"/>
  <c r="Q15" i="19" s="1"/>
  <c r="P12" i="19"/>
  <c r="P15" i="19" s="1"/>
  <c r="R33" i="19" l="1"/>
  <c r="F52" i="19"/>
  <c r="R70" i="19"/>
  <c r="R15" i="19"/>
  <c r="T15" i="19" s="1"/>
  <c r="T12" i="19"/>
  <c r="O19" i="19"/>
  <c r="N18" i="19"/>
  <c r="N73" i="19" s="1"/>
  <c r="N72" i="19"/>
  <c r="N16" i="19"/>
  <c r="P70" i="19"/>
  <c r="P18" i="19"/>
  <c r="P73" i="19" s="1"/>
  <c r="P16" i="19"/>
  <c r="P72" i="19"/>
  <c r="Q18" i="19"/>
  <c r="Q73" i="19" s="1"/>
  <c r="Q16" i="19"/>
  <c r="Q72" i="19"/>
  <c r="Q70" i="19"/>
  <c r="F40" i="19" l="1"/>
  <c r="F33" i="19"/>
  <c r="R72" i="19"/>
  <c r="R16" i="19"/>
  <c r="R18" i="19"/>
  <c r="R73" i="19" s="1"/>
  <c r="Q19" i="19"/>
  <c r="O24" i="19"/>
  <c r="O27" i="19" s="1"/>
  <c r="N19" i="19"/>
  <c r="N24" i="19" s="1"/>
  <c r="N27" i="19" s="1"/>
  <c r="P19" i="19"/>
  <c r="P24" i="19" s="1"/>
  <c r="P27" i="19" s="1"/>
  <c r="P87" i="19" l="1"/>
  <c r="P25" i="19"/>
  <c r="O25" i="19"/>
  <c r="N87" i="19"/>
  <c r="N25" i="19"/>
  <c r="R19" i="19"/>
  <c r="O32" i="19"/>
  <c r="O87" i="19"/>
  <c r="O77" i="19"/>
  <c r="O78" i="19" s="1"/>
  <c r="N77" i="19"/>
  <c r="N78" i="19" s="1"/>
  <c r="N32" i="19"/>
  <c r="P32" i="19"/>
  <c r="P77" i="19"/>
  <c r="P78" i="19" s="1"/>
  <c r="Q24" i="19"/>
  <c r="Q27" i="19" s="1"/>
  <c r="Q87" i="19" l="1"/>
  <c r="Q25" i="19"/>
  <c r="Q77" i="19"/>
  <c r="Q78" i="19" s="1"/>
  <c r="Q32" i="19"/>
  <c r="R24" i="19"/>
  <c r="R27" i="19" s="1"/>
  <c r="R25" i="19" l="1"/>
  <c r="F53" i="19"/>
  <c r="G33" i="19" s="1"/>
  <c r="R77" i="19"/>
  <c r="R78" i="19" s="1"/>
  <c r="R87" i="19"/>
  <c r="R32" i="19"/>
  <c r="F39" i="19" s="1"/>
  <c r="F41" i="19" s="1"/>
  <c r="U52" i="19" l="1"/>
  <c r="F32" i="19"/>
  <c r="F34" i="19" s="1"/>
  <c r="U26" i="19"/>
  <c r="W26" i="19" s="1"/>
  <c r="G46" i="19"/>
  <c r="G45" i="19"/>
  <c r="F46" i="19"/>
  <c r="F45" i="19"/>
  <c r="L44" i="19" s="1"/>
  <c r="G39" i="19"/>
  <c r="L50" i="19"/>
  <c r="G40" i="19"/>
  <c r="G41" i="19"/>
  <c r="F43" i="19"/>
  <c r="L38" i="1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Jake DuBois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Version="1"&gt;&lt;FQL&gt;&lt;Q&gt;BRK.B-US^FREF_MARKET_VALUE_COMPANY(8/10/2015,,,,,0)&lt;/Q&gt;&lt;R&gt;1&lt;/R&gt;&lt;C&gt;1&lt;/C&gt;&lt;D xsi:type="xsd:double"&gt;353720.81964352354&lt;/D&gt;&lt;/FQL&gt;&lt;/Schema&gt;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L14" authorId="0" shapeId="0" xr:uid="{930429FD-409C-46B8-8207-378760DB3FEC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dato corregido</t>
        </r>
      </text>
    </comment>
  </commentList>
</comments>
</file>

<file path=xl/sharedStrings.xml><?xml version="1.0" encoding="utf-8"?>
<sst xmlns="http://schemas.openxmlformats.org/spreadsheetml/2006/main" count="475" uniqueCount="248">
  <si>
    <t>Beta</t>
  </si>
  <si>
    <t>% Debt</t>
  </si>
  <si>
    <t>% Equity</t>
  </si>
  <si>
    <t>WACC</t>
  </si>
  <si>
    <t>This sheet contains FactSet XML data for use with this workbook's =FDS codes.  Modifying the worksheet's contents may damage the workbook's =FDS functionality.</t>
  </si>
  <si>
    <t>Date</t>
  </si>
  <si>
    <t>Revenues</t>
  </si>
  <si>
    <t>EBIT</t>
  </si>
  <si>
    <t>Capital Expenditures</t>
  </si>
  <si>
    <t>Total</t>
  </si>
  <si>
    <t>Sales</t>
  </si>
  <si>
    <t>Operating Income</t>
  </si>
  <si>
    <t>EBITDA</t>
  </si>
  <si>
    <t>Value</t>
  </si>
  <si>
    <t>NM</t>
  </si>
  <si>
    <t>Median</t>
  </si>
  <si>
    <t>Net income</t>
  </si>
  <si>
    <t>Historic</t>
  </si>
  <si>
    <t>Projected - BASE CASE</t>
  </si>
  <si>
    <t>CAGR</t>
  </si>
  <si>
    <t>Annual Growth %</t>
  </si>
  <si>
    <t>EBITDA Margin %</t>
  </si>
  <si>
    <t>EBIT Margin %</t>
  </si>
  <si>
    <t>Less:</t>
  </si>
  <si>
    <t>Income Tax on EBIT</t>
  </si>
  <si>
    <t>After-tax Operating Income</t>
  </si>
  <si>
    <t>Plus:</t>
  </si>
  <si>
    <t>Depreciation &amp; Amortization</t>
  </si>
  <si>
    <t>(Inc) / Dec in Working Capital</t>
  </si>
  <si>
    <t>Free Cash Flows</t>
  </si>
  <si>
    <t>check</t>
  </si>
  <si>
    <t>Total Free Cash Flows</t>
  </si>
  <si>
    <t>Discount Years</t>
  </si>
  <si>
    <t>Equity Value - Sensitivity Analysis</t>
  </si>
  <si>
    <t>Discount Rate</t>
  </si>
  <si>
    <t>Enterprise Value …........................................................................................</t>
  </si>
  <si>
    <t>Terminal</t>
  </si>
  <si>
    <t>Equity Value …........................................................................................</t>
  </si>
  <si>
    <t>Multiple</t>
  </si>
  <si>
    <t>Valuation Assumptions</t>
  </si>
  <si>
    <t>Terminal EBITDA Multiple</t>
  </si>
  <si>
    <t>Date of Last Financial Statements</t>
  </si>
  <si>
    <t>Operating Assumptions</t>
  </si>
  <si>
    <t>Tax as % of Revenues</t>
  </si>
  <si>
    <t>Depreciation &amp; Amortization as % of Revenues</t>
  </si>
  <si>
    <t>Capital Expenditures as % of Revenues</t>
  </si>
  <si>
    <t>Net Working Capital as % of Revenues</t>
  </si>
  <si>
    <t>FCFF as % of Revenues</t>
  </si>
  <si>
    <t>Income Tax Rate</t>
  </si>
  <si>
    <t>WACC Analysis</t>
  </si>
  <si>
    <t>Comments / assumptions</t>
  </si>
  <si>
    <t>CAPITAL STRUCTURE</t>
  </si>
  <si>
    <t>D/E Target</t>
  </si>
  <si>
    <t>Based on target capital structure &amp; credit analysis</t>
  </si>
  <si>
    <t>COST OF DEBT 
("Kd")</t>
  </si>
  <si>
    <t>Kd pre-tax</t>
  </si>
  <si>
    <t xml:space="preserve">Tax rate </t>
  </si>
  <si>
    <t>Kd after-tax</t>
  </si>
  <si>
    <t>COST OF EQUITY
("Ke")</t>
  </si>
  <si>
    <t>US Treasury (10 Yr)</t>
  </si>
  <si>
    <t>From "Beta Estimates" calculations below</t>
  </si>
  <si>
    <t>Ke</t>
  </si>
  <si>
    <t>Beta Estimates</t>
  </si>
  <si>
    <t>Beta Levered (Comps)</t>
  </si>
  <si>
    <t>D/E (Comps)</t>
  </si>
  <si>
    <r>
      <t>Beta Unevered (</t>
    </r>
    <r>
      <rPr>
        <sz val="10"/>
        <rFont val="Symbol"/>
        <family val="1"/>
        <charset val="2"/>
      </rPr>
      <t>b</t>
    </r>
    <r>
      <rPr>
        <sz val="10"/>
        <rFont val="Calibri"/>
        <family val="2"/>
      </rPr>
      <t>u)</t>
    </r>
  </si>
  <si>
    <r>
      <t>b</t>
    </r>
    <r>
      <rPr>
        <sz val="10"/>
        <rFont val="Calibri"/>
        <family val="2"/>
      </rPr>
      <t xml:space="preserve">u = </t>
    </r>
    <r>
      <rPr>
        <sz val="10"/>
        <rFont val="Symbol"/>
        <family val="1"/>
        <charset val="2"/>
      </rPr>
      <t>b</t>
    </r>
    <r>
      <rPr>
        <sz val="10"/>
        <rFont val="Calibri"/>
        <family val="2"/>
      </rPr>
      <t>e / [1 + ( (1 - tx %) x D/E)]</t>
    </r>
  </si>
  <si>
    <t>Target D/E</t>
  </si>
  <si>
    <t>From row "D/E Target"</t>
  </si>
  <si>
    <r>
      <t>b</t>
    </r>
    <r>
      <rPr>
        <sz val="10"/>
        <rFont val="Calibri"/>
        <family val="2"/>
      </rPr>
      <t xml:space="preserve">e = </t>
    </r>
    <r>
      <rPr>
        <sz val="10"/>
        <rFont val="Symbol"/>
        <family val="1"/>
        <charset val="2"/>
      </rPr>
      <t>b</t>
    </r>
    <r>
      <rPr>
        <sz val="10"/>
        <rFont val="Calibri"/>
        <family val="2"/>
      </rPr>
      <t>u x [1 + ( (1 - tx %)  x D/E)]</t>
    </r>
  </si>
  <si>
    <t>Margin %</t>
  </si>
  <si>
    <t>Avg LT tax rate</t>
  </si>
  <si>
    <t xml:space="preserve">EV/EBITDA Multiple </t>
  </si>
  <si>
    <t>DCF Multiples</t>
  </si>
  <si>
    <r>
      <t>Beta Re-levered (</t>
    </r>
    <r>
      <rPr>
        <b/>
        <sz val="10"/>
        <rFont val="Symbol"/>
        <family val="1"/>
        <charset val="2"/>
      </rPr>
      <t>b</t>
    </r>
    <r>
      <rPr>
        <b/>
        <sz val="10"/>
        <rFont val="Calibri"/>
        <family val="2"/>
      </rPr>
      <t>e)</t>
    </r>
  </si>
  <si>
    <t>Total revenue</t>
  </si>
  <si>
    <t>Cost of sales</t>
  </si>
  <si>
    <t>COGS % of revenue</t>
  </si>
  <si>
    <t>Gross profit</t>
  </si>
  <si>
    <t>Gross profit % of revenue</t>
  </si>
  <si>
    <t>Sales and marketing</t>
  </si>
  <si>
    <t>S&amp;M % of revenue</t>
  </si>
  <si>
    <t>General and administrative</t>
  </si>
  <si>
    <t>G&amp;A % of revenue</t>
  </si>
  <si>
    <t>EBIT % of revenue</t>
  </si>
  <si>
    <t>Income tax</t>
  </si>
  <si>
    <t>NI % of revenue</t>
  </si>
  <si>
    <t>WC % of revenue</t>
  </si>
  <si>
    <t>Change in WC</t>
  </si>
  <si>
    <t>Cash flow</t>
  </si>
  <si>
    <t>Working capital (year end)</t>
  </si>
  <si>
    <t>Source: Company documents</t>
  </si>
  <si>
    <t>Note: CapEx is negligible, since bottling is outsourced and delivery vehicles are leased.</t>
  </si>
  <si>
    <t>Extrapolation</t>
  </si>
  <si>
    <t>NA</t>
  </si>
  <si>
    <t>12-'20</t>
  </si>
  <si>
    <t>Terminal Sales Multiple</t>
  </si>
  <si>
    <t>Source: Compiled from Thomson One, company websites, equity analyst estimates, July 2012.</t>
  </si>
  <si>
    <t>Target</t>
  </si>
  <si>
    <t>Announced</t>
  </si>
  <si>
    <t>Acquirer</t>
  </si>
  <si>
    <t>Acquisition</t>
  </si>
  <si>
    <t>LTM</t>
  </si>
  <si>
    <t>Value to</t>
  </si>
  <si>
    <t>LTM Sales</t>
  </si>
  <si>
    <t>LTM EBIT</t>
  </si>
  <si>
    <t>Target Business Description</t>
  </si>
  <si>
    <t>CAPITAL STRUCTURE WITH DEBT</t>
  </si>
  <si>
    <t>CAPITAL STRUCTURE NO DEBT</t>
  </si>
  <si>
    <t>Working Capital (year end) …...........................................................................</t>
  </si>
  <si>
    <t>LIBOR + 4%</t>
  </si>
  <si>
    <t>Debt Analysis</t>
  </si>
  <si>
    <t>WC % of revenue …...................................................................................................</t>
  </si>
  <si>
    <t>Debt to be Rasied ….........................................................................................................................................................</t>
  </si>
  <si>
    <t>% Financied with Debt …...............................................................................................................................</t>
  </si>
  <si>
    <t>Annual Interest Rate Payments (@ LIBOR + 4%) ….........................................................................................................................................................</t>
  </si>
  <si>
    <t>Annual Sales Growth</t>
  </si>
  <si>
    <t>vs. FCFF ….......................................................................................................................................................................................</t>
  </si>
  <si>
    <t>Sales Multiple</t>
  </si>
  <si>
    <t>% Equity to VC Investor …....................................................</t>
  </si>
  <si>
    <t>% Equity to Stock Options …....................................................</t>
  </si>
  <si>
    <t>VC Investment - Summary</t>
  </si>
  <si>
    <t>Founders</t>
  </si>
  <si>
    <t>Stock Options Paid By</t>
  </si>
  <si>
    <t>Equity Ownership</t>
  </si>
  <si>
    <t>VC Investment …........................................................................................</t>
  </si>
  <si>
    <t>Exit 
Sales
Multiple</t>
  </si>
  <si>
    <t>Disc. Factor Yr 2011:</t>
  </si>
  <si>
    <t>2015E</t>
  </si>
  <si>
    <t>2012E</t>
  </si>
  <si>
    <t>Sales CAGR 2012-2015</t>
  </si>
  <si>
    <t>Sales '15E - Scenarios</t>
  </si>
  <si>
    <t>Stock Options ….................…........................................................................................</t>
  </si>
  <si>
    <t>Pre-Money Equity Valuation …...............................................................................................................</t>
  </si>
  <si>
    <t>Post-Money Equity Valuation …...............................................................................................................</t>
  </si>
  <si>
    <t>Post-Stock Options Valuation …...............................................................................................................</t>
  </si>
  <si>
    <t>VC &amp; Founders</t>
  </si>
  <si>
    <t>Base Case Revenue</t>
  </si>
  <si>
    <t>EBITDA '15E - Scenarios</t>
  </si>
  <si>
    <t>Sales '15E</t>
  </si>
  <si>
    <t>EBITDA '15E</t>
  </si>
  <si>
    <t>EBITDA Margin % '15E</t>
  </si>
  <si>
    <t>Base Case EBITDA</t>
  </si>
  <si>
    <t>CAGR '12-'15</t>
  </si>
  <si>
    <t>"VC Method" - Sales</t>
  </si>
  <si>
    <t>"VC Method" - EBITDA</t>
  </si>
  <si>
    <t>Equity Risk Premium - Public Markets</t>
  </si>
  <si>
    <t>Equity Risk Premium - Private VC Market</t>
  </si>
  <si>
    <t>30-Year VC returns ~17% - based on VC market analysts.</t>
  </si>
  <si>
    <t>US treasury database; 10-Year T-bond as of 5/15/2012</t>
  </si>
  <si>
    <t>Assumption based on small cap beverage companies</t>
  </si>
  <si>
    <t>MuMaté -- VC Method</t>
  </si>
  <si>
    <t>Dilution of Founders …................................................................</t>
  </si>
  <si>
    <t>Dilution of VC Investor …........................................................</t>
  </si>
  <si>
    <t>% Dilution</t>
  </si>
  <si>
    <t>% Equity to Founders ….........................................................</t>
  </si>
  <si>
    <t>VC Investment and Return on Capital</t>
  </si>
  <si>
    <t xml:space="preserve">US$ 000 </t>
  </si>
  <si>
    <t>US$ MM</t>
  </si>
  <si>
    <t>% Equity to VC Investor @ Exit …....................................................................................................................................................................................</t>
  </si>
  <si>
    <t>Valuation @ Exit 2015 …...............................................................................................................................................................................................</t>
  </si>
  <si>
    <t>Total VC Cash Flows …...............................................................................................................</t>
  </si>
  <si>
    <t>2015 Projected Sales ….............................................................................................................................................................................................................................</t>
  </si>
  <si>
    <t>2015 Exit Sales Multiple …..............................................................................................................................................................................</t>
  </si>
  <si>
    <t>Post-money valuation @ VC Entry 2012 …...............................................................................................................................................................................................</t>
  </si>
  <si>
    <t>% Equity to VC Investor @ Entry …....................................................................................................................................................................................</t>
  </si>
  <si>
    <t>1) VC Investment &amp; Target Cash Return</t>
  </si>
  <si>
    <t>VC Fund Target IRR (TIR) …......................................................................................</t>
  </si>
  <si>
    <t>2) MuMaté Exit Valution</t>
  </si>
  <si>
    <t>3) MuMaté Implied Valuation @ VC Entry Investment</t>
  </si>
  <si>
    <t>Exit Proceeds @</t>
  </si>
  <si>
    <t>Exit Capital Multiple …...............................................................................................................</t>
  </si>
  <si>
    <t>VC Required Exit Capital Multiple</t>
  </si>
  <si>
    <t>MuMaté '15E Sales Exit Multiple</t>
  </si>
  <si>
    <t>MuMaté Post-Money Valuation @ VC Entry (2012)</t>
  </si>
  <si>
    <t>VC Fund Cash Return (IRR %)</t>
  </si>
  <si>
    <t>VC % Equity Stake @ Entry (2012) and Exit (2015)</t>
  </si>
  <si>
    <t>DuPage</t>
  </si>
  <si>
    <t>Astoria</t>
  </si>
  <si>
    <t>Prosper</t>
  </si>
  <si>
    <t>Discount Rate:</t>
  </si>
  <si>
    <t>1) Valuation @ VC Investment</t>
  </si>
  <si>
    <t>2) VC Equity Value Base for Stock Options</t>
  </si>
  <si>
    <r>
      <t xml:space="preserve">Exhibit 6     </t>
    </r>
    <r>
      <rPr>
        <sz val="12"/>
        <color theme="1"/>
        <rFont val="Times New Roman"/>
        <family val="1"/>
      </rPr>
      <t>MuMaté financials ($000; actual 2009-2011; projected 2012-2015)</t>
    </r>
  </si>
  <si>
    <r>
      <t xml:space="preserve">Exhibit 7     </t>
    </r>
    <r>
      <rPr>
        <sz val="12"/>
        <color theme="1"/>
        <rFont val="Times New Roman"/>
        <family val="1"/>
      </rPr>
      <t>Selected acquisitions in the health and beverage markets, 2001 to 2012 ($ in million where applicable; "LTM" = last twelve months)</t>
    </r>
  </si>
  <si>
    <t>Importations DE-RO-MA</t>
  </si>
  <si>
    <t>Smart Balance Inc</t>
  </si>
  <si>
    <t>RNL Sammi Co Ltd</t>
  </si>
  <si>
    <t>Dietrich Coffee Inc</t>
  </si>
  <si>
    <t>Refresco Holding BV</t>
  </si>
  <si>
    <t>Innocent Ltd</t>
  </si>
  <si>
    <t>Rubicon Drinks Ltd</t>
  </si>
  <si>
    <t>Honest Tea Inc</t>
  </si>
  <si>
    <t>Naked Juice</t>
  </si>
  <si>
    <t>IZZE beverage Co</t>
  </si>
  <si>
    <t>Eight O' Clock Coffee co</t>
  </si>
  <si>
    <t>Strathmore Mineral Water Co</t>
  </si>
  <si>
    <t>Friggs AB</t>
  </si>
  <si>
    <t>Odwalla Inc</t>
  </si>
  <si>
    <t>RNL Bio Co Ltd</t>
  </si>
  <si>
    <t>Green Mountain Coffee Roasters</t>
  </si>
  <si>
    <t>3i Group PLC</t>
  </si>
  <si>
    <t>Coca-Cola Co</t>
  </si>
  <si>
    <t>AG Barr PLC</t>
  </si>
  <si>
    <t>PepsiCo</t>
  </si>
  <si>
    <t>Tata Coffee Ltd</t>
  </si>
  <si>
    <t>Wilh Sonesson AB</t>
  </si>
  <si>
    <t>)</t>
  </si>
  <si>
    <t>( Median =</t>
  </si>
  <si>
    <t>np</t>
  </si>
  <si>
    <t>Average</t>
  </si>
  <si>
    <t>Canadian producer and wholesaler of gluten-free snack products.</t>
  </si>
  <si>
    <t>Korean canned beverage producer.</t>
  </si>
  <si>
    <t>US producer and wholesaler of specialty coffee products through office. service distributors, restaurants and specialty retailers</t>
  </si>
  <si>
    <t>Dutch soft drink producer: fruits and vegetable juices, carbonated soft drinks, nectars, mineral water, ice tea, energy drinks and functional drinks.</t>
  </si>
  <si>
    <t>Maker of healthy food and drinks, including smoothies and juice, sold in supermarkets, coffee shops and other outlets across Europe.</t>
  </si>
  <si>
    <t>British company producing and wholesaling soft drinks, specializing in exotic tropical drinks including Passionade and Sparkling Mango Crush.</t>
  </si>
  <si>
    <t>US bottled organic tea and juice beverage company.</t>
  </si>
  <si>
    <t>US producer of natural sodas and sparkling juices.</t>
  </si>
  <si>
    <t>US coffee producer and retailer.</t>
  </si>
  <si>
    <t>British producer and wholesaler of spring bottled water with traditional flavors such as dandelion and burdock.</t>
  </si>
  <si>
    <t>US producer of 100% natural juices, juice blends and smoothies.</t>
  </si>
  <si>
    <t>Swedish health food producer.</t>
  </si>
  <si>
    <t>US juice, smoothie and shake manufacturer.</t>
  </si>
  <si>
    <t>Discount Rate - Terminal Value</t>
  </si>
  <si>
    <t>Discount Rate - Annual Free Cash Flows</t>
  </si>
  <si>
    <t>Discount Factor for Free Cash Flows</t>
  </si>
  <si>
    <t>control</t>
  </si>
  <si>
    <t>Risk-adjusted Valuation @ Exit 2015 (29.2% probability of occurence) …...............................................................................................................................................................................................</t>
  </si>
  <si>
    <t>Cambridge Associates, average VC historical return ~17%</t>
  </si>
  <si>
    <t>DCF Free Cash Flows</t>
  </si>
  <si>
    <t>Total DCF - Enterprise Value …....................................…..................................................................................</t>
  </si>
  <si>
    <t>…................................................................</t>
  </si>
  <si>
    <t>DCF SUMMARY</t>
  </si>
  <si>
    <t>LT Free Cash Flow Growth Rate "g" (Implied)</t>
  </si>
  <si>
    <t>VC Investment (DPV) and Return on Capital</t>
  </si>
  <si>
    <t>Assumption based on historical data from publc sources</t>
  </si>
  <si>
    <t>MuMaté -- DCF Analysis (BASE CASE) - Utilizando Misma WACC para Flujos Anuales y Valor Terminal</t>
  </si>
  <si>
    <t>MuMaté -- DCF Analysis (BASE CASE) - Utilizando WACCs distintas para Flujos Anuales y Valor Terminal</t>
  </si>
  <si>
    <t>Pre-Money Valuation</t>
  </si>
  <si>
    <t>VC Funding</t>
  </si>
  <si>
    <t>Post-Money Valuation</t>
  </si>
  <si>
    <t>VC Ownership Stake</t>
  </si>
  <si>
    <t xml:space="preserve">     Cummulative</t>
  </si>
  <si>
    <t>Series A</t>
  </si>
  <si>
    <t>Series B</t>
  </si>
  <si>
    <t>Alternativa 1: Fondear 100% en un paso en Serie A</t>
  </si>
  <si>
    <t>Alternativa 2: Fondear en 2 pasos en Series A 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</si>
</sst>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&quot;$&quot;#,##0_);\(&quot;$&quot;#,##0\);&quot;$&quot;#,##0_);@_)"/>
    <numFmt numFmtId="166" formatCode="0.0\x"/>
    <numFmt numFmtId="167" formatCode="&quot;$&quot;#,##0\ ;&quot;$&quot;\(#,##0\)"/>
    <numFmt numFmtId="168" formatCode="&quot;$&quot;#,##0.0\ ;&quot;$&quot;\(#,##0.0\)"/>
    <numFmt numFmtId="169" formatCode="_ * #,##0.00_ ;_ * \-#,##0.00_ ;_ * &quot;-&quot;??_ ;_ @_ "/>
    <numFmt numFmtId="170" formatCode="_ * #,##0_ ;_ * \-#,##0_ ;_ * &quot;-&quot;??_ ;_ @_ "/>
    <numFmt numFmtId="171" formatCode="_ * #,##0.0000_ ;_ * \-#,##0.0000_ ;_ * &quot;-&quot;??_ ;_ @_ "/>
    <numFmt numFmtId="172" formatCode="&quot;$&quot;#,##0.00\ ;&quot;$&quot;\(#,##0.00\)"/>
    <numFmt numFmtId="173" formatCode="#,##0.0"/>
    <numFmt numFmtId="174" formatCode="mm/dd/yy;@"/>
    <numFmt numFmtId="175" formatCode="#,##0.00_ ;\-#,##0.00\ "/>
    <numFmt numFmtId="176" formatCode="0.00\x"/>
    <numFmt numFmtId="177" formatCode="m/d;@"/>
    <numFmt numFmtId="178" formatCode="m/dd;@"/>
    <numFmt numFmtId="179" formatCode="#,##0.0_);\(#,##0.0\)"/>
    <numFmt numFmtId="180" formatCode="0.0"/>
    <numFmt numFmtId="181" formatCode="0.00000000000000%"/>
    <numFmt numFmtId="182" formatCode="_(* #,##0_);_(* \(#,##0\);_(* &quot;-&quot;??_);_(@_)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color indexed="8"/>
      <name val="Trebuchet MS"/>
      <family val="2"/>
    </font>
    <font>
      <sz val="11"/>
      <color indexed="51"/>
      <name val="Trebuchet MS"/>
      <family val="2"/>
    </font>
    <font>
      <b/>
      <sz val="8"/>
      <color indexed="62"/>
      <name val="Trebuchet MS"/>
      <family val="2"/>
    </font>
    <font>
      <sz val="12"/>
      <name val="Calibri"/>
      <family val="2"/>
    </font>
    <font>
      <i/>
      <sz val="12"/>
      <name val="Calibri"/>
      <family val="2"/>
    </font>
    <font>
      <b/>
      <i/>
      <sz val="12"/>
      <name val="Calibri"/>
      <family val="2"/>
    </font>
    <font>
      <b/>
      <sz val="12"/>
      <name val="Calibri"/>
      <family val="2"/>
    </font>
    <font>
      <b/>
      <u/>
      <sz val="12"/>
      <color theme="1"/>
      <name val="Calibri"/>
      <family val="2"/>
      <scheme val="minor"/>
    </font>
    <font>
      <sz val="12"/>
      <color rgb="FF0070C0"/>
      <name val="Calibri"/>
      <family val="2"/>
    </font>
    <font>
      <b/>
      <sz val="14"/>
      <name val="Calibri"/>
      <family val="2"/>
    </font>
    <font>
      <b/>
      <sz val="16"/>
      <name val="Calibri"/>
      <family val="2"/>
    </font>
    <font>
      <sz val="14"/>
      <name val="Calibri"/>
      <family val="2"/>
    </font>
    <font>
      <sz val="12"/>
      <name val="Calibri"/>
      <family val="2"/>
      <scheme val="minor"/>
    </font>
    <font>
      <sz val="12"/>
      <name val="Helv"/>
    </font>
    <font>
      <b/>
      <sz val="10"/>
      <name val="Calibri"/>
      <family val="2"/>
    </font>
    <font>
      <b/>
      <sz val="11"/>
      <name val="Calibri"/>
      <family val="2"/>
    </font>
    <font>
      <u/>
      <sz val="12"/>
      <name val="Calibri"/>
      <family val="2"/>
    </font>
    <font>
      <sz val="12"/>
      <color rgb="FFFF0000"/>
      <name val="Calibri"/>
      <family val="2"/>
    </font>
    <font>
      <sz val="12"/>
      <color indexed="9"/>
      <name val="Calibri"/>
      <family val="2"/>
    </font>
    <font>
      <sz val="12"/>
      <color indexed="12"/>
      <name val="Calibri"/>
      <family val="2"/>
    </font>
    <font>
      <b/>
      <sz val="12"/>
      <color indexed="12"/>
      <name val="Calibri"/>
      <family val="2"/>
    </font>
    <font>
      <sz val="10"/>
      <name val="Calibri"/>
      <family val="2"/>
    </font>
    <font>
      <sz val="10"/>
      <color indexed="12"/>
      <name val="Calibri"/>
      <family val="2"/>
    </font>
    <font>
      <sz val="12"/>
      <color indexed="63"/>
      <name val="Calibri"/>
      <family val="2"/>
    </font>
    <font>
      <sz val="12"/>
      <color theme="1"/>
      <name val="Calibri"/>
      <family val="2"/>
      <scheme val="minor"/>
    </font>
    <font>
      <b/>
      <sz val="12"/>
      <color indexed="9"/>
      <name val="Calibri"/>
      <family val="2"/>
    </font>
    <font>
      <b/>
      <sz val="12"/>
      <color indexed="62"/>
      <name val="Calibri"/>
      <family val="2"/>
    </font>
    <font>
      <sz val="11"/>
      <name val="Calibri"/>
      <family val="2"/>
    </font>
    <font>
      <b/>
      <sz val="13"/>
      <name val="Calibri"/>
      <family val="2"/>
    </font>
    <font>
      <sz val="13"/>
      <color indexed="12"/>
      <name val="Calibri"/>
      <family val="2"/>
    </font>
    <font>
      <sz val="10"/>
      <color rgb="FFFF0000"/>
      <name val="Calibri"/>
      <family val="2"/>
    </font>
    <font>
      <sz val="13"/>
      <name val="Calibri"/>
      <family val="2"/>
    </font>
    <font>
      <b/>
      <sz val="13"/>
      <color indexed="12"/>
      <name val="Calibri"/>
      <family val="2"/>
    </font>
    <font>
      <b/>
      <u/>
      <sz val="10"/>
      <name val="Calibri"/>
      <family val="2"/>
    </font>
    <font>
      <sz val="11"/>
      <color indexed="12"/>
      <name val="Calibri"/>
      <family val="2"/>
    </font>
    <font>
      <sz val="10"/>
      <name val="Symbol"/>
      <family val="1"/>
      <charset val="2"/>
    </font>
    <font>
      <b/>
      <sz val="14"/>
      <color indexed="9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</font>
    <font>
      <b/>
      <sz val="11"/>
      <color rgb="FF0070C0"/>
      <name val="Calibri"/>
      <family val="2"/>
    </font>
    <font>
      <sz val="11"/>
      <color rgb="FF0070C0"/>
      <name val="Calibri"/>
      <family val="2"/>
    </font>
    <font>
      <b/>
      <u/>
      <sz val="12"/>
      <name val="Calibri"/>
      <family val="2"/>
    </font>
    <font>
      <sz val="10"/>
      <color rgb="FF0070C0"/>
      <name val="Calibri"/>
      <family val="2"/>
    </font>
    <font>
      <b/>
      <sz val="10"/>
      <name val="Symbol"/>
      <family val="1"/>
      <charset val="2"/>
    </font>
    <font>
      <sz val="12"/>
      <name val="Arial"/>
      <family val="2"/>
    </font>
    <font>
      <b/>
      <i/>
      <sz val="12"/>
      <color rgb="FF0070C0"/>
      <name val="Calibri"/>
      <family val="2"/>
    </font>
    <font>
      <u/>
      <sz val="11"/>
      <name val="Calibri"/>
      <family val="2"/>
    </font>
    <font>
      <b/>
      <sz val="11"/>
      <color indexed="12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Arial"/>
      <family val="2"/>
    </font>
    <font>
      <i/>
      <sz val="10"/>
      <name val="Calibri"/>
      <family val="2"/>
    </font>
    <font>
      <i/>
      <u/>
      <sz val="1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name val="Calibri"/>
      <family val="2"/>
    </font>
    <font>
      <sz val="8"/>
      <name val="Calibri"/>
      <family val="2"/>
    </font>
    <font>
      <b/>
      <sz val="11"/>
      <color rgb="FF0070C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rgb="FF0070C0"/>
      <name val="Times New Roman"/>
      <family val="1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i/>
      <sz val="10"/>
      <name val="Arial"/>
      <family val="2"/>
    </font>
    <font>
      <i/>
      <sz val="12"/>
      <color rgb="FF0070C0"/>
      <name val="Calibri"/>
      <family val="2"/>
    </font>
    <font>
      <i/>
      <sz val="12"/>
      <color rgb="FFFF0000"/>
      <name val="Calibri"/>
      <family val="2"/>
    </font>
    <font>
      <u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1"/>
      <color rgb="FF0070C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6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auto="1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mediumDashed">
        <color rgb="FF0070C0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5" fillId="0" borderId="0"/>
    <xf numFmtId="0" fontId="6" fillId="0" borderId="0"/>
    <xf numFmtId="0" fontId="7" fillId="2" borderId="3" applyNumberFormat="0" applyBorder="0" applyProtection="0">
      <alignment horizontal="right" vertical="center"/>
    </xf>
    <xf numFmtId="0" fontId="8" fillId="3" borderId="0" applyNumberFormat="0" applyBorder="0" applyProtection="0">
      <alignment horizontal="left"/>
    </xf>
    <xf numFmtId="0" fontId="9" fillId="0" borderId="3" applyNumberFormat="0" applyBorder="0" applyProtection="0">
      <alignment vertical="center"/>
    </xf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>
      <alignment vertical="top"/>
    </xf>
    <xf numFmtId="0" fontId="20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</cellStyleXfs>
  <cellXfs count="341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4"/>
    <xf numFmtId="0" fontId="16" fillId="0" borderId="7" xfId="12" applyFont="1" applyBorder="1" applyAlignment="1"/>
    <xf numFmtId="0" fontId="17" fillId="0" borderId="7" xfId="12" applyFont="1" applyBorder="1" applyAlignment="1"/>
    <xf numFmtId="0" fontId="17" fillId="0" borderId="7" xfId="12" quotePrefix="1" applyFont="1" applyBorder="1" applyAlignment="1">
      <alignment horizontal="right"/>
    </xf>
    <xf numFmtId="0" fontId="18" fillId="0" borderId="0" xfId="12" applyFont="1" applyAlignment="1"/>
    <xf numFmtId="0" fontId="19" fillId="0" borderId="0" xfId="4" applyFont="1"/>
    <xf numFmtId="0" fontId="10" fillId="0" borderId="0" xfId="12" applyFont="1" applyAlignment="1"/>
    <xf numFmtId="0" fontId="12" fillId="0" borderId="0" xfId="12" applyFont="1" applyAlignment="1"/>
    <xf numFmtId="0" fontId="21" fillId="0" borderId="8" xfId="13" applyFont="1" applyBorder="1" applyAlignment="1">
      <alignment horizontal="centerContinuous"/>
    </xf>
    <xf numFmtId="0" fontId="21" fillId="0" borderId="9" xfId="13" applyFont="1" applyBorder="1" applyAlignment="1">
      <alignment horizontal="centerContinuous"/>
    </xf>
    <xf numFmtId="0" fontId="13" fillId="0" borderId="2" xfId="12" applyFont="1" applyBorder="1" applyAlignment="1"/>
    <xf numFmtId="0" fontId="23" fillId="0" borderId="0" xfId="12" applyFont="1" applyAlignment="1">
      <alignment horizontal="center"/>
    </xf>
    <xf numFmtId="0" fontId="13" fillId="0" borderId="0" xfId="12" applyFont="1" applyAlignment="1"/>
    <xf numFmtId="167" fontId="10" fillId="0" borderId="0" xfId="12" applyNumberFormat="1" applyFont="1" applyAlignment="1"/>
    <xf numFmtId="9" fontId="10" fillId="0" borderId="0" xfId="14" applyFont="1"/>
    <xf numFmtId="0" fontId="10" fillId="0" borderId="0" xfId="12" applyFont="1" applyAlignment="1">
      <alignment horizontal="left" indent="1"/>
    </xf>
    <xf numFmtId="0" fontId="24" fillId="0" borderId="0" xfId="12" applyFont="1" applyAlignment="1"/>
    <xf numFmtId="167" fontId="13" fillId="0" borderId="4" xfId="12" applyNumberFormat="1" applyFont="1" applyBorder="1" applyAlignment="1"/>
    <xf numFmtId="168" fontId="10" fillId="0" borderId="0" xfId="12" applyNumberFormat="1" applyFont="1" applyAlignment="1"/>
    <xf numFmtId="168" fontId="13" fillId="0" borderId="2" xfId="12" applyNumberFormat="1" applyFont="1" applyBorder="1" applyAlignment="1"/>
    <xf numFmtId="167" fontId="13" fillId="0" borderId="2" xfId="12" applyNumberFormat="1" applyFont="1" applyBorder="1" applyAlignment="1"/>
    <xf numFmtId="5" fontId="11" fillId="0" borderId="0" xfId="12" applyNumberFormat="1" applyFont="1" applyAlignment="1"/>
    <xf numFmtId="0" fontId="11" fillId="0" borderId="0" xfId="12" applyFont="1" applyAlignment="1"/>
    <xf numFmtId="43" fontId="10" fillId="0" borderId="0" xfId="11" applyFont="1" applyAlignment="1"/>
    <xf numFmtId="168" fontId="13" fillId="0" borderId="0" xfId="12" applyNumberFormat="1" applyFont="1" applyAlignment="1"/>
    <xf numFmtId="170" fontId="10" fillId="0" borderId="0" xfId="15" applyNumberFormat="1" applyFont="1"/>
    <xf numFmtId="170" fontId="10" fillId="0" borderId="2" xfId="15" applyNumberFormat="1" applyFont="1" applyBorder="1"/>
    <xf numFmtId="171" fontId="10" fillId="0" borderId="0" xfId="15" applyNumberFormat="1" applyFont="1"/>
    <xf numFmtId="0" fontId="13" fillId="0" borderId="5" xfId="12" applyFont="1" applyBorder="1" applyAlignment="1"/>
    <xf numFmtId="0" fontId="10" fillId="0" borderId="5" xfId="12" applyFont="1" applyBorder="1" applyAlignment="1"/>
    <xf numFmtId="9" fontId="23" fillId="0" borderId="0" xfId="14" applyFont="1"/>
    <xf numFmtId="164" fontId="26" fillId="0" borderId="2" xfId="14" applyNumberFormat="1" applyFont="1" applyBorder="1" applyAlignment="1">
      <alignment horizontal="center"/>
    </xf>
    <xf numFmtId="164" fontId="27" fillId="0" borderId="2" xfId="14" applyNumberFormat="1" applyFont="1" applyBorder="1" applyAlignment="1">
      <alignment horizontal="center"/>
    </xf>
    <xf numFmtId="0" fontId="13" fillId="5" borderId="0" xfId="12" applyFont="1" applyFill="1" applyAlignment="1">
      <alignment horizontal="center"/>
    </xf>
    <xf numFmtId="166" fontId="26" fillId="0" borderId="1" xfId="15" applyNumberFormat="1" applyFont="1" applyBorder="1" applyAlignment="1">
      <alignment horizontal="center"/>
    </xf>
    <xf numFmtId="166" fontId="10" fillId="0" borderId="0" xfId="12" applyNumberFormat="1" applyFont="1" applyAlignment="1">
      <alignment horizontal="center"/>
    </xf>
    <xf numFmtId="166" fontId="25" fillId="0" borderId="0" xfId="12" applyNumberFormat="1" applyFont="1" applyAlignment="1">
      <alignment horizontal="center"/>
    </xf>
    <xf numFmtId="0" fontId="23" fillId="0" borderId="0" xfId="12" applyFont="1" applyAlignment="1"/>
    <xf numFmtId="167" fontId="10" fillId="0" borderId="0" xfId="12" applyNumberFormat="1" applyFont="1" applyAlignment="1">
      <alignment horizontal="center"/>
    </xf>
    <xf numFmtId="166" fontId="10" fillId="0" borderId="0" xfId="15" applyNumberFormat="1" applyFont="1"/>
    <xf numFmtId="167" fontId="13" fillId="0" borderId="0" xfId="12" applyNumberFormat="1" applyFont="1" applyAlignment="1">
      <alignment horizontal="center"/>
    </xf>
    <xf numFmtId="0" fontId="10" fillId="0" borderId="2" xfId="12" applyFont="1" applyBorder="1" applyAlignment="1"/>
    <xf numFmtId="164" fontId="26" fillId="0" borderId="0" xfId="14" applyNumberFormat="1" applyFont="1"/>
    <xf numFmtId="166" fontId="10" fillId="0" borderId="0" xfId="15" applyNumberFormat="1" applyFont="1" applyAlignment="1">
      <alignment horizontal="center"/>
    </xf>
    <xf numFmtId="166" fontId="26" fillId="0" borderId="0" xfId="15" applyNumberFormat="1" applyFont="1"/>
    <xf numFmtId="0" fontId="10" fillId="0" borderId="0" xfId="12" applyFont="1" applyAlignment="1">
      <alignment horizontal="left" indent="2"/>
    </xf>
    <xf numFmtId="166" fontId="13" fillId="0" borderId="0" xfId="15" applyNumberFormat="1" applyFont="1" applyAlignment="1">
      <alignment horizontal="center"/>
    </xf>
    <xf numFmtId="173" fontId="10" fillId="0" borderId="0" xfId="12" applyNumberFormat="1" applyFont="1" applyAlignment="1"/>
    <xf numFmtId="164" fontId="10" fillId="0" borderId="0" xfId="14" applyNumberFormat="1" applyFont="1"/>
    <xf numFmtId="167" fontId="26" fillId="0" borderId="0" xfId="12" applyNumberFormat="1" applyFont="1" applyAlignment="1"/>
    <xf numFmtId="164" fontId="10" fillId="0" borderId="0" xfId="14" applyNumberFormat="1" applyFont="1" applyAlignment="1">
      <alignment horizontal="center"/>
    </xf>
    <xf numFmtId="167" fontId="26" fillId="0" borderId="2" xfId="12" applyNumberFormat="1" applyFont="1" applyBorder="1" applyAlignment="1"/>
    <xf numFmtId="164" fontId="13" fillId="0" borderId="0" xfId="14" applyNumberFormat="1" applyFont="1" applyAlignment="1">
      <alignment horizontal="center"/>
    </xf>
    <xf numFmtId="0" fontId="28" fillId="0" borderId="0" xfId="12" applyFont="1" applyAlignment="1"/>
    <xf numFmtId="174" fontId="29" fillId="0" borderId="0" xfId="15" applyNumberFormat="1" applyFont="1" applyAlignment="1">
      <alignment horizontal="right"/>
    </xf>
    <xf numFmtId="9" fontId="30" fillId="0" borderId="0" xfId="14" applyFont="1"/>
    <xf numFmtId="164" fontId="30" fillId="0" borderId="0" xfId="14" applyNumberFormat="1" applyFont="1"/>
    <xf numFmtId="43" fontId="10" fillId="0" borderId="0" xfId="11" applyFont="1"/>
    <xf numFmtId="0" fontId="28" fillId="0" borderId="0" xfId="16" applyFont="1"/>
    <xf numFmtId="0" fontId="10" fillId="0" borderId="0" xfId="16" applyFont="1" applyAlignment="1">
      <alignment vertical="center"/>
    </xf>
    <xf numFmtId="0" fontId="32" fillId="6" borderId="0" xfId="16" applyFont="1" applyFill="1" applyAlignment="1">
      <alignment horizontal="center" vertical="center" wrapText="1"/>
    </xf>
    <xf numFmtId="0" fontId="10" fillId="0" borderId="2" xfId="16" applyFont="1" applyBorder="1"/>
    <xf numFmtId="0" fontId="28" fillId="0" borderId="0" xfId="16" applyFont="1" applyAlignment="1">
      <alignment vertical="center"/>
    </xf>
    <xf numFmtId="0" fontId="22" fillId="5" borderId="0" xfId="16" applyFont="1" applyFill="1"/>
    <xf numFmtId="0" fontId="34" fillId="5" borderId="0" xfId="16" applyFont="1" applyFill="1"/>
    <xf numFmtId="9" fontId="35" fillId="5" borderId="0" xfId="16" applyNumberFormat="1" applyFont="1" applyFill="1"/>
    <xf numFmtId="0" fontId="34" fillId="5" borderId="0" xfId="16" applyFont="1" applyFill="1" applyAlignment="1">
      <alignment vertical="center"/>
    </xf>
    <xf numFmtId="0" fontId="34" fillId="0" borderId="0" xfId="16" applyFont="1"/>
    <xf numFmtId="9" fontId="28" fillId="0" borderId="0" xfId="16" applyNumberFormat="1" applyFont="1"/>
    <xf numFmtId="9" fontId="36" fillId="8" borderId="0" xfId="16" applyNumberFormat="1" applyFont="1" applyFill="1"/>
    <xf numFmtId="0" fontId="37" fillId="0" borderId="0" xfId="16" applyFont="1" applyAlignment="1">
      <alignment vertical="center"/>
    </xf>
    <xf numFmtId="9" fontId="38" fillId="5" borderId="0" xfId="14" applyFont="1" applyFill="1"/>
    <xf numFmtId="0" fontId="37" fillId="0" borderId="0" xfId="16" applyFont="1"/>
    <xf numFmtId="0" fontId="22" fillId="0" borderId="0" xfId="16" applyFont="1"/>
    <xf numFmtId="9" fontId="36" fillId="0" borderId="2" xfId="16" applyNumberFormat="1" applyFont="1" applyBorder="1"/>
    <xf numFmtId="164" fontId="35" fillId="5" borderId="0" xfId="14" applyNumberFormat="1" applyFont="1" applyFill="1"/>
    <xf numFmtId="0" fontId="10" fillId="0" borderId="0" xfId="16" applyFont="1"/>
    <xf numFmtId="10" fontId="36" fillId="0" borderId="0" xfId="16" applyNumberFormat="1" applyFont="1"/>
    <xf numFmtId="175" fontId="38" fillId="0" borderId="0" xfId="16" applyNumberFormat="1" applyFont="1"/>
    <xf numFmtId="0" fontId="34" fillId="0" borderId="0" xfId="16" applyFont="1" applyAlignment="1">
      <alignment vertical="center"/>
    </xf>
    <xf numFmtId="164" fontId="36" fillId="0" borderId="0" xfId="16" applyNumberFormat="1" applyFont="1"/>
    <xf numFmtId="164" fontId="38" fillId="0" borderId="0" xfId="16" applyNumberFormat="1" applyFont="1"/>
    <xf numFmtId="0" fontId="22" fillId="5" borderId="0" xfId="16" applyFont="1" applyFill="1" applyAlignment="1">
      <alignment vertical="center"/>
    </xf>
    <xf numFmtId="164" fontId="35" fillId="5" borderId="0" xfId="16" applyNumberFormat="1" applyFont="1" applyFill="1" applyAlignment="1">
      <alignment vertical="center"/>
    </xf>
    <xf numFmtId="0" fontId="22" fillId="0" borderId="0" xfId="16" applyFont="1" applyAlignment="1">
      <alignment vertical="center"/>
    </xf>
    <xf numFmtId="164" fontId="22" fillId="0" borderId="0" xfId="16" applyNumberFormat="1" applyFont="1" applyAlignment="1">
      <alignment vertical="center"/>
    </xf>
    <xf numFmtId="0" fontId="40" fillId="0" borderId="0" xfId="16" applyFont="1"/>
    <xf numFmtId="175" fontId="41" fillId="0" borderId="0" xfId="16" applyNumberFormat="1" applyFont="1"/>
    <xf numFmtId="0" fontId="21" fillId="0" borderId="0" xfId="16" applyFont="1" applyAlignment="1">
      <alignment vertical="center"/>
    </xf>
    <xf numFmtId="9" fontId="34" fillId="0" borderId="0" xfId="14" applyFont="1"/>
    <xf numFmtId="175" fontId="34" fillId="0" borderId="0" xfId="16" applyNumberFormat="1" applyFont="1"/>
    <xf numFmtId="0" fontId="42" fillId="0" borderId="0" xfId="16" applyFont="1" applyAlignment="1">
      <alignment vertical="center"/>
    </xf>
    <xf numFmtId="164" fontId="28" fillId="0" borderId="0" xfId="16" applyNumberFormat="1" applyFont="1"/>
    <xf numFmtId="0" fontId="43" fillId="6" borderId="0" xfId="16" applyFont="1" applyFill="1" applyAlignment="1">
      <alignment horizontal="centerContinuous" vertical="center"/>
    </xf>
    <xf numFmtId="0" fontId="13" fillId="5" borderId="0" xfId="16" applyFont="1" applyFill="1" applyAlignment="1">
      <alignment vertical="center"/>
    </xf>
    <xf numFmtId="164" fontId="16" fillId="5" borderId="0" xfId="16" applyNumberFormat="1" applyFont="1" applyFill="1" applyAlignment="1">
      <alignment vertical="center"/>
    </xf>
    <xf numFmtId="164" fontId="39" fillId="0" borderId="0" xfId="16" applyNumberFormat="1" applyFont="1"/>
    <xf numFmtId="172" fontId="10" fillId="0" borderId="0" xfId="12" applyNumberFormat="1" applyFont="1" applyAlignment="1"/>
    <xf numFmtId="0" fontId="22" fillId="9" borderId="10" xfId="13" applyFont="1" applyFill="1" applyBorder="1" applyAlignment="1">
      <alignment horizontal="centerContinuous"/>
    </xf>
    <xf numFmtId="0" fontId="22" fillId="9" borderId="11" xfId="13" applyFont="1" applyFill="1" applyBorder="1" applyAlignment="1">
      <alignment horizontal="centerContinuous"/>
    </xf>
    <xf numFmtId="0" fontId="22" fillId="9" borderId="12" xfId="13" applyFont="1" applyFill="1" applyBorder="1" applyAlignment="1">
      <alignment horizontal="centerContinuous"/>
    </xf>
    <xf numFmtId="0" fontId="0" fillId="0" borderId="7" xfId="0" applyBorder="1"/>
    <xf numFmtId="0" fontId="14" fillId="0" borderId="0" xfId="0" applyFont="1"/>
    <xf numFmtId="0" fontId="49" fillId="0" borderId="0" xfId="16" applyFont="1" applyAlignment="1">
      <alignment vertical="center"/>
    </xf>
    <xf numFmtId="0" fontId="49" fillId="0" borderId="0" xfId="16" applyFont="1"/>
    <xf numFmtId="175" fontId="22" fillId="0" borderId="0" xfId="16" applyNumberFormat="1" applyFont="1"/>
    <xf numFmtId="0" fontId="10" fillId="0" borderId="0" xfId="12" applyFont="1" applyBorder="1" applyAlignment="1">
      <alignment horizontal="left" indent="2"/>
    </xf>
    <xf numFmtId="0" fontId="52" fillId="0" borderId="13" xfId="12" applyFont="1" applyBorder="1" applyAlignment="1">
      <alignment horizontal="centerContinuous"/>
    </xf>
    <xf numFmtId="9" fontId="10" fillId="0" borderId="0" xfId="14" applyFont="1" applyAlignment="1">
      <alignment horizontal="right"/>
    </xf>
    <xf numFmtId="0" fontId="45" fillId="0" borderId="2" xfId="12" applyFont="1" applyBorder="1" applyAlignment="1"/>
    <xf numFmtId="0" fontId="10" fillId="0" borderId="0" xfId="12" applyFont="1" applyAlignment="1">
      <alignment horizontal="center"/>
    </xf>
    <xf numFmtId="0" fontId="23" fillId="0" borderId="0" xfId="12" quotePrefix="1" applyFont="1" applyAlignment="1">
      <alignment horizontal="center"/>
    </xf>
    <xf numFmtId="9" fontId="15" fillId="0" borderId="0" xfId="14" applyFont="1"/>
    <xf numFmtId="0" fontId="15" fillId="0" borderId="2" xfId="12" applyFont="1" applyBorder="1" applyAlignment="1"/>
    <xf numFmtId="9" fontId="10" fillId="0" borderId="0" xfId="14" applyNumberFormat="1" applyFont="1"/>
    <xf numFmtId="0" fontId="53" fillId="0" borderId="0" xfId="16" applyFont="1"/>
    <xf numFmtId="0" fontId="28" fillId="0" borderId="0" xfId="16" applyFont="1" applyBorder="1"/>
    <xf numFmtId="0" fontId="10" fillId="0" borderId="0" xfId="16" applyFont="1" applyBorder="1" applyAlignment="1">
      <alignment vertical="center"/>
    </xf>
    <xf numFmtId="0" fontId="28" fillId="0" borderId="0" xfId="16" applyFont="1" applyBorder="1" applyAlignment="1">
      <alignment vertical="center"/>
    </xf>
    <xf numFmtId="0" fontId="34" fillId="5" borderId="0" xfId="16" applyFont="1" applyFill="1" applyBorder="1"/>
    <xf numFmtId="164" fontId="34" fillId="0" borderId="0" xfId="16" applyNumberFormat="1" applyFont="1" applyBorder="1"/>
    <xf numFmtId="0" fontId="34" fillId="0" borderId="0" xfId="16" applyFont="1" applyBorder="1"/>
    <xf numFmtId="0" fontId="34" fillId="0" borderId="0" xfId="16" applyFont="1" applyBorder="1" applyAlignment="1">
      <alignment vertical="center"/>
    </xf>
    <xf numFmtId="0" fontId="34" fillId="5" borderId="0" xfId="16" applyFont="1" applyFill="1" applyBorder="1" applyAlignment="1">
      <alignment vertical="center"/>
    </xf>
    <xf numFmtId="0" fontId="21" fillId="0" borderId="0" xfId="16" applyFont="1" applyBorder="1" applyAlignment="1">
      <alignment vertical="center"/>
    </xf>
    <xf numFmtId="0" fontId="13" fillId="5" borderId="0" xfId="16" applyFont="1" applyFill="1" applyBorder="1" applyAlignment="1">
      <alignment vertical="center"/>
    </xf>
    <xf numFmtId="0" fontId="51" fillId="0" borderId="0" xfId="4" applyFont="1"/>
    <xf numFmtId="9" fontId="15" fillId="0" borderId="0" xfId="16" applyNumberFormat="1" applyFont="1"/>
    <xf numFmtId="9" fontId="15" fillId="0" borderId="0" xfId="16" applyNumberFormat="1" applyFont="1" applyBorder="1"/>
    <xf numFmtId="5" fontId="15" fillId="0" borderId="0" xfId="12" applyNumberFormat="1" applyFont="1" applyAlignment="1"/>
    <xf numFmtId="164" fontId="15" fillId="0" borderId="0" xfId="16" applyNumberFormat="1" applyFont="1"/>
    <xf numFmtId="0" fontId="21" fillId="0" borderId="5" xfId="13" applyFont="1" applyBorder="1"/>
    <xf numFmtId="0" fontId="21" fillId="0" borderId="0" xfId="13" applyFont="1"/>
    <xf numFmtId="0" fontId="28" fillId="0" borderId="0" xfId="13" applyFont="1"/>
    <xf numFmtId="9" fontId="22" fillId="0" borderId="0" xfId="14" applyFont="1" applyFill="1" applyAlignment="1" applyProtection="1">
      <alignment horizontal="center"/>
    </xf>
    <xf numFmtId="5" fontId="28" fillId="0" borderId="0" xfId="13" applyNumberFormat="1" applyFont="1" applyAlignment="1">
      <alignment horizontal="right"/>
    </xf>
    <xf numFmtId="5" fontId="54" fillId="0" borderId="0" xfId="13" applyNumberFormat="1" applyFont="1"/>
    <xf numFmtId="0" fontId="48" fillId="0" borderId="0" xfId="13" applyFont="1"/>
    <xf numFmtId="5" fontId="55" fillId="10" borderId="0" xfId="13" applyNumberFormat="1" applyFont="1" applyFill="1" applyAlignment="1">
      <alignment horizontal="centerContinuous"/>
    </xf>
    <xf numFmtId="166" fontId="21" fillId="0" borderId="0" xfId="4" applyNumberFormat="1" applyFont="1" applyAlignment="1">
      <alignment horizontal="center"/>
    </xf>
    <xf numFmtId="5" fontId="21" fillId="0" borderId="0" xfId="13" applyNumberFormat="1" applyFont="1" applyAlignment="1">
      <alignment horizontal="center"/>
    </xf>
    <xf numFmtId="166" fontId="21" fillId="0" borderId="17" xfId="4" applyNumberFormat="1" applyFont="1" applyBorder="1" applyAlignment="1">
      <alignment horizontal="center" vertical="center"/>
    </xf>
    <xf numFmtId="0" fontId="21" fillId="0" borderId="17" xfId="13" applyFont="1" applyBorder="1" applyAlignment="1">
      <alignment vertical="center"/>
    </xf>
    <xf numFmtId="5" fontId="21" fillId="0" borderId="17" xfId="13" applyNumberFormat="1" applyFont="1" applyBorder="1" applyAlignment="1">
      <alignment horizontal="center" vertical="center"/>
    </xf>
    <xf numFmtId="5" fontId="21" fillId="0" borderId="18" xfId="13" applyNumberFormat="1" applyFont="1" applyBorder="1" applyAlignment="1">
      <alignment horizontal="center" vertical="center"/>
    </xf>
    <xf numFmtId="0" fontId="22" fillId="0" borderId="0" xfId="13" applyFont="1"/>
    <xf numFmtId="0" fontId="21" fillId="5" borderId="0" xfId="13" applyFont="1" applyFill="1"/>
    <xf numFmtId="169" fontId="21" fillId="5" borderId="0" xfId="13" applyNumberFormat="1" applyFont="1" applyFill="1" applyAlignment="1">
      <alignment horizontal="center"/>
    </xf>
    <xf numFmtId="164" fontId="21" fillId="5" borderId="0" xfId="13" applyNumberFormat="1" applyFont="1" applyFill="1"/>
    <xf numFmtId="0" fontId="22" fillId="0" borderId="0" xfId="12" applyFont="1" applyAlignment="1"/>
    <xf numFmtId="168" fontId="22" fillId="0" borderId="0" xfId="12" applyNumberFormat="1" applyFont="1" applyAlignment="1"/>
    <xf numFmtId="0" fontId="34" fillId="0" borderId="0" xfId="12" applyFont="1" applyAlignment="1"/>
    <xf numFmtId="0" fontId="1" fillId="0" borderId="0" xfId="0" applyFont="1"/>
    <xf numFmtId="168" fontId="46" fillId="0" borderId="2" xfId="12" applyNumberFormat="1" applyFont="1" applyBorder="1" applyAlignment="1"/>
    <xf numFmtId="168" fontId="22" fillId="0" borderId="2" xfId="12" applyNumberFormat="1" applyFont="1" applyBorder="1" applyAlignment="1"/>
    <xf numFmtId="168" fontId="46" fillId="0" borderId="0" xfId="12" applyNumberFormat="1" applyFont="1" applyAlignment="1"/>
    <xf numFmtId="0" fontId="0" fillId="0" borderId="0" xfId="0" applyFont="1"/>
    <xf numFmtId="164" fontId="22" fillId="0" borderId="0" xfId="12" applyNumberFormat="1" applyFont="1" applyAlignment="1"/>
    <xf numFmtId="164" fontId="22" fillId="0" borderId="2" xfId="12" applyNumberFormat="1" applyFont="1" applyBorder="1" applyAlignment="1"/>
    <xf numFmtId="0" fontId="22" fillId="0" borderId="0" xfId="12" applyFont="1" applyFill="1" applyAlignment="1"/>
    <xf numFmtId="164" fontId="46" fillId="0" borderId="0" xfId="12" applyNumberFormat="1" applyFont="1" applyAlignment="1"/>
    <xf numFmtId="0" fontId="44" fillId="0" borderId="6" xfId="0" applyFont="1" applyBorder="1" applyAlignment="1">
      <alignment horizontal="centerContinuous"/>
    </xf>
    <xf numFmtId="0" fontId="31" fillId="0" borderId="6" xfId="0" applyFont="1" applyBorder="1" applyAlignment="1">
      <alignment horizontal="centerContinuous"/>
    </xf>
    <xf numFmtId="0" fontId="44" fillId="0" borderId="14" xfId="0" applyFont="1" applyBorder="1" applyAlignment="1">
      <alignment horizontal="center"/>
    </xf>
    <xf numFmtId="0" fontId="31" fillId="0" borderId="0" xfId="0" applyFont="1"/>
    <xf numFmtId="0" fontId="34" fillId="0" borderId="0" xfId="13" applyFont="1"/>
    <xf numFmtId="0" fontId="55" fillId="10" borderId="0" xfId="13" applyFont="1" applyFill="1"/>
    <xf numFmtId="0" fontId="56" fillId="10" borderId="0" xfId="13" applyFont="1" applyFill="1"/>
    <xf numFmtId="0" fontId="34" fillId="5" borderId="0" xfId="13" applyFont="1" applyFill="1"/>
    <xf numFmtId="176" fontId="22" fillId="5" borderId="0" xfId="4" applyNumberFormat="1" applyFont="1" applyFill="1" applyAlignment="1">
      <alignment horizontal="center"/>
    </xf>
    <xf numFmtId="0" fontId="56" fillId="5" borderId="0" xfId="13" applyFont="1" applyFill="1"/>
    <xf numFmtId="5" fontId="22" fillId="5" borderId="0" xfId="13" applyNumberFormat="1" applyFont="1" applyFill="1" applyAlignment="1">
      <alignment horizontal="center"/>
    </xf>
    <xf numFmtId="0" fontId="34" fillId="4" borderId="0" xfId="13" applyFont="1" applyFill="1"/>
    <xf numFmtId="0" fontId="34" fillId="0" borderId="0" xfId="13" applyFont="1" applyAlignment="1">
      <alignment vertical="center"/>
    </xf>
    <xf numFmtId="5" fontId="22" fillId="12" borderId="0" xfId="13" applyNumberFormat="1" applyFont="1" applyFill="1" applyAlignment="1">
      <alignment horizontal="center" vertical="center"/>
    </xf>
    <xf numFmtId="5" fontId="22" fillId="12" borderId="16" xfId="13" applyNumberFormat="1" applyFont="1" applyFill="1" applyBorder="1" applyAlignment="1">
      <alignment horizontal="center" vertical="center"/>
    </xf>
    <xf numFmtId="5" fontId="22" fillId="12" borderId="17" xfId="13" applyNumberFormat="1" applyFont="1" applyFill="1" applyBorder="1" applyAlignment="1">
      <alignment horizontal="center" vertical="center"/>
    </xf>
    <xf numFmtId="5" fontId="22" fillId="13" borderId="0" xfId="13" applyNumberFormat="1" applyFont="1" applyFill="1" applyAlignment="1">
      <alignment horizontal="center" vertical="center"/>
    </xf>
    <xf numFmtId="5" fontId="55" fillId="14" borderId="0" xfId="13" applyNumberFormat="1" applyFont="1" applyFill="1" applyAlignment="1">
      <alignment horizontal="center" vertical="center"/>
    </xf>
    <xf numFmtId="0" fontId="22" fillId="0" borderId="0" xfId="13" applyFont="1" applyAlignment="1">
      <alignment vertical="center"/>
    </xf>
    <xf numFmtId="176" fontId="22" fillId="5" borderId="0" xfId="4" applyNumberFormat="1" applyFont="1" applyFill="1" applyAlignment="1">
      <alignment horizontal="center" vertical="center"/>
    </xf>
    <xf numFmtId="0" fontId="28" fillId="0" borderId="0" xfId="13" applyFont="1" applyAlignment="1">
      <alignment horizontal="center"/>
    </xf>
    <xf numFmtId="0" fontId="21" fillId="0" borderId="2" xfId="13" applyFont="1" applyBorder="1"/>
    <xf numFmtId="5" fontId="21" fillId="0" borderId="2" xfId="13" applyNumberFormat="1" applyFont="1" applyBorder="1" applyAlignment="1">
      <alignment horizontal="center"/>
    </xf>
    <xf numFmtId="9" fontId="46" fillId="0" borderId="0" xfId="14" applyFont="1" applyFill="1" applyAlignment="1" applyProtection="1">
      <alignment horizontal="center"/>
    </xf>
    <xf numFmtId="176" fontId="46" fillId="5" borderId="0" xfId="4" applyNumberFormat="1" applyFont="1" applyFill="1" applyAlignment="1">
      <alignment horizontal="center"/>
    </xf>
    <xf numFmtId="5" fontId="46" fillId="5" borderId="0" xfId="13" applyNumberFormat="1" applyFont="1" applyFill="1" applyAlignment="1">
      <alignment horizontal="center"/>
    </xf>
    <xf numFmtId="0" fontId="59" fillId="0" borderId="0" xfId="13" applyFont="1" applyAlignment="1">
      <alignment horizontal="center"/>
    </xf>
    <xf numFmtId="9" fontId="58" fillId="0" borderId="0" xfId="2" applyFont="1" applyAlignment="1">
      <alignment horizontal="center"/>
    </xf>
    <xf numFmtId="9" fontId="28" fillId="0" borderId="0" xfId="13" applyNumberFormat="1" applyFont="1" applyAlignment="1">
      <alignment horizontal="center"/>
    </xf>
    <xf numFmtId="0" fontId="47" fillId="0" borderId="0" xfId="16" applyFont="1"/>
    <xf numFmtId="10" fontId="28" fillId="0" borderId="0" xfId="16" applyNumberFormat="1" applyFont="1" applyAlignment="1">
      <alignment vertical="center"/>
    </xf>
    <xf numFmtId="0" fontId="28" fillId="0" borderId="0" xfId="16" applyFont="1" applyAlignment="1">
      <alignment horizontal="center"/>
    </xf>
    <xf numFmtId="0" fontId="28" fillId="0" borderId="0" xfId="16" applyFont="1" applyAlignment="1">
      <alignment horizontal="center" vertical="center"/>
    </xf>
    <xf numFmtId="0" fontId="62" fillId="0" borderId="0" xfId="16" applyFont="1" applyAlignment="1">
      <alignment horizontal="center"/>
    </xf>
    <xf numFmtId="5" fontId="63" fillId="0" borderId="16" xfId="13" applyNumberFormat="1" applyFont="1" applyBorder="1" applyAlignment="1">
      <alignment horizontal="left" vertical="center"/>
    </xf>
    <xf numFmtId="164" fontId="2" fillId="0" borderId="0" xfId="0" applyNumberFormat="1" applyFont="1"/>
    <xf numFmtId="168" fontId="46" fillId="0" borderId="0" xfId="12" applyNumberFormat="1" applyFont="1" applyBorder="1" applyAlignment="1"/>
    <xf numFmtId="168" fontId="22" fillId="0" borderId="0" xfId="12" applyNumberFormat="1" applyFont="1" applyBorder="1" applyAlignment="1"/>
    <xf numFmtId="0" fontId="19" fillId="0" borderId="0" xfId="4" quotePrefix="1" applyFont="1"/>
    <xf numFmtId="164" fontId="22" fillId="0" borderId="0" xfId="12" applyNumberFormat="1" applyFont="1" applyBorder="1" applyAlignment="1"/>
    <xf numFmtId="166" fontId="64" fillId="0" borderId="2" xfId="17" applyNumberFormat="1" applyFont="1" applyBorder="1"/>
    <xf numFmtId="166" fontId="64" fillId="0" borderId="0" xfId="17" applyNumberFormat="1" applyFont="1" applyBorder="1" applyAlignment="1">
      <alignment horizontal="center"/>
    </xf>
    <xf numFmtId="166" fontId="64" fillId="0" borderId="1" xfId="17" applyNumberFormat="1" applyFont="1" applyBorder="1" applyAlignment="1">
      <alignment horizontal="center"/>
    </xf>
    <xf numFmtId="166" fontId="64" fillId="0" borderId="2" xfId="17" applyNumberFormat="1" applyFont="1" applyBorder="1" applyAlignment="1">
      <alignment horizontal="center"/>
    </xf>
    <xf numFmtId="168" fontId="61" fillId="0" borderId="0" xfId="0" applyNumberFormat="1" applyFont="1" applyAlignment="1">
      <alignment horizontal="center"/>
    </xf>
    <xf numFmtId="0" fontId="0" fillId="0" borderId="0" xfId="0" applyBorder="1"/>
    <xf numFmtId="0" fontId="60" fillId="15" borderId="6" xfId="0" applyFont="1" applyFill="1" applyBorder="1" applyAlignment="1">
      <alignment horizontal="centerContinuous"/>
    </xf>
    <xf numFmtId="0" fontId="61" fillId="15" borderId="6" xfId="0" applyFont="1" applyFill="1" applyBorder="1" applyAlignment="1">
      <alignment horizontal="centerContinuous"/>
    </xf>
    <xf numFmtId="0" fontId="44" fillId="0" borderId="2" xfId="0" applyFont="1" applyBorder="1" applyAlignment="1">
      <alignment horizontal="right"/>
    </xf>
    <xf numFmtId="0" fontId="22" fillId="16" borderId="0" xfId="12" applyFont="1" applyFill="1" applyAlignment="1"/>
    <xf numFmtId="0" fontId="2" fillId="16" borderId="0" xfId="0" applyFont="1" applyFill="1"/>
    <xf numFmtId="164" fontId="22" fillId="16" borderId="0" xfId="12" applyNumberFormat="1" applyFont="1" applyFill="1" applyAlignment="1"/>
    <xf numFmtId="0" fontId="2" fillId="16" borderId="7" xfId="0" applyFont="1" applyFill="1" applyBorder="1" applyAlignment="1">
      <alignment horizontal="centerContinuous"/>
    </xf>
    <xf numFmtId="0" fontId="2" fillId="17" borderId="7" xfId="0" applyFont="1" applyFill="1" applyBorder="1" applyAlignment="1">
      <alignment horizontal="centerContinuous"/>
    </xf>
    <xf numFmtId="0" fontId="0" fillId="17" borderId="7" xfId="0" applyFill="1" applyBorder="1" applyAlignment="1">
      <alignment horizontal="centerContinuous"/>
    </xf>
    <xf numFmtId="0" fontId="22" fillId="17" borderId="0" xfId="12" applyFont="1" applyFill="1" applyAlignment="1"/>
    <xf numFmtId="0" fontId="0" fillId="17" borderId="0" xfId="0" applyFont="1" applyFill="1"/>
    <xf numFmtId="168" fontId="22" fillId="17" borderId="0" xfId="12" applyNumberFormat="1" applyFont="1" applyFill="1" applyAlignment="1"/>
    <xf numFmtId="164" fontId="22" fillId="0" borderId="0" xfId="2" applyNumberFormat="1" applyFont="1" applyBorder="1" applyAlignment="1">
      <alignment horizontal="center"/>
    </xf>
    <xf numFmtId="0" fontId="22" fillId="18" borderId="0" xfId="12" applyFont="1" applyFill="1" applyAlignment="1"/>
    <xf numFmtId="0" fontId="1" fillId="18" borderId="0" xfId="0" applyFont="1" applyFill="1"/>
    <xf numFmtId="9" fontId="2" fillId="18" borderId="0" xfId="0" applyNumberFormat="1" applyFont="1" applyFill="1"/>
    <xf numFmtId="0" fontId="2" fillId="18" borderId="7" xfId="0" applyFont="1" applyFill="1" applyBorder="1" applyAlignment="1">
      <alignment horizontal="centerContinuous"/>
    </xf>
    <xf numFmtId="0" fontId="0" fillId="18" borderId="7" xfId="0" applyFill="1" applyBorder="1" applyAlignment="1">
      <alignment horizontal="centerContinuous"/>
    </xf>
    <xf numFmtId="166" fontId="60" fillId="0" borderId="0" xfId="17" applyNumberFormat="1" applyFont="1" applyBorder="1" applyAlignment="1">
      <alignment horizontal="center"/>
    </xf>
    <xf numFmtId="168" fontId="2" fillId="0" borderId="0" xfId="0" applyNumberFormat="1" applyFont="1" applyAlignment="1">
      <alignment horizontal="center"/>
    </xf>
    <xf numFmtId="168" fontId="34" fillId="0" borderId="0" xfId="12" applyNumberFormat="1" applyFont="1" applyBorder="1" applyAlignment="1">
      <alignment horizontal="center"/>
    </xf>
    <xf numFmtId="168" fontId="34" fillId="0" borderId="20" xfId="12" applyNumberFormat="1" applyFont="1" applyBorder="1" applyAlignment="1">
      <alignment horizontal="center"/>
    </xf>
    <xf numFmtId="0" fontId="65" fillId="19" borderId="0" xfId="0" applyFont="1" applyFill="1" applyAlignment="1">
      <alignment horizontal="centerContinuous"/>
    </xf>
    <xf numFmtId="0" fontId="66" fillId="19" borderId="0" xfId="0" applyFont="1" applyFill="1" applyAlignment="1">
      <alignment horizontal="centerContinuous"/>
    </xf>
    <xf numFmtId="0" fontId="65" fillId="20" borderId="0" xfId="0" applyFont="1" applyFill="1" applyAlignment="1">
      <alignment horizontal="centerContinuous"/>
    </xf>
    <xf numFmtId="0" fontId="66" fillId="20" borderId="0" xfId="0" applyFont="1" applyFill="1" applyAlignment="1">
      <alignment horizontal="centerContinuous"/>
    </xf>
    <xf numFmtId="0" fontId="65" fillId="21" borderId="0" xfId="0" applyFont="1" applyFill="1" applyAlignment="1">
      <alignment horizontal="centerContinuous"/>
    </xf>
    <xf numFmtId="0" fontId="66" fillId="21" borderId="0" xfId="0" applyFont="1" applyFill="1" applyAlignment="1">
      <alignment horizontal="centerContinuous"/>
    </xf>
    <xf numFmtId="172" fontId="46" fillId="0" borderId="2" xfId="12" applyNumberFormat="1" applyFont="1" applyBorder="1" applyAlignment="1"/>
    <xf numFmtId="0" fontId="67" fillId="0" borderId="0" xfId="1" applyFont="1"/>
    <xf numFmtId="0" fontId="68" fillId="0" borderId="0" xfId="1" applyFont="1"/>
    <xf numFmtId="0" fontId="68" fillId="0" borderId="6" xfId="1" applyFont="1" applyBorder="1"/>
    <xf numFmtId="0" fontId="68" fillId="0" borderId="5" xfId="1" applyFont="1" applyBorder="1" applyAlignment="1"/>
    <xf numFmtId="0" fontId="67" fillId="0" borderId="5" xfId="1" applyFont="1" applyBorder="1" applyAlignment="1">
      <alignment horizontal="right" vertical="center" wrapText="1"/>
    </xf>
    <xf numFmtId="0" fontId="68" fillId="0" borderId="0" xfId="1" applyFont="1" applyAlignment="1"/>
    <xf numFmtId="0" fontId="69" fillId="0" borderId="0" xfId="1" applyFont="1" applyAlignment="1">
      <alignment horizontal="right" vertical="center" wrapText="1"/>
    </xf>
    <xf numFmtId="0" fontId="68" fillId="0" borderId="0" xfId="1" applyFont="1" applyAlignment="1">
      <alignment vertical="top"/>
    </xf>
    <xf numFmtId="167" fontId="70" fillId="0" borderId="0" xfId="12" applyNumberFormat="1" applyFont="1" applyAlignment="1"/>
    <xf numFmtId="0" fontId="68" fillId="0" borderId="0" xfId="1" applyFont="1" applyAlignment="1">
      <alignment horizontal="left" vertical="top"/>
    </xf>
    <xf numFmtId="0" fontId="68" fillId="0" borderId="2" xfId="1" applyFont="1" applyBorder="1" applyAlignment="1">
      <alignment horizontal="left" vertical="top"/>
    </xf>
    <xf numFmtId="0" fontId="68" fillId="0" borderId="2" xfId="1" applyFont="1" applyBorder="1"/>
    <xf numFmtId="167" fontId="70" fillId="0" borderId="2" xfId="12" applyNumberFormat="1" applyFont="1" applyBorder="1" applyAlignment="1"/>
    <xf numFmtId="0" fontId="68" fillId="0" borderId="2" xfId="1" applyFont="1" applyBorder="1" applyAlignment="1">
      <alignment vertical="top"/>
    </xf>
    <xf numFmtId="0" fontId="68" fillId="0" borderId="6" xfId="1" applyFont="1" applyBorder="1" applyAlignment="1">
      <alignment vertical="top"/>
    </xf>
    <xf numFmtId="167" fontId="70" fillId="0" borderId="6" xfId="12" applyNumberFormat="1" applyFont="1" applyBorder="1" applyAlignment="1"/>
    <xf numFmtId="0" fontId="68" fillId="0" borderId="22" xfId="1" applyFont="1" applyBorder="1" applyAlignment="1"/>
    <xf numFmtId="0" fontId="68" fillId="0" borderId="22" xfId="1" applyFont="1" applyBorder="1" applyAlignment="1">
      <alignment vertical="top" wrapText="1"/>
    </xf>
    <xf numFmtId="167" fontId="70" fillId="0" borderId="22" xfId="12" applyNumberFormat="1" applyFont="1" applyBorder="1" applyAlignment="1"/>
    <xf numFmtId="0" fontId="71" fillId="0" borderId="0" xfId="1" applyFont="1" applyAlignment="1">
      <alignment vertical="top"/>
    </xf>
    <xf numFmtId="0" fontId="71" fillId="0" borderId="0" xfId="1" applyFont="1"/>
    <xf numFmtId="9" fontId="72" fillId="0" borderId="0" xfId="2" applyFont="1" applyAlignment="1"/>
    <xf numFmtId="0" fontId="73" fillId="0" borderId="0" xfId="1" applyFont="1" applyAlignment="1"/>
    <xf numFmtId="0" fontId="74" fillId="0" borderId="0" xfId="1" applyFont="1"/>
    <xf numFmtId="2" fontId="75" fillId="0" borderId="0" xfId="1" applyNumberFormat="1" applyFont="1" applyBorder="1" applyAlignment="1"/>
    <xf numFmtId="2" fontId="75" fillId="0" borderId="0" xfId="1" applyNumberFormat="1" applyFont="1" applyBorder="1" applyAlignment="1">
      <alignment horizontal="center"/>
    </xf>
    <xf numFmtId="2" fontId="74" fillId="0" borderId="0" xfId="1" applyNumberFormat="1" applyFont="1" applyAlignment="1">
      <alignment horizontal="center"/>
    </xf>
    <xf numFmtId="0" fontId="74" fillId="0" borderId="0" xfId="1" applyFont="1" applyAlignment="1"/>
    <xf numFmtId="2" fontId="75" fillId="0" borderId="6" xfId="1" applyNumberFormat="1" applyFont="1" applyBorder="1" applyAlignment="1">
      <alignment horizontal="center"/>
    </xf>
    <xf numFmtId="2" fontId="76" fillId="0" borderId="0" xfId="1" applyNumberFormat="1" applyFont="1" applyAlignment="1">
      <alignment horizontal="center"/>
    </xf>
    <xf numFmtId="2" fontId="75" fillId="0" borderId="0" xfId="1" applyNumberFormat="1" applyFont="1" applyBorder="1"/>
    <xf numFmtId="2" fontId="74" fillId="0" borderId="0" xfId="1" applyNumberFormat="1" applyFont="1" applyBorder="1"/>
    <xf numFmtId="2" fontId="74" fillId="0" borderId="0" xfId="1" applyNumberFormat="1" applyFont="1"/>
    <xf numFmtId="0" fontId="74" fillId="0" borderId="0" xfId="1" applyFont="1" applyBorder="1"/>
    <xf numFmtId="177" fontId="74" fillId="0" borderId="0" xfId="1" applyNumberFormat="1" applyFont="1" applyBorder="1"/>
    <xf numFmtId="0" fontId="73" fillId="0" borderId="0" xfId="1" applyFont="1"/>
    <xf numFmtId="0" fontId="74" fillId="0" borderId="5" xfId="1" applyFont="1" applyBorder="1"/>
    <xf numFmtId="0" fontId="74" fillId="0" borderId="0" xfId="1" applyFont="1" applyBorder="1" applyAlignment="1">
      <alignment horizontal="right"/>
    </xf>
    <xf numFmtId="180" fontId="74" fillId="0" borderId="0" xfId="1" applyNumberFormat="1" applyFont="1" applyBorder="1" applyAlignment="1">
      <alignment horizontal="right"/>
    </xf>
    <xf numFmtId="9" fontId="74" fillId="0" borderId="0" xfId="2" applyFont="1" applyBorder="1" applyAlignment="1">
      <alignment horizontal="right"/>
    </xf>
    <xf numFmtId="9" fontId="74" fillId="0" borderId="0" xfId="1" applyNumberFormat="1" applyFont="1"/>
    <xf numFmtId="2" fontId="74" fillId="0" borderId="0" xfId="1" applyNumberFormat="1" applyFont="1" applyBorder="1" applyAlignment="1">
      <alignment vertical="top"/>
    </xf>
    <xf numFmtId="178" fontId="74" fillId="0" borderId="0" xfId="1" applyNumberFormat="1" applyFont="1" applyBorder="1" applyAlignment="1">
      <alignment horizontal="center" vertical="top"/>
    </xf>
    <xf numFmtId="165" fontId="74" fillId="0" borderId="0" xfId="1" applyNumberFormat="1" applyFont="1" applyBorder="1" applyAlignment="1">
      <alignment vertical="top"/>
    </xf>
    <xf numFmtId="37" fontId="74" fillId="0" borderId="0" xfId="1" applyNumberFormat="1" applyFont="1" applyBorder="1" applyAlignment="1">
      <alignment vertical="top"/>
    </xf>
    <xf numFmtId="179" fontId="74" fillId="0" borderId="0" xfId="1" applyNumberFormat="1" applyFont="1" applyBorder="1" applyAlignment="1">
      <alignment vertical="top"/>
    </xf>
    <xf numFmtId="180" fontId="74" fillId="0" borderId="0" xfId="1" applyNumberFormat="1" applyFont="1" applyBorder="1" applyAlignment="1">
      <alignment horizontal="right" vertical="top"/>
    </xf>
    <xf numFmtId="179" fontId="74" fillId="0" borderId="0" xfId="1" applyNumberFormat="1" applyFont="1" applyBorder="1" applyAlignment="1">
      <alignment horizontal="right" vertical="top"/>
    </xf>
    <xf numFmtId="165" fontId="74" fillId="0" borderId="0" xfId="1" applyNumberFormat="1" applyFont="1" applyBorder="1" applyAlignment="1">
      <alignment vertical="top" wrapText="1"/>
    </xf>
    <xf numFmtId="0" fontId="74" fillId="0" borderId="0" xfId="1" applyFont="1" applyAlignment="1">
      <alignment vertical="top"/>
    </xf>
    <xf numFmtId="9" fontId="74" fillId="0" borderId="0" xfId="2" applyFont="1" applyAlignment="1">
      <alignment vertical="top"/>
    </xf>
    <xf numFmtId="166" fontId="74" fillId="0" borderId="0" xfId="1" applyNumberFormat="1" applyFont="1" applyBorder="1" applyAlignment="1">
      <alignment vertical="top"/>
    </xf>
    <xf numFmtId="9" fontId="74" fillId="0" borderId="0" xfId="2" applyFont="1" applyBorder="1" applyAlignment="1">
      <alignment vertical="top"/>
    </xf>
    <xf numFmtId="166" fontId="74" fillId="0" borderId="0" xfId="1" applyNumberFormat="1" applyFont="1" applyBorder="1" applyAlignment="1">
      <alignment horizontal="right" vertical="top"/>
    </xf>
    <xf numFmtId="180" fontId="77" fillId="0" borderId="0" xfId="1" applyNumberFormat="1" applyFont="1" applyBorder="1" applyAlignment="1">
      <alignment horizontal="right" vertical="top"/>
    </xf>
    <xf numFmtId="0" fontId="74" fillId="0" borderId="0" xfId="1" applyFont="1" applyBorder="1" applyAlignment="1">
      <alignment vertical="top" wrapText="1"/>
    </xf>
    <xf numFmtId="9" fontId="15" fillId="0" borderId="0" xfId="14" applyNumberFormat="1" applyFont="1"/>
    <xf numFmtId="43" fontId="10" fillId="0" borderId="0" xfId="17" applyFont="1" applyAlignment="1"/>
    <xf numFmtId="166" fontId="79" fillId="0" borderId="2" xfId="17" applyNumberFormat="1" applyFont="1" applyBorder="1" applyAlignment="1">
      <alignment horizontal="center"/>
    </xf>
    <xf numFmtId="172" fontId="22" fillId="0" borderId="2" xfId="12" applyNumberFormat="1" applyFont="1" applyBorder="1" applyAlignment="1"/>
    <xf numFmtId="172" fontId="22" fillId="17" borderId="0" xfId="12" applyNumberFormat="1" applyFont="1" applyFill="1" applyAlignment="1"/>
    <xf numFmtId="0" fontId="22" fillId="22" borderId="0" xfId="12" applyFont="1" applyFill="1" applyAlignment="1"/>
    <xf numFmtId="0" fontId="2" fillId="22" borderId="0" xfId="0" applyFont="1" applyFill="1"/>
    <xf numFmtId="164" fontId="22" fillId="22" borderId="0" xfId="12" applyNumberFormat="1" applyFont="1" applyFill="1" applyBorder="1" applyAlignment="1"/>
    <xf numFmtId="168" fontId="46" fillId="22" borderId="0" xfId="12" applyNumberFormat="1" applyFont="1" applyFill="1" applyBorder="1" applyAlignment="1"/>
    <xf numFmtId="176" fontId="64" fillId="0" borderId="2" xfId="17" applyNumberFormat="1" applyFont="1" applyBorder="1" applyAlignment="1">
      <alignment horizontal="center"/>
    </xf>
    <xf numFmtId="168" fontId="22" fillId="0" borderId="0" xfId="12" applyNumberFormat="1" applyFont="1" applyBorder="1" applyAlignment="1">
      <alignment horizontal="center"/>
    </xf>
    <xf numFmtId="172" fontId="22" fillId="0" borderId="0" xfId="12" applyNumberFormat="1" applyFont="1" applyBorder="1" applyAlignment="1"/>
    <xf numFmtId="172" fontId="2" fillId="0" borderId="0" xfId="0" applyNumberFormat="1" applyFont="1" applyAlignment="1">
      <alignment horizontal="center"/>
    </xf>
    <xf numFmtId="176" fontId="79" fillId="0" borderId="2" xfId="17" applyNumberFormat="1" applyFont="1" applyBorder="1" applyAlignment="1">
      <alignment horizontal="center"/>
    </xf>
    <xf numFmtId="181" fontId="28" fillId="0" borderId="0" xfId="16" applyNumberFormat="1" applyFont="1"/>
    <xf numFmtId="164" fontId="26" fillId="0" borderId="2" xfId="14" applyNumberFormat="1" applyFont="1" applyBorder="1"/>
    <xf numFmtId="0" fontId="11" fillId="0" borderId="0" xfId="12" applyFont="1" applyAlignment="1">
      <alignment horizontal="left" indent="1"/>
    </xf>
    <xf numFmtId="9" fontId="11" fillId="0" borderId="0" xfId="14" applyFont="1" applyAlignment="1">
      <alignment horizontal="right"/>
    </xf>
    <xf numFmtId="9" fontId="11" fillId="0" borderId="0" xfId="14" applyFont="1"/>
    <xf numFmtId="0" fontId="80" fillId="0" borderId="0" xfId="4" applyFont="1"/>
    <xf numFmtId="9" fontId="81" fillId="0" borderId="0" xfId="14" applyFont="1"/>
    <xf numFmtId="9" fontId="81" fillId="0" borderId="0" xfId="14" applyNumberFormat="1" applyFont="1"/>
    <xf numFmtId="0" fontId="82" fillId="0" borderId="0" xfId="12" applyFont="1" applyAlignment="1"/>
    <xf numFmtId="8" fontId="0" fillId="0" borderId="0" xfId="0" applyNumberFormat="1" applyFont="1"/>
    <xf numFmtId="164" fontId="2" fillId="18" borderId="0" xfId="0" applyNumberFormat="1" applyFont="1" applyFill="1"/>
    <xf numFmtId="172" fontId="46" fillId="0" borderId="0" xfId="12" applyNumberFormat="1" applyFont="1" applyBorder="1" applyAlignment="1"/>
    <xf numFmtId="0" fontId="55" fillId="11" borderId="15" xfId="13" applyFont="1" applyFill="1" applyBorder="1" applyAlignment="1">
      <alignment horizontal="center" vertical="center" wrapText="1"/>
    </xf>
    <xf numFmtId="0" fontId="57" fillId="11" borderId="19" xfId="4" applyFont="1" applyFill="1" applyBorder="1" applyAlignment="1">
      <alignment horizontal="center" vertical="center" wrapText="1"/>
    </xf>
    <xf numFmtId="0" fontId="33" fillId="7" borderId="0" xfId="16" applyFont="1" applyFill="1" applyAlignment="1">
      <alignment horizontal="center" vertical="center" wrapText="1"/>
    </xf>
    <xf numFmtId="0" fontId="5" fillId="0" borderId="0" xfId="12" applyAlignment="1">
      <alignment horizontal="center" vertical="center" wrapText="1"/>
    </xf>
    <xf numFmtId="0" fontId="5" fillId="0" borderId="0" xfId="12" applyAlignment="1">
      <alignment vertical="center" wrapText="1"/>
    </xf>
    <xf numFmtId="0" fontId="60" fillId="15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0" xfId="3"/>
    <xf numFmtId="182" fontId="0" fillId="0" borderId="0" xfId="11" applyNumberFormat="1" applyFont="1" applyBorder="1"/>
    <xf numFmtId="9" fontId="0" fillId="0" borderId="0" xfId="14" applyFont="1" applyBorder="1"/>
    <xf numFmtId="0" fontId="5" fillId="0" borderId="0" xfId="0" applyFont="1"/>
    <xf numFmtId="0" fontId="83" fillId="0" borderId="0" xfId="0" applyFont="1"/>
    <xf numFmtId="0" fontId="83" fillId="0" borderId="0" xfId="0" applyFont="1" applyAlignment="1">
      <alignment horizontal="center"/>
    </xf>
    <xf numFmtId="9" fontId="0" fillId="0" borderId="0" xfId="14" applyFont="1"/>
    <xf numFmtId="9" fontId="0" fillId="0" borderId="0" xfId="0" applyNumberFormat="1"/>
    <xf numFmtId="0" fontId="84" fillId="0" borderId="0" xfId="0" applyFont="1"/>
    <xf numFmtId="0" fontId="85" fillId="0" borderId="0" xfId="0" applyFont="1" applyAlignment="1">
      <alignment horizontal="center"/>
    </xf>
    <xf numFmtId="9" fontId="2" fillId="0" borderId="0" xfId="14" applyFont="1"/>
    <xf numFmtId="168" fontId="86" fillId="0" borderId="0" xfId="12" applyNumberFormat="1" applyFont="1" applyAlignment="1"/>
    <xf numFmtId="9" fontId="2" fillId="0" borderId="0" xfId="0" applyNumberFormat="1" applyFont="1"/>
  </cellXfs>
  <cellStyles count="18">
    <cellStyle name="Currency 2" xfId="9" xr:uid="{E43E0496-B004-4146-A990-B0112C5847D5}"/>
    <cellStyle name="Gen_Black_pD" xfId="6" xr:uid="{70302B9F-F3C1-41AE-8639-6FE9CCEA9614}"/>
    <cellStyle name="Millares" xfId="17" builtinId="3"/>
    <cellStyle name="Millares 2" xfId="11" xr:uid="{6D4321FD-572B-4375-86A4-F469930243B1}"/>
    <cellStyle name="Millares 3" xfId="15" xr:uid="{CD4A9611-7264-4F04-AE69-B1899E339E77}"/>
    <cellStyle name="Moneda 2" xfId="10" xr:uid="{D7F11F62-7C4E-497C-AF91-774C5C06F63E}"/>
    <cellStyle name="Normal" xfId="0" builtinId="0"/>
    <cellStyle name="Normal 2" xfId="3" xr:uid="{00000000-0005-0000-0000-000003000000}"/>
    <cellStyle name="Normal 2 2" xfId="4" xr:uid="{00000000-0005-0000-0000-000004000000}"/>
    <cellStyle name="Normal 2 3" xfId="12" xr:uid="{BF7EE312-1862-4FAC-BBA1-C1016DB57AFC}"/>
    <cellStyle name="Normal 3" xfId="1" xr:uid="{00000000-0005-0000-0000-000005000000}"/>
    <cellStyle name="Normal 3 2" xfId="5" xr:uid="{00000000-0005-0000-0000-000006000000}"/>
    <cellStyle name="Normal_Beta_empresas privadas_30 jun-1 jul 2011" xfId="16" xr:uid="{A7E0065F-7685-4B9D-87AF-DE54C657DF56}"/>
    <cellStyle name="Normal_Roche-Genentech_analisis" xfId="13" xr:uid="{A4D12A74-E70C-41E7-8852-C499B83F09DA}"/>
    <cellStyle name="Porcentaje" xfId="2" builtinId="5"/>
    <cellStyle name="Porcentaje 2" xfId="14" xr:uid="{22B4213C-4D1F-4415-9668-1B6B4A6A1CBE}"/>
    <cellStyle name="Title 2" xfId="7" xr:uid="{B853CE59-924E-4D37-8AB2-13D5C1B84805}"/>
    <cellStyle name="TitleLines_Gen" xfId="8" xr:uid="{8C2E1C32-37EF-47FC-92A8-7CA338E0E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49</xdr:row>
      <xdr:rowOff>187169</xdr:rowOff>
    </xdr:from>
    <xdr:to>
      <xdr:col>9</xdr:col>
      <xdr:colOff>588944</xdr:colOff>
      <xdr:row>53</xdr:row>
      <xdr:rowOff>616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8EC3425-A70B-4A0B-AB79-B1AEA108ECA4}"/>
            </a:ext>
          </a:extLst>
        </xdr:cNvPr>
        <xdr:cNvSpPr>
          <a:spLocks noChangeArrowheads="1"/>
        </xdr:cNvSpPr>
      </xdr:nvSpPr>
      <xdr:spPr bwMode="auto">
        <a:xfrm>
          <a:off x="4766310" y="8633939"/>
          <a:ext cx="1183304" cy="605927"/>
        </a:xfrm>
        <a:prstGeom prst="homePlate">
          <a:avLst>
            <a:gd name="adj" fmla="val 47104"/>
          </a:avLst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s-AR" sz="1200" b="1" i="0" u="none" strike="noStrike" baseline="0">
              <a:solidFill>
                <a:srgbClr val="333399"/>
              </a:solidFill>
              <a:latin typeface="Calibri"/>
            </a:rPr>
            <a:t>Terminal FCF Growth</a:t>
          </a:r>
        </a:p>
      </xdr:txBody>
    </xdr:sp>
    <xdr:clientData/>
  </xdr:twoCellAnchor>
  <xdr:twoCellAnchor>
    <xdr:from>
      <xdr:col>7</xdr:col>
      <xdr:colOff>586740</xdr:colOff>
      <xdr:row>43</xdr:row>
      <xdr:rowOff>176420</xdr:rowOff>
    </xdr:from>
    <xdr:to>
      <xdr:col>9</xdr:col>
      <xdr:colOff>588944</xdr:colOff>
      <xdr:row>47</xdr:row>
      <xdr:rowOff>12271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EA2CF65A-9FED-4EF4-9E0A-E14ECC481E52}"/>
            </a:ext>
          </a:extLst>
        </xdr:cNvPr>
        <xdr:cNvSpPr>
          <a:spLocks noChangeArrowheads="1"/>
        </xdr:cNvSpPr>
      </xdr:nvSpPr>
      <xdr:spPr bwMode="auto">
        <a:xfrm>
          <a:off x="4766310" y="7434470"/>
          <a:ext cx="1183304" cy="628331"/>
        </a:xfrm>
        <a:prstGeom prst="homePlate">
          <a:avLst>
            <a:gd name="adj" fmla="val 47104"/>
          </a:avLst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lnSpc>
              <a:spcPts val="1200"/>
            </a:lnSpc>
            <a:defRPr sz="1000"/>
          </a:pPr>
          <a:r>
            <a:rPr lang="es-AR" sz="1200" b="1" i="0" u="none" strike="noStrike" baseline="0">
              <a:solidFill>
                <a:srgbClr val="333399"/>
              </a:solidFill>
              <a:latin typeface="Calibri"/>
            </a:rPr>
            <a:t>Implied 2013 EBITDA Multiple</a:t>
          </a:r>
        </a:p>
      </xdr:txBody>
    </xdr:sp>
    <xdr:clientData/>
  </xdr:twoCellAnchor>
  <xdr:twoCellAnchor>
    <xdr:from>
      <xdr:col>7</xdr:col>
      <xdr:colOff>586740</xdr:colOff>
      <xdr:row>37</xdr:row>
      <xdr:rowOff>175260</xdr:rowOff>
    </xdr:from>
    <xdr:to>
      <xdr:col>9</xdr:col>
      <xdr:colOff>588944</xdr:colOff>
      <xdr:row>41</xdr:row>
      <xdr:rowOff>9162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98D2223A-13F1-4291-A785-8DFA26E64488}"/>
            </a:ext>
          </a:extLst>
        </xdr:cNvPr>
        <xdr:cNvSpPr>
          <a:spLocks noChangeArrowheads="1"/>
        </xdr:cNvSpPr>
      </xdr:nvSpPr>
      <xdr:spPr bwMode="auto">
        <a:xfrm>
          <a:off x="4766310" y="6244590"/>
          <a:ext cx="1183304" cy="626382"/>
        </a:xfrm>
        <a:prstGeom prst="homePlate">
          <a:avLst>
            <a:gd name="adj" fmla="val 28839"/>
          </a:avLst>
        </a:prstGeom>
        <a:solidFill>
          <a:srgbClr xmlns:mc="http://schemas.openxmlformats.org/markup-compatibility/2006" xmlns:a14="http://schemas.microsoft.com/office/drawing/2010/main" val="333399" mc:Ignorable="a14" a14:legacySpreadsheetColorIndex="6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lnSpc>
              <a:spcPts val="1400"/>
            </a:lnSpc>
            <a:defRPr sz="1000"/>
          </a:pPr>
          <a:r>
            <a:rPr lang="es-AR" sz="1200" b="1" i="0" u="none" strike="noStrike" baseline="0">
              <a:solidFill>
                <a:srgbClr val="FFFFFF"/>
              </a:solidFill>
              <a:latin typeface="Calibri"/>
            </a:rPr>
            <a:t>Equity </a:t>
          </a:r>
        </a:p>
        <a:p>
          <a:pPr algn="ctr" rtl="0">
            <a:lnSpc>
              <a:spcPts val="1400"/>
            </a:lnSpc>
            <a:defRPr sz="1000"/>
          </a:pPr>
          <a:r>
            <a:rPr lang="es-AR" sz="1200" b="1" i="0" u="none" strike="noStrike" baseline="0">
              <a:solidFill>
                <a:srgbClr val="FFFFFF"/>
              </a:solidFill>
              <a:latin typeface="Calibri"/>
            </a:rPr>
            <a:t>Value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49</xdr:row>
      <xdr:rowOff>187169</xdr:rowOff>
    </xdr:from>
    <xdr:to>
      <xdr:col>9</xdr:col>
      <xdr:colOff>588944</xdr:colOff>
      <xdr:row>53</xdr:row>
      <xdr:rowOff>616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D35A158F-A7E2-41E7-9BC9-441284952D60}"/>
            </a:ext>
          </a:extLst>
        </xdr:cNvPr>
        <xdr:cNvSpPr>
          <a:spLocks noChangeArrowheads="1"/>
        </xdr:cNvSpPr>
      </xdr:nvSpPr>
      <xdr:spPr bwMode="auto">
        <a:xfrm>
          <a:off x="4766310" y="9361649"/>
          <a:ext cx="1183304" cy="605927"/>
        </a:xfrm>
        <a:prstGeom prst="homePlate">
          <a:avLst>
            <a:gd name="adj" fmla="val 47104"/>
          </a:avLst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s-AR" sz="1200" b="1" i="0" u="none" strike="noStrike" baseline="0">
              <a:solidFill>
                <a:srgbClr val="333399"/>
              </a:solidFill>
              <a:latin typeface="Calibri"/>
            </a:rPr>
            <a:t>Terminal FCF Growth</a:t>
          </a:r>
        </a:p>
      </xdr:txBody>
    </xdr:sp>
    <xdr:clientData/>
  </xdr:twoCellAnchor>
  <xdr:twoCellAnchor>
    <xdr:from>
      <xdr:col>7</xdr:col>
      <xdr:colOff>586740</xdr:colOff>
      <xdr:row>43</xdr:row>
      <xdr:rowOff>176420</xdr:rowOff>
    </xdr:from>
    <xdr:to>
      <xdr:col>9</xdr:col>
      <xdr:colOff>588944</xdr:colOff>
      <xdr:row>47</xdr:row>
      <xdr:rowOff>12271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525F80DB-C803-483C-B4B5-91854D6DFFF5}"/>
            </a:ext>
          </a:extLst>
        </xdr:cNvPr>
        <xdr:cNvSpPr>
          <a:spLocks noChangeArrowheads="1"/>
        </xdr:cNvSpPr>
      </xdr:nvSpPr>
      <xdr:spPr bwMode="auto">
        <a:xfrm>
          <a:off x="4766310" y="8360300"/>
          <a:ext cx="1183304" cy="628331"/>
        </a:xfrm>
        <a:prstGeom prst="homePlate">
          <a:avLst>
            <a:gd name="adj" fmla="val 47104"/>
          </a:avLst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lnSpc>
              <a:spcPts val="1200"/>
            </a:lnSpc>
            <a:defRPr sz="1000"/>
          </a:pPr>
          <a:r>
            <a:rPr lang="es-AR" sz="1200" b="1" i="0" u="none" strike="noStrike" baseline="0">
              <a:solidFill>
                <a:srgbClr val="333399"/>
              </a:solidFill>
              <a:latin typeface="Calibri"/>
            </a:rPr>
            <a:t>Implied 2013 EBITDA Multiple</a:t>
          </a:r>
        </a:p>
      </xdr:txBody>
    </xdr:sp>
    <xdr:clientData/>
  </xdr:twoCellAnchor>
  <xdr:twoCellAnchor>
    <xdr:from>
      <xdr:col>7</xdr:col>
      <xdr:colOff>586740</xdr:colOff>
      <xdr:row>37</xdr:row>
      <xdr:rowOff>175260</xdr:rowOff>
    </xdr:from>
    <xdr:to>
      <xdr:col>9</xdr:col>
      <xdr:colOff>588944</xdr:colOff>
      <xdr:row>41</xdr:row>
      <xdr:rowOff>9162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87635E6C-BFFE-4AFC-A02D-A226534F7807}"/>
            </a:ext>
          </a:extLst>
        </xdr:cNvPr>
        <xdr:cNvSpPr>
          <a:spLocks noChangeArrowheads="1"/>
        </xdr:cNvSpPr>
      </xdr:nvSpPr>
      <xdr:spPr bwMode="auto">
        <a:xfrm>
          <a:off x="4766310" y="7368540"/>
          <a:ext cx="1183304" cy="626382"/>
        </a:xfrm>
        <a:prstGeom prst="homePlate">
          <a:avLst>
            <a:gd name="adj" fmla="val 28839"/>
          </a:avLst>
        </a:prstGeom>
        <a:solidFill>
          <a:srgbClr xmlns:mc="http://schemas.openxmlformats.org/markup-compatibility/2006" xmlns:a14="http://schemas.microsoft.com/office/drawing/2010/main" val="333399" mc:Ignorable="a14" a14:legacySpreadsheetColorIndex="6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lnSpc>
              <a:spcPts val="1400"/>
            </a:lnSpc>
            <a:defRPr sz="1000"/>
          </a:pPr>
          <a:r>
            <a:rPr lang="es-AR" sz="1200" b="1" i="0" u="none" strike="noStrike" baseline="0">
              <a:solidFill>
                <a:srgbClr val="FFFFFF"/>
              </a:solidFill>
              <a:latin typeface="Calibri"/>
            </a:rPr>
            <a:t>Equity </a:t>
          </a:r>
        </a:p>
        <a:p>
          <a:pPr algn="ctr" rtl="0">
            <a:lnSpc>
              <a:spcPts val="1400"/>
            </a:lnSpc>
            <a:defRPr sz="1000"/>
          </a:pPr>
          <a:r>
            <a:rPr lang="es-AR" sz="1200" b="1" i="0" u="none" strike="noStrike" baseline="0">
              <a:solidFill>
                <a:srgbClr val="FFFFFF"/>
              </a:solidFill>
              <a:latin typeface="Calibri"/>
            </a:rPr>
            <a:t>Value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642253</xdr:colOff>
      <xdr:row>37</xdr:row>
      <xdr:rowOff>36288</xdr:rowOff>
    </xdr:from>
    <xdr:to>
      <xdr:col>9</xdr:col>
      <xdr:colOff>612679</xdr:colOff>
      <xdr:row>38</xdr:row>
      <xdr:rowOff>7259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2B5FD142-82B3-4417-9746-8FC259A1C5B4}"/>
            </a:ext>
          </a:extLst>
        </xdr:cNvPr>
        <xdr:cNvSpPr/>
      </xdr:nvSpPr>
      <xdr:spPr>
        <a:xfrm>
          <a:off x="5947224" y="6273802"/>
          <a:ext cx="641712" cy="192314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159657</xdr:colOff>
      <xdr:row>16</xdr:row>
      <xdr:rowOff>10884</xdr:rowOff>
    </xdr:from>
    <xdr:to>
      <xdr:col>9</xdr:col>
      <xdr:colOff>50802</xdr:colOff>
      <xdr:row>17</xdr:row>
      <xdr:rowOff>7258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19945C62-4B99-432F-B673-0F1F1513D335}"/>
            </a:ext>
          </a:extLst>
        </xdr:cNvPr>
        <xdr:cNvSpPr/>
      </xdr:nvSpPr>
      <xdr:spPr>
        <a:xfrm>
          <a:off x="5464628" y="2772227"/>
          <a:ext cx="562431" cy="177802"/>
        </a:xfrm>
        <a:prstGeom prst="roundRect">
          <a:avLst/>
        </a:prstGeom>
        <a:noFill/>
        <a:ln>
          <a:solidFill>
            <a:srgbClr val="00206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174171</xdr:colOff>
      <xdr:row>18</xdr:row>
      <xdr:rowOff>199571</xdr:rowOff>
    </xdr:from>
    <xdr:to>
      <xdr:col>6</xdr:col>
      <xdr:colOff>65316</xdr:colOff>
      <xdr:row>19</xdr:row>
      <xdr:rowOff>177801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C6C3392E-9907-41CB-828A-C16212D348DA}"/>
            </a:ext>
          </a:extLst>
        </xdr:cNvPr>
        <xdr:cNvSpPr/>
      </xdr:nvSpPr>
      <xdr:spPr>
        <a:xfrm>
          <a:off x="3465285" y="3269342"/>
          <a:ext cx="562431" cy="177802"/>
        </a:xfrm>
        <a:prstGeom prst="roundRect">
          <a:avLst/>
        </a:prstGeom>
        <a:noFill/>
        <a:ln>
          <a:solidFill>
            <a:srgbClr val="00206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65316</xdr:colOff>
      <xdr:row>16</xdr:row>
      <xdr:rowOff>99785</xdr:rowOff>
    </xdr:from>
    <xdr:to>
      <xdr:col>8</xdr:col>
      <xdr:colOff>159657</xdr:colOff>
      <xdr:row>19</xdr:row>
      <xdr:rowOff>88900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7AECA558-5778-4D41-AF2A-5B0263E19EE6}"/>
            </a:ext>
          </a:extLst>
        </xdr:cNvPr>
        <xdr:cNvCxnSpPr>
          <a:stCxn id="3" idx="1"/>
          <a:endCxn id="4" idx="3"/>
        </xdr:cNvCxnSpPr>
      </xdr:nvCxnSpPr>
      <xdr:spPr>
        <a:xfrm flipH="1">
          <a:off x="4027716" y="2861128"/>
          <a:ext cx="1436912" cy="497115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649511</xdr:colOff>
      <xdr:row>28</xdr:row>
      <xdr:rowOff>181430</xdr:rowOff>
    </xdr:from>
    <xdr:to>
      <xdr:col>6</xdr:col>
      <xdr:colOff>619937</xdr:colOff>
      <xdr:row>30</xdr:row>
      <xdr:rowOff>3629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390653B-A7E6-4528-A661-590CA2FEF10C}"/>
            </a:ext>
          </a:extLst>
        </xdr:cNvPr>
        <xdr:cNvSpPr/>
      </xdr:nvSpPr>
      <xdr:spPr>
        <a:xfrm>
          <a:off x="3940625" y="4894944"/>
          <a:ext cx="641712" cy="192314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671282</xdr:colOff>
      <xdr:row>28</xdr:row>
      <xdr:rowOff>181430</xdr:rowOff>
    </xdr:from>
    <xdr:to>
      <xdr:col>12</xdr:col>
      <xdr:colOff>641709</xdr:colOff>
      <xdr:row>30</xdr:row>
      <xdr:rowOff>3629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317C9D5-E8E1-4389-9B67-E889F0CC2FAE}"/>
            </a:ext>
          </a:extLst>
        </xdr:cNvPr>
        <xdr:cNvSpPr/>
      </xdr:nvSpPr>
      <xdr:spPr>
        <a:xfrm>
          <a:off x="7990111" y="4894944"/>
          <a:ext cx="641712" cy="192314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642253</xdr:colOff>
      <xdr:row>38</xdr:row>
      <xdr:rowOff>36288</xdr:rowOff>
    </xdr:from>
    <xdr:to>
      <xdr:col>9</xdr:col>
      <xdr:colOff>612679</xdr:colOff>
      <xdr:row>39</xdr:row>
      <xdr:rowOff>7259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2272C77-0E52-4423-BF56-9CE02CE1CBA2}"/>
            </a:ext>
          </a:extLst>
        </xdr:cNvPr>
        <xdr:cNvSpPr/>
      </xdr:nvSpPr>
      <xdr:spPr>
        <a:xfrm>
          <a:off x="5941963" y="6299928"/>
          <a:ext cx="640986" cy="191951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159657</xdr:colOff>
      <xdr:row>17</xdr:row>
      <xdr:rowOff>10884</xdr:rowOff>
    </xdr:from>
    <xdr:to>
      <xdr:col>9</xdr:col>
      <xdr:colOff>50802</xdr:colOff>
      <xdr:row>18</xdr:row>
      <xdr:rowOff>7258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17F998EB-21E8-40BC-A967-B91A7DCD783B}"/>
            </a:ext>
          </a:extLst>
        </xdr:cNvPr>
        <xdr:cNvSpPr/>
      </xdr:nvSpPr>
      <xdr:spPr>
        <a:xfrm>
          <a:off x="5459367" y="2776944"/>
          <a:ext cx="561705" cy="179254"/>
        </a:xfrm>
        <a:prstGeom prst="roundRect">
          <a:avLst/>
        </a:prstGeom>
        <a:noFill/>
        <a:ln>
          <a:solidFill>
            <a:srgbClr val="00206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174171</xdr:colOff>
      <xdr:row>19</xdr:row>
      <xdr:rowOff>199571</xdr:rowOff>
    </xdr:from>
    <xdr:to>
      <xdr:col>6</xdr:col>
      <xdr:colOff>65316</xdr:colOff>
      <xdr:row>20</xdr:row>
      <xdr:rowOff>177801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C2653416-AABD-4999-A8C2-9EE8EA4B7664}"/>
            </a:ext>
          </a:extLst>
        </xdr:cNvPr>
        <xdr:cNvSpPr/>
      </xdr:nvSpPr>
      <xdr:spPr>
        <a:xfrm>
          <a:off x="3462201" y="3274241"/>
          <a:ext cx="561705" cy="176350"/>
        </a:xfrm>
        <a:prstGeom prst="roundRect">
          <a:avLst/>
        </a:prstGeom>
        <a:noFill/>
        <a:ln>
          <a:solidFill>
            <a:srgbClr val="00206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65316</xdr:colOff>
      <xdr:row>17</xdr:row>
      <xdr:rowOff>99785</xdr:rowOff>
    </xdr:from>
    <xdr:to>
      <xdr:col>8</xdr:col>
      <xdr:colOff>159657</xdr:colOff>
      <xdr:row>20</xdr:row>
      <xdr:rowOff>88900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C7986E45-BD6C-418C-A2FE-0748096AB928}"/>
            </a:ext>
          </a:extLst>
        </xdr:cNvPr>
        <xdr:cNvCxnSpPr>
          <a:stCxn id="3" idx="1"/>
          <a:endCxn id="4" idx="3"/>
        </xdr:cNvCxnSpPr>
      </xdr:nvCxnSpPr>
      <xdr:spPr>
        <a:xfrm flipH="1">
          <a:off x="4023906" y="2865845"/>
          <a:ext cx="1435461" cy="495845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21739</xdr:colOff>
      <xdr:row>30</xdr:row>
      <xdr:rowOff>0</xdr:rowOff>
    </xdr:from>
    <xdr:to>
      <xdr:col>4</xdr:col>
      <xdr:colOff>663451</xdr:colOff>
      <xdr:row>31</xdr:row>
      <xdr:rowOff>7257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586A0F9-13F8-4F46-A620-52E934BDB9AA}"/>
            </a:ext>
          </a:extLst>
        </xdr:cNvPr>
        <xdr:cNvSpPr/>
      </xdr:nvSpPr>
      <xdr:spPr>
        <a:xfrm>
          <a:off x="2641568" y="5080000"/>
          <a:ext cx="641712" cy="192314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43511</xdr:colOff>
      <xdr:row>30</xdr:row>
      <xdr:rowOff>0</xdr:rowOff>
    </xdr:from>
    <xdr:to>
      <xdr:col>11</xdr:col>
      <xdr:colOff>13937</xdr:colOff>
      <xdr:row>31</xdr:row>
      <xdr:rowOff>7257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70F4E853-359D-422D-8F30-725A323B0D1D}"/>
            </a:ext>
          </a:extLst>
        </xdr:cNvPr>
        <xdr:cNvSpPr/>
      </xdr:nvSpPr>
      <xdr:spPr>
        <a:xfrm>
          <a:off x="6691054" y="5080000"/>
          <a:ext cx="641712" cy="192314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642253</xdr:colOff>
      <xdr:row>38</xdr:row>
      <xdr:rowOff>36288</xdr:rowOff>
    </xdr:from>
    <xdr:to>
      <xdr:col>9</xdr:col>
      <xdr:colOff>612679</xdr:colOff>
      <xdr:row>39</xdr:row>
      <xdr:rowOff>7259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8529750-D57B-4FDF-94DA-6632BE06D10D}"/>
            </a:ext>
          </a:extLst>
        </xdr:cNvPr>
        <xdr:cNvSpPr/>
      </xdr:nvSpPr>
      <xdr:spPr>
        <a:xfrm>
          <a:off x="5941963" y="6482808"/>
          <a:ext cx="640986" cy="191951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159657</xdr:colOff>
      <xdr:row>17</xdr:row>
      <xdr:rowOff>10884</xdr:rowOff>
    </xdr:from>
    <xdr:to>
      <xdr:col>9</xdr:col>
      <xdr:colOff>50802</xdr:colOff>
      <xdr:row>18</xdr:row>
      <xdr:rowOff>7258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91D1BB8F-475C-4F65-839D-9AE63D2D4A3D}"/>
            </a:ext>
          </a:extLst>
        </xdr:cNvPr>
        <xdr:cNvSpPr/>
      </xdr:nvSpPr>
      <xdr:spPr>
        <a:xfrm>
          <a:off x="5459367" y="2959824"/>
          <a:ext cx="561705" cy="179254"/>
        </a:xfrm>
        <a:prstGeom prst="roundRect">
          <a:avLst/>
        </a:prstGeom>
        <a:noFill/>
        <a:ln>
          <a:solidFill>
            <a:srgbClr val="00206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174171</xdr:colOff>
      <xdr:row>19</xdr:row>
      <xdr:rowOff>199571</xdr:rowOff>
    </xdr:from>
    <xdr:to>
      <xdr:col>6</xdr:col>
      <xdr:colOff>65316</xdr:colOff>
      <xdr:row>20</xdr:row>
      <xdr:rowOff>177801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7B641441-FEA8-46F2-BC3C-D571BD43D031}"/>
            </a:ext>
          </a:extLst>
        </xdr:cNvPr>
        <xdr:cNvSpPr/>
      </xdr:nvSpPr>
      <xdr:spPr>
        <a:xfrm>
          <a:off x="3462201" y="3457121"/>
          <a:ext cx="561705" cy="176350"/>
        </a:xfrm>
        <a:prstGeom prst="roundRect">
          <a:avLst/>
        </a:prstGeom>
        <a:noFill/>
        <a:ln>
          <a:solidFill>
            <a:srgbClr val="00206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65316</xdr:colOff>
      <xdr:row>17</xdr:row>
      <xdr:rowOff>99785</xdr:rowOff>
    </xdr:from>
    <xdr:to>
      <xdr:col>8</xdr:col>
      <xdr:colOff>159657</xdr:colOff>
      <xdr:row>20</xdr:row>
      <xdr:rowOff>88900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8A8E682-9296-437F-9CDB-EB908D93643A}"/>
            </a:ext>
          </a:extLst>
        </xdr:cNvPr>
        <xdr:cNvCxnSpPr>
          <a:stCxn id="3" idx="1"/>
          <a:endCxn id="4" idx="3"/>
        </xdr:cNvCxnSpPr>
      </xdr:nvCxnSpPr>
      <xdr:spPr>
        <a:xfrm flipH="1">
          <a:off x="4023906" y="3048725"/>
          <a:ext cx="1435461" cy="495845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21739</xdr:colOff>
      <xdr:row>30</xdr:row>
      <xdr:rowOff>0</xdr:rowOff>
    </xdr:from>
    <xdr:to>
      <xdr:col>4</xdr:col>
      <xdr:colOff>663451</xdr:colOff>
      <xdr:row>31</xdr:row>
      <xdr:rowOff>7257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A20E45EA-9C11-4216-BC78-764D78554032}"/>
            </a:ext>
          </a:extLst>
        </xdr:cNvPr>
        <xdr:cNvSpPr/>
      </xdr:nvSpPr>
      <xdr:spPr>
        <a:xfrm>
          <a:off x="2639209" y="5097780"/>
          <a:ext cx="641712" cy="193947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43511</xdr:colOff>
      <xdr:row>30</xdr:row>
      <xdr:rowOff>0</xdr:rowOff>
    </xdr:from>
    <xdr:to>
      <xdr:col>11</xdr:col>
      <xdr:colOff>13937</xdr:colOff>
      <xdr:row>31</xdr:row>
      <xdr:rowOff>7257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D02DCC4A-957A-49F1-B4A3-1A71F71512E1}"/>
            </a:ext>
          </a:extLst>
        </xdr:cNvPr>
        <xdr:cNvSpPr/>
      </xdr:nvSpPr>
      <xdr:spPr>
        <a:xfrm>
          <a:off x="6684341" y="5097780"/>
          <a:ext cx="640986" cy="193947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308428</xdr:colOff>
      <xdr:row>13</xdr:row>
      <xdr:rowOff>7258</xdr:rowOff>
    </xdr:from>
    <xdr:to>
      <xdr:col>6</xdr:col>
      <xdr:colOff>79283</xdr:colOff>
      <xdr:row>14</xdr:row>
      <xdr:rowOff>1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2987DCC6-D3AD-4DAB-8B9E-799A30C65E62}"/>
            </a:ext>
          </a:extLst>
        </xdr:cNvPr>
        <xdr:cNvSpPr/>
      </xdr:nvSpPr>
      <xdr:spPr>
        <a:xfrm>
          <a:off x="3664857" y="2256972"/>
          <a:ext cx="641712" cy="174172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301172</xdr:colOff>
      <xdr:row>13</xdr:row>
      <xdr:rowOff>7258</xdr:rowOff>
    </xdr:from>
    <xdr:to>
      <xdr:col>10</xdr:col>
      <xdr:colOff>72027</xdr:colOff>
      <xdr:row>14</xdr:row>
      <xdr:rowOff>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408D869-4350-44E0-814C-E76943B50826}"/>
            </a:ext>
          </a:extLst>
        </xdr:cNvPr>
        <xdr:cNvSpPr/>
      </xdr:nvSpPr>
      <xdr:spPr>
        <a:xfrm>
          <a:off x="5744029" y="2256972"/>
          <a:ext cx="641712" cy="174172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348343</xdr:colOff>
      <xdr:row>13</xdr:row>
      <xdr:rowOff>7258</xdr:rowOff>
    </xdr:from>
    <xdr:to>
      <xdr:col>14</xdr:col>
      <xdr:colOff>119198</xdr:colOff>
      <xdr:row>14</xdr:row>
      <xdr:rowOff>1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64A505E-5807-4833-AD56-C4D3545E7C37}"/>
            </a:ext>
          </a:extLst>
        </xdr:cNvPr>
        <xdr:cNvSpPr/>
      </xdr:nvSpPr>
      <xdr:spPr>
        <a:xfrm>
          <a:off x="7877629" y="2256972"/>
          <a:ext cx="641712" cy="174172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308428</xdr:colOff>
      <xdr:row>7</xdr:row>
      <xdr:rowOff>177801</xdr:rowOff>
    </xdr:from>
    <xdr:to>
      <xdr:col>6</xdr:col>
      <xdr:colOff>79283</xdr:colOff>
      <xdr:row>11</xdr:row>
      <xdr:rowOff>21771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FDE13D80-5A08-4C02-A0E8-F4D0656E46C9}"/>
            </a:ext>
          </a:extLst>
        </xdr:cNvPr>
        <xdr:cNvSpPr/>
      </xdr:nvSpPr>
      <xdr:spPr>
        <a:xfrm>
          <a:off x="3664857" y="1393372"/>
          <a:ext cx="641712" cy="587828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301172</xdr:colOff>
      <xdr:row>7</xdr:row>
      <xdr:rowOff>177801</xdr:rowOff>
    </xdr:from>
    <xdr:to>
      <xdr:col>10</xdr:col>
      <xdr:colOff>72027</xdr:colOff>
      <xdr:row>11</xdr:row>
      <xdr:rowOff>21771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3E2DBCFB-A53E-44BF-A419-14A708D5E46C}"/>
            </a:ext>
          </a:extLst>
        </xdr:cNvPr>
        <xdr:cNvSpPr/>
      </xdr:nvSpPr>
      <xdr:spPr>
        <a:xfrm>
          <a:off x="5744029" y="1393372"/>
          <a:ext cx="641712" cy="587828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348343</xdr:colOff>
      <xdr:row>7</xdr:row>
      <xdr:rowOff>177801</xdr:rowOff>
    </xdr:from>
    <xdr:to>
      <xdr:col>14</xdr:col>
      <xdr:colOff>119198</xdr:colOff>
      <xdr:row>11</xdr:row>
      <xdr:rowOff>21771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9BB02EA4-DEE2-44A4-83E3-2319E64DF135}"/>
            </a:ext>
          </a:extLst>
        </xdr:cNvPr>
        <xdr:cNvSpPr/>
      </xdr:nvSpPr>
      <xdr:spPr>
        <a:xfrm>
          <a:off x="7877629" y="1393372"/>
          <a:ext cx="641712" cy="587828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308428</xdr:colOff>
      <xdr:row>18</xdr:row>
      <xdr:rowOff>3629</xdr:rowOff>
    </xdr:from>
    <xdr:to>
      <xdr:col>6</xdr:col>
      <xdr:colOff>79283</xdr:colOff>
      <xdr:row>18</xdr:row>
      <xdr:rowOff>177801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9869B503-9E60-49BB-8555-DB755AC545F8}"/>
            </a:ext>
          </a:extLst>
        </xdr:cNvPr>
        <xdr:cNvSpPr/>
      </xdr:nvSpPr>
      <xdr:spPr>
        <a:xfrm>
          <a:off x="3664857" y="3124200"/>
          <a:ext cx="641712" cy="174172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301172</xdr:colOff>
      <xdr:row>18</xdr:row>
      <xdr:rowOff>7258</xdr:rowOff>
    </xdr:from>
    <xdr:to>
      <xdr:col>10</xdr:col>
      <xdr:colOff>72027</xdr:colOff>
      <xdr:row>19</xdr:row>
      <xdr:rowOff>1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37335E06-BB7A-4F61-A99D-467351033FC9}"/>
            </a:ext>
          </a:extLst>
        </xdr:cNvPr>
        <xdr:cNvSpPr/>
      </xdr:nvSpPr>
      <xdr:spPr>
        <a:xfrm>
          <a:off x="5188858" y="2993572"/>
          <a:ext cx="641712" cy="174172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348343</xdr:colOff>
      <xdr:row>18</xdr:row>
      <xdr:rowOff>3629</xdr:rowOff>
    </xdr:from>
    <xdr:to>
      <xdr:col>14</xdr:col>
      <xdr:colOff>119198</xdr:colOff>
      <xdr:row>18</xdr:row>
      <xdr:rowOff>177801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31F6F515-CB2B-4FA4-9F16-AA361DB35626}"/>
            </a:ext>
          </a:extLst>
        </xdr:cNvPr>
        <xdr:cNvSpPr/>
      </xdr:nvSpPr>
      <xdr:spPr>
        <a:xfrm>
          <a:off x="7877629" y="3124200"/>
          <a:ext cx="641712" cy="174172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308428</xdr:colOff>
      <xdr:row>23</xdr:row>
      <xdr:rowOff>177800</xdr:rowOff>
    </xdr:from>
    <xdr:to>
      <xdr:col>6</xdr:col>
      <xdr:colOff>79283</xdr:colOff>
      <xdr:row>24</xdr:row>
      <xdr:rowOff>170544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01770B8-D012-4FB6-9EE3-17C3C5615905}"/>
            </a:ext>
          </a:extLst>
        </xdr:cNvPr>
        <xdr:cNvSpPr/>
      </xdr:nvSpPr>
      <xdr:spPr>
        <a:xfrm>
          <a:off x="3664857" y="4132943"/>
          <a:ext cx="641712" cy="174172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301172</xdr:colOff>
      <xdr:row>23</xdr:row>
      <xdr:rowOff>177800</xdr:rowOff>
    </xdr:from>
    <xdr:to>
      <xdr:col>10</xdr:col>
      <xdr:colOff>72027</xdr:colOff>
      <xdr:row>24</xdr:row>
      <xdr:rowOff>170544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7D9ABCA6-0107-40E4-8F12-89DBC1FCACF3}"/>
            </a:ext>
          </a:extLst>
        </xdr:cNvPr>
        <xdr:cNvSpPr/>
      </xdr:nvSpPr>
      <xdr:spPr>
        <a:xfrm>
          <a:off x="5744029" y="4132943"/>
          <a:ext cx="641712" cy="174172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348343</xdr:colOff>
      <xdr:row>23</xdr:row>
      <xdr:rowOff>177800</xdr:rowOff>
    </xdr:from>
    <xdr:to>
      <xdr:col>14</xdr:col>
      <xdr:colOff>119198</xdr:colOff>
      <xdr:row>24</xdr:row>
      <xdr:rowOff>170544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92C7B535-6AC2-4942-A915-6B3D64F0FB87}"/>
            </a:ext>
          </a:extLst>
        </xdr:cNvPr>
        <xdr:cNvSpPr/>
      </xdr:nvSpPr>
      <xdr:spPr>
        <a:xfrm>
          <a:off x="7877629" y="4132943"/>
          <a:ext cx="641712" cy="174172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308428</xdr:colOff>
      <xdr:row>29</xdr:row>
      <xdr:rowOff>21771</xdr:rowOff>
    </xdr:from>
    <xdr:to>
      <xdr:col>6</xdr:col>
      <xdr:colOff>79283</xdr:colOff>
      <xdr:row>29</xdr:row>
      <xdr:rowOff>195943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B5CBA2A7-B345-44A8-88C9-EF73A505FFD3}"/>
            </a:ext>
          </a:extLst>
        </xdr:cNvPr>
        <xdr:cNvSpPr/>
      </xdr:nvSpPr>
      <xdr:spPr>
        <a:xfrm>
          <a:off x="3664857" y="5011057"/>
          <a:ext cx="641712" cy="174172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301172</xdr:colOff>
      <xdr:row>29</xdr:row>
      <xdr:rowOff>21771</xdr:rowOff>
    </xdr:from>
    <xdr:to>
      <xdr:col>10</xdr:col>
      <xdr:colOff>72027</xdr:colOff>
      <xdr:row>29</xdr:row>
      <xdr:rowOff>195943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2D7FD5A9-BD53-405C-A541-0D4671FD8FC0}"/>
            </a:ext>
          </a:extLst>
        </xdr:cNvPr>
        <xdr:cNvSpPr/>
      </xdr:nvSpPr>
      <xdr:spPr>
        <a:xfrm>
          <a:off x="5744029" y="5011057"/>
          <a:ext cx="641712" cy="174172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348343</xdr:colOff>
      <xdr:row>29</xdr:row>
      <xdr:rowOff>21771</xdr:rowOff>
    </xdr:from>
    <xdr:to>
      <xdr:col>14</xdr:col>
      <xdr:colOff>119198</xdr:colOff>
      <xdr:row>29</xdr:row>
      <xdr:rowOff>195943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BAE2F47D-B687-4CFC-9F90-E044653832C3}"/>
            </a:ext>
          </a:extLst>
        </xdr:cNvPr>
        <xdr:cNvSpPr/>
      </xdr:nvSpPr>
      <xdr:spPr>
        <a:xfrm>
          <a:off x="7877629" y="5011057"/>
          <a:ext cx="641712" cy="174172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308428</xdr:colOff>
      <xdr:row>13</xdr:row>
      <xdr:rowOff>7258</xdr:rowOff>
    </xdr:from>
    <xdr:to>
      <xdr:col>6</xdr:col>
      <xdr:colOff>79283</xdr:colOff>
      <xdr:row>14</xdr:row>
      <xdr:rowOff>1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8E3D9F0-06A1-4964-9346-4747A7E5C72E}"/>
            </a:ext>
          </a:extLst>
        </xdr:cNvPr>
        <xdr:cNvSpPr/>
      </xdr:nvSpPr>
      <xdr:spPr>
        <a:xfrm>
          <a:off x="3108778" y="1893208"/>
          <a:ext cx="643345" cy="168003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301172</xdr:colOff>
      <xdr:row>13</xdr:row>
      <xdr:rowOff>7258</xdr:rowOff>
    </xdr:from>
    <xdr:to>
      <xdr:col>10</xdr:col>
      <xdr:colOff>72027</xdr:colOff>
      <xdr:row>14</xdr:row>
      <xdr:rowOff>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393FCF6-D97D-466D-A626-F9E7CFC59542}"/>
            </a:ext>
          </a:extLst>
        </xdr:cNvPr>
        <xdr:cNvSpPr/>
      </xdr:nvSpPr>
      <xdr:spPr>
        <a:xfrm>
          <a:off x="5189402" y="1893208"/>
          <a:ext cx="643345" cy="168003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348343</xdr:colOff>
      <xdr:row>13</xdr:row>
      <xdr:rowOff>7258</xdr:rowOff>
    </xdr:from>
    <xdr:to>
      <xdr:col>14</xdr:col>
      <xdr:colOff>119198</xdr:colOff>
      <xdr:row>14</xdr:row>
      <xdr:rowOff>1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E3FF6C26-A2D3-4FE8-A442-0540725153FA}"/>
            </a:ext>
          </a:extLst>
        </xdr:cNvPr>
        <xdr:cNvSpPr/>
      </xdr:nvSpPr>
      <xdr:spPr>
        <a:xfrm>
          <a:off x="7324453" y="1893208"/>
          <a:ext cx="643345" cy="168003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308428</xdr:colOff>
      <xdr:row>7</xdr:row>
      <xdr:rowOff>177801</xdr:rowOff>
    </xdr:from>
    <xdr:to>
      <xdr:col>6</xdr:col>
      <xdr:colOff>79283</xdr:colOff>
      <xdr:row>11</xdr:row>
      <xdr:rowOff>21771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EBD0CAE6-E7D5-4D39-9061-E925F959ECEF}"/>
            </a:ext>
          </a:extLst>
        </xdr:cNvPr>
        <xdr:cNvSpPr/>
      </xdr:nvSpPr>
      <xdr:spPr>
        <a:xfrm>
          <a:off x="3108778" y="1145541"/>
          <a:ext cx="643345" cy="548820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301172</xdr:colOff>
      <xdr:row>7</xdr:row>
      <xdr:rowOff>177801</xdr:rowOff>
    </xdr:from>
    <xdr:to>
      <xdr:col>10</xdr:col>
      <xdr:colOff>72027</xdr:colOff>
      <xdr:row>11</xdr:row>
      <xdr:rowOff>21771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E8C8C5FC-4240-42D8-A018-9A125C30B28D}"/>
            </a:ext>
          </a:extLst>
        </xdr:cNvPr>
        <xdr:cNvSpPr/>
      </xdr:nvSpPr>
      <xdr:spPr>
        <a:xfrm>
          <a:off x="5189402" y="1145541"/>
          <a:ext cx="643345" cy="548820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348343</xdr:colOff>
      <xdr:row>7</xdr:row>
      <xdr:rowOff>177801</xdr:rowOff>
    </xdr:from>
    <xdr:to>
      <xdr:col>14</xdr:col>
      <xdr:colOff>119198</xdr:colOff>
      <xdr:row>11</xdr:row>
      <xdr:rowOff>21771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34729B96-7EAB-471A-976E-D9664DC818A4}"/>
            </a:ext>
          </a:extLst>
        </xdr:cNvPr>
        <xdr:cNvSpPr/>
      </xdr:nvSpPr>
      <xdr:spPr>
        <a:xfrm>
          <a:off x="7324453" y="1145541"/>
          <a:ext cx="643345" cy="548820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308428</xdr:colOff>
      <xdr:row>18</xdr:row>
      <xdr:rowOff>3629</xdr:rowOff>
    </xdr:from>
    <xdr:to>
      <xdr:col>6</xdr:col>
      <xdr:colOff>79283</xdr:colOff>
      <xdr:row>18</xdr:row>
      <xdr:rowOff>177801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37560F15-1B13-4342-A5B5-45E8B24BC4B6}"/>
            </a:ext>
          </a:extLst>
        </xdr:cNvPr>
        <xdr:cNvSpPr/>
      </xdr:nvSpPr>
      <xdr:spPr>
        <a:xfrm>
          <a:off x="3108778" y="2716349"/>
          <a:ext cx="643345" cy="170362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301172</xdr:colOff>
      <xdr:row>18</xdr:row>
      <xdr:rowOff>7258</xdr:rowOff>
    </xdr:from>
    <xdr:to>
      <xdr:col>10</xdr:col>
      <xdr:colOff>72027</xdr:colOff>
      <xdr:row>19</xdr:row>
      <xdr:rowOff>1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A860974E-714D-44CB-BBF4-989E121C535A}"/>
            </a:ext>
          </a:extLst>
        </xdr:cNvPr>
        <xdr:cNvSpPr/>
      </xdr:nvSpPr>
      <xdr:spPr>
        <a:xfrm>
          <a:off x="5189402" y="2719978"/>
          <a:ext cx="643345" cy="168003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348343</xdr:colOff>
      <xdr:row>18</xdr:row>
      <xdr:rowOff>3629</xdr:rowOff>
    </xdr:from>
    <xdr:to>
      <xdr:col>14</xdr:col>
      <xdr:colOff>119198</xdr:colOff>
      <xdr:row>18</xdr:row>
      <xdr:rowOff>177801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DC45CB8B-2086-4B44-8F02-896C9F895BD8}"/>
            </a:ext>
          </a:extLst>
        </xdr:cNvPr>
        <xdr:cNvSpPr/>
      </xdr:nvSpPr>
      <xdr:spPr>
        <a:xfrm>
          <a:off x="7324453" y="2716349"/>
          <a:ext cx="643345" cy="170362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308428</xdr:colOff>
      <xdr:row>23</xdr:row>
      <xdr:rowOff>177800</xdr:rowOff>
    </xdr:from>
    <xdr:to>
      <xdr:col>6</xdr:col>
      <xdr:colOff>79283</xdr:colOff>
      <xdr:row>24</xdr:row>
      <xdr:rowOff>170544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814B442C-7DE2-484E-AB0E-7F6D638112BD}"/>
            </a:ext>
          </a:extLst>
        </xdr:cNvPr>
        <xdr:cNvSpPr/>
      </xdr:nvSpPr>
      <xdr:spPr>
        <a:xfrm>
          <a:off x="3108778" y="3629660"/>
          <a:ext cx="643345" cy="171814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301172</xdr:colOff>
      <xdr:row>23</xdr:row>
      <xdr:rowOff>177800</xdr:rowOff>
    </xdr:from>
    <xdr:to>
      <xdr:col>10</xdr:col>
      <xdr:colOff>72027</xdr:colOff>
      <xdr:row>24</xdr:row>
      <xdr:rowOff>170544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CDBBC78C-EBE1-4D2B-A0C1-89875227AF6F}"/>
            </a:ext>
          </a:extLst>
        </xdr:cNvPr>
        <xdr:cNvSpPr/>
      </xdr:nvSpPr>
      <xdr:spPr>
        <a:xfrm>
          <a:off x="5189402" y="3629660"/>
          <a:ext cx="643345" cy="171814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348343</xdr:colOff>
      <xdr:row>23</xdr:row>
      <xdr:rowOff>177800</xdr:rowOff>
    </xdr:from>
    <xdr:to>
      <xdr:col>14</xdr:col>
      <xdr:colOff>119198</xdr:colOff>
      <xdr:row>24</xdr:row>
      <xdr:rowOff>170544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89904119-8959-462A-891C-12C50A460CCE}"/>
            </a:ext>
          </a:extLst>
        </xdr:cNvPr>
        <xdr:cNvSpPr/>
      </xdr:nvSpPr>
      <xdr:spPr>
        <a:xfrm>
          <a:off x="7324453" y="3629660"/>
          <a:ext cx="643345" cy="171814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308428</xdr:colOff>
      <xdr:row>29</xdr:row>
      <xdr:rowOff>21771</xdr:rowOff>
    </xdr:from>
    <xdr:to>
      <xdr:col>6</xdr:col>
      <xdr:colOff>79283</xdr:colOff>
      <xdr:row>29</xdr:row>
      <xdr:rowOff>195943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99724187-D356-4977-A10F-EB9390DE2488}"/>
            </a:ext>
          </a:extLst>
        </xdr:cNvPr>
        <xdr:cNvSpPr/>
      </xdr:nvSpPr>
      <xdr:spPr>
        <a:xfrm>
          <a:off x="3108778" y="4399461"/>
          <a:ext cx="643345" cy="155122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301172</xdr:colOff>
      <xdr:row>29</xdr:row>
      <xdr:rowOff>21771</xdr:rowOff>
    </xdr:from>
    <xdr:to>
      <xdr:col>10</xdr:col>
      <xdr:colOff>72027</xdr:colOff>
      <xdr:row>29</xdr:row>
      <xdr:rowOff>195943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3C4FCF9D-0150-42BB-BEF8-0D5493CDA64E}"/>
            </a:ext>
          </a:extLst>
        </xdr:cNvPr>
        <xdr:cNvSpPr/>
      </xdr:nvSpPr>
      <xdr:spPr>
        <a:xfrm>
          <a:off x="5189402" y="4399461"/>
          <a:ext cx="643345" cy="155122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348343</xdr:colOff>
      <xdr:row>29</xdr:row>
      <xdr:rowOff>21771</xdr:rowOff>
    </xdr:from>
    <xdr:to>
      <xdr:col>14</xdr:col>
      <xdr:colOff>119198</xdr:colOff>
      <xdr:row>29</xdr:row>
      <xdr:rowOff>195943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7B3DDBC9-5F03-4742-9FB8-86F36DA3CD1A}"/>
            </a:ext>
          </a:extLst>
        </xdr:cNvPr>
        <xdr:cNvSpPr/>
      </xdr:nvSpPr>
      <xdr:spPr>
        <a:xfrm>
          <a:off x="7324453" y="4399461"/>
          <a:ext cx="643345" cy="155122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-AV/UTDT/MFIN/2020%20MFIN/Curso%20FC/5-IPO/Clase/Facebook%20IPO_anali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1"/>
      <sheetName val="Ex3 "/>
      <sheetName val="Ex4"/>
      <sheetName val="Ex5"/>
      <sheetName val="Ex6"/>
      <sheetName val="Shareholders (Ex8)"/>
      <sheetName val="Ex9"/>
      <sheetName val="Ex10"/>
      <sheetName val="DCF (Ex11)"/>
      <sheetName val="Comps (Ex12)"/>
      <sheetName val="Financials (Ex2)"/>
      <sheetName val="Model"/>
      <sheetName val="DCF"/>
      <sheetName val="WACC"/>
      <sheetName val="AVP"/>
      <sheetName val="Anex I. IPO terms"/>
      <sheetName val="Anex II. Prospectus--&gt;"/>
      <sheetName val="IPO Cash Flow"/>
      <sheetName val="IPO P&amp;L"/>
      <sheetName val="IPO Bce Sheet"/>
      <sheetName val="IPO Equ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>
        <row r="250">
          <cell r="E250">
            <v>0.39880952380952384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baseColWidth="10" defaultColWidth="8.83984375" defaultRowHeight="14.4" x14ac:dyDescent="0.55000000000000004"/>
  <sheetData>
    <row r="1" spans="1:2" x14ac:dyDescent="0.55000000000000004">
      <c r="B1" t="s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08DF-34EE-42E2-A227-083D747B2EEC}">
  <dimension ref="A1:I30"/>
  <sheetViews>
    <sheetView showGridLines="0" zoomScale="77" zoomScaleNormal="77" workbookViewId="0">
      <selection activeCell="A29" sqref="A29"/>
    </sheetView>
  </sheetViews>
  <sheetFormatPr baseColWidth="10" defaultColWidth="8.68359375" defaultRowHeight="15.3" outlineLevelRow="1" x14ac:dyDescent="0.55000000000000004"/>
  <cols>
    <col min="1" max="1" width="11.7890625" style="240" customWidth="1"/>
    <col min="2" max="2" width="22.26171875" style="240" customWidth="1"/>
    <col min="3" max="9" width="11.20703125" style="240" customWidth="1"/>
    <col min="10" max="16384" width="8.68359375" style="240"/>
  </cols>
  <sheetData>
    <row r="1" spans="1:9" x14ac:dyDescent="0.55000000000000004">
      <c r="A1" s="239" t="s">
        <v>183</v>
      </c>
    </row>
    <row r="2" spans="1:9" ht="18.600000000000001" customHeight="1" thickBot="1" x14ac:dyDescent="0.6">
      <c r="A2" s="241"/>
      <c r="B2" s="241"/>
      <c r="C2" s="241"/>
      <c r="D2" s="241"/>
      <c r="E2" s="241"/>
      <c r="F2" s="241"/>
      <c r="G2" s="241"/>
      <c r="H2" s="241"/>
      <c r="I2" s="241"/>
    </row>
    <row r="3" spans="1:9" ht="19.2" customHeight="1" thickTop="1" thickBot="1" x14ac:dyDescent="0.6">
      <c r="A3" s="242"/>
      <c r="B3" s="243"/>
      <c r="C3" s="243">
        <v>2009</v>
      </c>
      <c r="D3" s="243">
        <f t="shared" ref="D3:I3" si="0">C3+1</f>
        <v>2010</v>
      </c>
      <c r="E3" s="243">
        <f t="shared" si="0"/>
        <v>2011</v>
      </c>
      <c r="F3" s="243">
        <f t="shared" si="0"/>
        <v>2012</v>
      </c>
      <c r="G3" s="243">
        <f t="shared" si="0"/>
        <v>2013</v>
      </c>
      <c r="H3" s="243">
        <f t="shared" si="0"/>
        <v>2014</v>
      </c>
      <c r="I3" s="243">
        <f t="shared" si="0"/>
        <v>2015</v>
      </c>
    </row>
    <row r="4" spans="1:9" ht="6.6" customHeight="1" x14ac:dyDescent="0.55000000000000004">
      <c r="A4" s="244"/>
      <c r="I4" s="245"/>
    </row>
    <row r="5" spans="1:9" x14ac:dyDescent="0.55000000000000004">
      <c r="A5" s="246" t="s">
        <v>75</v>
      </c>
      <c r="C5" s="247">
        <v>233</v>
      </c>
      <c r="D5" s="247">
        <v>379</v>
      </c>
      <c r="E5" s="247">
        <v>978</v>
      </c>
      <c r="F5" s="247">
        <v>8345</v>
      </c>
      <c r="G5" s="247">
        <v>15335</v>
      </c>
      <c r="H5" s="247">
        <v>29493</v>
      </c>
      <c r="I5" s="247">
        <v>50026</v>
      </c>
    </row>
    <row r="6" spans="1:9" x14ac:dyDescent="0.55000000000000004">
      <c r="A6" s="248" t="s">
        <v>76</v>
      </c>
      <c r="C6" s="247">
        <v>162</v>
      </c>
      <c r="D6" s="247">
        <v>286</v>
      </c>
      <c r="E6" s="247">
        <v>705</v>
      </c>
      <c r="F6" s="247">
        <v>6331</v>
      </c>
      <c r="G6" s="247">
        <v>11434</v>
      </c>
      <c r="H6" s="247">
        <v>21311</v>
      </c>
      <c r="I6" s="247">
        <v>34780</v>
      </c>
    </row>
    <row r="7" spans="1:9" outlineLevel="1" x14ac:dyDescent="0.55000000000000004">
      <c r="A7" s="258" t="s">
        <v>77</v>
      </c>
      <c r="B7" s="259"/>
      <c r="C7" s="260">
        <f>C6/C$5</f>
        <v>0.69527896995708149</v>
      </c>
      <c r="D7" s="260">
        <f t="shared" ref="D7:I7" si="1">D6/D5</f>
        <v>0.75461741424802109</v>
      </c>
      <c r="E7" s="260">
        <f t="shared" si="1"/>
        <v>0.72085889570552142</v>
      </c>
      <c r="F7" s="260">
        <f t="shared" si="1"/>
        <v>0.75865787896944281</v>
      </c>
      <c r="G7" s="260">
        <f t="shared" si="1"/>
        <v>0.74561460710792304</v>
      </c>
      <c r="H7" s="260">
        <f t="shared" si="1"/>
        <v>0.72257823890414674</v>
      </c>
      <c r="I7" s="260">
        <f t="shared" si="1"/>
        <v>0.6952384759924839</v>
      </c>
    </row>
    <row r="8" spans="1:9" x14ac:dyDescent="0.55000000000000004">
      <c r="A8" s="249" t="s">
        <v>78</v>
      </c>
      <c r="B8" s="250"/>
      <c r="C8" s="251">
        <f t="shared" ref="C8:I8" si="2">C5-C6</f>
        <v>71</v>
      </c>
      <c r="D8" s="251">
        <f t="shared" si="2"/>
        <v>93</v>
      </c>
      <c r="E8" s="251">
        <f t="shared" si="2"/>
        <v>273</v>
      </c>
      <c r="F8" s="251">
        <f t="shared" si="2"/>
        <v>2014</v>
      </c>
      <c r="G8" s="251">
        <f t="shared" si="2"/>
        <v>3901</v>
      </c>
      <c r="H8" s="251">
        <f t="shared" si="2"/>
        <v>8182</v>
      </c>
      <c r="I8" s="251">
        <f t="shared" si="2"/>
        <v>15246</v>
      </c>
    </row>
    <row r="9" spans="1:9" x14ac:dyDescent="0.55000000000000004">
      <c r="A9" s="258" t="s">
        <v>79</v>
      </c>
      <c r="B9" s="259"/>
      <c r="C9" s="260">
        <f>C8/C$5</f>
        <v>0.30472103004291845</v>
      </c>
      <c r="D9" s="260">
        <f t="shared" ref="D9:I9" si="3">D8/D$5</f>
        <v>0.24538258575197888</v>
      </c>
      <c r="E9" s="260">
        <f t="shared" si="3"/>
        <v>0.27914110429447853</v>
      </c>
      <c r="F9" s="260">
        <f t="shared" si="3"/>
        <v>0.24134212103055722</v>
      </c>
      <c r="G9" s="260">
        <f t="shared" si="3"/>
        <v>0.25438539289207696</v>
      </c>
      <c r="H9" s="260">
        <f t="shared" si="3"/>
        <v>0.27742176109585326</v>
      </c>
      <c r="I9" s="260">
        <f t="shared" si="3"/>
        <v>0.3047615240075161</v>
      </c>
    </row>
    <row r="10" spans="1:9" x14ac:dyDescent="0.55000000000000004">
      <c r="A10" s="248" t="s">
        <v>80</v>
      </c>
      <c r="C10" s="247">
        <v>1</v>
      </c>
      <c r="D10" s="247">
        <v>12</v>
      </c>
      <c r="E10" s="247">
        <v>85</v>
      </c>
      <c r="F10" s="247">
        <v>920</v>
      </c>
      <c r="G10" s="247">
        <v>1675</v>
      </c>
      <c r="H10" s="247">
        <v>3481</v>
      </c>
      <c r="I10" s="247">
        <v>4804</v>
      </c>
    </row>
    <row r="11" spans="1:9" x14ac:dyDescent="0.55000000000000004">
      <c r="A11" s="258" t="s">
        <v>81</v>
      </c>
      <c r="B11" s="259"/>
      <c r="C11" s="260">
        <f>C10/C$5</f>
        <v>4.2918454935622317E-3</v>
      </c>
      <c r="D11" s="260">
        <f t="shared" ref="D11" si="4">D10/D$5</f>
        <v>3.1662269129287601E-2</v>
      </c>
      <c r="E11" s="260">
        <f t="shared" ref="E11" si="5">E10/E$5</f>
        <v>8.6912065439672795E-2</v>
      </c>
      <c r="F11" s="260">
        <f t="shared" ref="F11" si="6">F10/F$5</f>
        <v>0.11024565608148593</v>
      </c>
      <c r="G11" s="260">
        <f t="shared" ref="G11" si="7">G10/G$5</f>
        <v>0.10922725790674927</v>
      </c>
      <c r="H11" s="260">
        <f t="shared" ref="H11" si="8">H10/H$5</f>
        <v>0.11802800664564472</v>
      </c>
      <c r="I11" s="260">
        <f t="shared" ref="I11" si="9">I10/I$5</f>
        <v>9.6030064366529402E-2</v>
      </c>
    </row>
    <row r="12" spans="1:9" x14ac:dyDescent="0.55000000000000004">
      <c r="A12" s="246" t="s">
        <v>82</v>
      </c>
      <c r="C12" s="247">
        <v>82</v>
      </c>
      <c r="D12" s="247">
        <v>90</v>
      </c>
      <c r="E12" s="247">
        <v>191</v>
      </c>
      <c r="F12" s="247">
        <v>990</v>
      </c>
      <c r="G12" s="247">
        <v>1730</v>
      </c>
      <c r="H12" s="247">
        <v>4032</v>
      </c>
      <c r="I12" s="247">
        <v>6410</v>
      </c>
    </row>
    <row r="13" spans="1:9" x14ac:dyDescent="0.55000000000000004">
      <c r="A13" s="258" t="s">
        <v>83</v>
      </c>
      <c r="B13" s="259"/>
      <c r="C13" s="260">
        <f>C12/C$5</f>
        <v>0.35193133047210301</v>
      </c>
      <c r="D13" s="260">
        <f t="shared" ref="D13" si="10">D12/D$5</f>
        <v>0.23746701846965698</v>
      </c>
      <c r="E13" s="260">
        <f t="shared" ref="E13" si="11">E12/E$5</f>
        <v>0.19529652351738241</v>
      </c>
      <c r="F13" s="260">
        <f t="shared" ref="F13" si="12">F12/F$5</f>
        <v>0.11863391252246855</v>
      </c>
      <c r="G13" s="260">
        <f t="shared" ref="G13" si="13">G12/G$5</f>
        <v>0.11281382458428432</v>
      </c>
      <c r="H13" s="260">
        <f t="shared" ref="H13" si="14">H12/H$5</f>
        <v>0.13671040585901739</v>
      </c>
      <c r="I13" s="260">
        <f t="shared" ref="I13" si="15">I12/I$5</f>
        <v>0.12813337064726343</v>
      </c>
    </row>
    <row r="14" spans="1:9" x14ac:dyDescent="0.55000000000000004">
      <c r="A14" s="252" t="s">
        <v>7</v>
      </c>
      <c r="B14" s="250"/>
      <c r="C14" s="251">
        <f t="shared" ref="C14:I14" si="16">C8-C10-C12</f>
        <v>-12</v>
      </c>
      <c r="D14" s="251">
        <f t="shared" si="16"/>
        <v>-9</v>
      </c>
      <c r="E14" s="251">
        <f t="shared" si="16"/>
        <v>-3</v>
      </c>
      <c r="F14" s="251">
        <f t="shared" si="16"/>
        <v>104</v>
      </c>
      <c r="G14" s="251">
        <f t="shared" si="16"/>
        <v>496</v>
      </c>
      <c r="H14" s="251">
        <f t="shared" si="16"/>
        <v>669</v>
      </c>
      <c r="I14" s="251">
        <f t="shared" si="16"/>
        <v>4032</v>
      </c>
    </row>
    <row r="15" spans="1:9" x14ac:dyDescent="0.55000000000000004">
      <c r="A15" s="258" t="s">
        <v>84</v>
      </c>
      <c r="B15" s="259"/>
      <c r="C15" s="260">
        <f>C14/C$5</f>
        <v>-5.1502145922746781E-2</v>
      </c>
      <c r="D15" s="260">
        <f t="shared" ref="D15" si="17">D14/D$5</f>
        <v>-2.3746701846965697E-2</v>
      </c>
      <c r="E15" s="260">
        <f t="shared" ref="E15" si="18">E14/E$5</f>
        <v>-3.0674846625766872E-3</v>
      </c>
      <c r="F15" s="260">
        <f t="shared" ref="F15" si="19">F14/F$5</f>
        <v>1.2462552426602757E-2</v>
      </c>
      <c r="G15" s="260">
        <f t="shared" ref="G15" si="20">G14/G$5</f>
        <v>3.2344310401043366E-2</v>
      </c>
      <c r="H15" s="260">
        <f t="shared" ref="H15" si="21">H14/H$5</f>
        <v>2.268334859119113E-2</v>
      </c>
      <c r="I15" s="260">
        <f t="shared" ref="I15" si="22">I14/I$5</f>
        <v>8.0598088993723269E-2</v>
      </c>
    </row>
    <row r="16" spans="1:9" x14ac:dyDescent="0.55000000000000004">
      <c r="A16" s="246" t="s">
        <v>85</v>
      </c>
      <c r="C16" s="247">
        <v>0</v>
      </c>
      <c r="D16" s="247">
        <v>0</v>
      </c>
      <c r="E16" s="247">
        <v>0</v>
      </c>
      <c r="F16" s="247">
        <v>11</v>
      </c>
      <c r="G16" s="247">
        <v>168</v>
      </c>
      <c r="H16" s="247">
        <v>227</v>
      </c>
      <c r="I16" s="247">
        <v>1371</v>
      </c>
    </row>
    <row r="17" spans="1:9" ht="15.6" thickBot="1" x14ac:dyDescent="0.6">
      <c r="A17" s="253" t="s">
        <v>16</v>
      </c>
      <c r="B17" s="241"/>
      <c r="C17" s="254">
        <f t="shared" ref="C17:I17" si="23">C14-C16</f>
        <v>-12</v>
      </c>
      <c r="D17" s="254">
        <f t="shared" si="23"/>
        <v>-9</v>
      </c>
      <c r="E17" s="254">
        <f t="shared" si="23"/>
        <v>-3</v>
      </c>
      <c r="F17" s="254">
        <f t="shared" si="23"/>
        <v>93</v>
      </c>
      <c r="G17" s="254">
        <f t="shared" si="23"/>
        <v>328</v>
      </c>
      <c r="H17" s="254">
        <f t="shared" si="23"/>
        <v>442</v>
      </c>
      <c r="I17" s="254">
        <f t="shared" si="23"/>
        <v>2661</v>
      </c>
    </row>
    <row r="18" spans="1:9" ht="15.6" thickTop="1" x14ac:dyDescent="0.55000000000000004">
      <c r="A18" s="258" t="s">
        <v>86</v>
      </c>
      <c r="B18" s="259"/>
      <c r="C18" s="260">
        <f>C17/C$5</f>
        <v>-5.1502145922746781E-2</v>
      </c>
      <c r="D18" s="260">
        <f t="shared" ref="D18" si="24">D17/D$5</f>
        <v>-2.3746701846965697E-2</v>
      </c>
      <c r="E18" s="260">
        <f t="shared" ref="E18" si="25">E17/E$5</f>
        <v>-3.0674846625766872E-3</v>
      </c>
      <c r="F18" s="260">
        <f t="shared" ref="F18" si="26">F17/F$5</f>
        <v>1.1144397843019772E-2</v>
      </c>
      <c r="G18" s="260">
        <f t="shared" ref="G18" si="27">G17/G$5</f>
        <v>2.1388979458754485E-2</v>
      </c>
      <c r="H18" s="260">
        <f t="shared" ref="H18" si="28">H17/H$5</f>
        <v>1.4986606991489506E-2</v>
      </c>
      <c r="I18" s="260">
        <f t="shared" ref="I18" si="29">I17/I$5</f>
        <v>5.3192339983208735E-2</v>
      </c>
    </row>
    <row r="19" spans="1:9" ht="3.9" customHeight="1" x14ac:dyDescent="0.55000000000000004">
      <c r="A19" s="246"/>
      <c r="C19" s="247"/>
      <c r="D19" s="247"/>
      <c r="E19" s="247"/>
      <c r="F19" s="247"/>
      <c r="G19" s="247"/>
      <c r="H19" s="247"/>
      <c r="I19" s="247"/>
    </row>
    <row r="20" spans="1:9" x14ac:dyDescent="0.55000000000000004">
      <c r="A20" s="246" t="s">
        <v>90</v>
      </c>
      <c r="C20" s="247">
        <v>21</v>
      </c>
      <c r="D20" s="247">
        <v>28</v>
      </c>
      <c r="E20" s="247">
        <v>138</v>
      </c>
      <c r="F20" s="247">
        <v>1245</v>
      </c>
      <c r="G20" s="247">
        <v>2153</v>
      </c>
      <c r="H20" s="247">
        <v>3339</v>
      </c>
      <c r="I20" s="247">
        <v>5003</v>
      </c>
    </row>
    <row r="21" spans="1:9" x14ac:dyDescent="0.55000000000000004">
      <c r="A21" s="258" t="s">
        <v>87</v>
      </c>
      <c r="B21" s="259"/>
      <c r="C21" s="260">
        <f>C20/C$5</f>
        <v>9.012875536480687E-2</v>
      </c>
      <c r="D21" s="260">
        <f t="shared" ref="D21" si="30">D20/D$5</f>
        <v>7.3878627968337732E-2</v>
      </c>
      <c r="E21" s="260">
        <f t="shared" ref="E21" si="31">E20/E$5</f>
        <v>0.1411042944785276</v>
      </c>
      <c r="F21" s="260">
        <f t="shared" ref="F21" si="32">F20/F$5</f>
        <v>0.14919113241461954</v>
      </c>
      <c r="G21" s="260">
        <f t="shared" ref="G21" si="33">G20/G$5</f>
        <v>0.14039778284969026</v>
      </c>
      <c r="H21" s="260">
        <f t="shared" ref="H21" si="34">H20/H$5</f>
        <v>0.11321330485199878</v>
      </c>
      <c r="I21" s="260">
        <f t="shared" ref="I21" si="35">I20/I$5</f>
        <v>0.10000799584216208</v>
      </c>
    </row>
    <row r="22" spans="1:9" x14ac:dyDescent="0.55000000000000004">
      <c r="A22" s="252" t="s">
        <v>88</v>
      </c>
      <c r="B22" s="250"/>
      <c r="C22" s="251">
        <f t="shared" ref="C22:I22" si="36">C20-B20</f>
        <v>21</v>
      </c>
      <c r="D22" s="251">
        <f t="shared" si="36"/>
        <v>7</v>
      </c>
      <c r="E22" s="251">
        <f t="shared" si="36"/>
        <v>110</v>
      </c>
      <c r="F22" s="251">
        <f t="shared" si="36"/>
        <v>1107</v>
      </c>
      <c r="G22" s="251">
        <f t="shared" si="36"/>
        <v>908</v>
      </c>
      <c r="H22" s="251">
        <f t="shared" si="36"/>
        <v>1186</v>
      </c>
      <c r="I22" s="251">
        <f t="shared" si="36"/>
        <v>1664</v>
      </c>
    </row>
    <row r="23" spans="1:9" x14ac:dyDescent="0.55000000000000004">
      <c r="A23" s="255"/>
      <c r="B23" s="256"/>
      <c r="C23" s="257"/>
      <c r="D23" s="257"/>
      <c r="E23" s="257"/>
      <c r="F23" s="257"/>
      <c r="G23" s="257"/>
      <c r="H23" s="257"/>
      <c r="I23" s="257"/>
    </row>
    <row r="24" spans="1:9" x14ac:dyDescent="0.55000000000000004">
      <c r="A24" s="255" t="s">
        <v>89</v>
      </c>
      <c r="B24" s="256"/>
      <c r="C24" s="257">
        <f t="shared" ref="C24:I24" si="37">C17-C22</f>
        <v>-33</v>
      </c>
      <c r="D24" s="257">
        <f t="shared" si="37"/>
        <v>-16</v>
      </c>
      <c r="E24" s="257">
        <f t="shared" si="37"/>
        <v>-113</v>
      </c>
      <c r="F24" s="257">
        <f t="shared" si="37"/>
        <v>-1014</v>
      </c>
      <c r="G24" s="257">
        <f t="shared" si="37"/>
        <v>-580</v>
      </c>
      <c r="H24" s="257">
        <f t="shared" si="37"/>
        <v>-744</v>
      </c>
      <c r="I24" s="257">
        <f t="shared" si="37"/>
        <v>997</v>
      </c>
    </row>
    <row r="25" spans="1:9" x14ac:dyDescent="0.55000000000000004">
      <c r="A25" s="244"/>
    </row>
    <row r="26" spans="1:9" x14ac:dyDescent="0.55000000000000004">
      <c r="A26" s="244"/>
    </row>
    <row r="27" spans="1:9" x14ac:dyDescent="0.55000000000000004">
      <c r="A27" s="261" t="s">
        <v>91</v>
      </c>
    </row>
    <row r="28" spans="1:9" x14ac:dyDescent="0.55000000000000004">
      <c r="A28" s="261"/>
    </row>
    <row r="29" spans="1:9" x14ac:dyDescent="0.55000000000000004">
      <c r="A29" s="261" t="s">
        <v>92</v>
      </c>
    </row>
    <row r="30" spans="1:9" x14ac:dyDescent="0.55000000000000004">
      <c r="A30" s="24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8D1B-7A9E-4CDC-A992-597C28EF26FD}">
  <dimension ref="A1:IU89"/>
  <sheetViews>
    <sheetView showGridLines="0" zoomScale="99" zoomScaleNormal="99" workbookViewId="0">
      <selection activeCell="M1" sqref="M1"/>
    </sheetView>
  </sheetViews>
  <sheetFormatPr baseColWidth="10" defaultColWidth="8.68359375" defaultRowHeight="15.6" x14ac:dyDescent="0.6"/>
  <cols>
    <col min="1" max="1" width="5.68359375" style="9" customWidth="1"/>
    <col min="2" max="2" width="12.47265625" style="9" customWidth="1"/>
    <col min="3" max="4" width="9.578125" style="9" customWidth="1"/>
    <col min="5" max="5" width="1.62890625" style="9" customWidth="1"/>
    <col min="6" max="6" width="8.20703125" style="9" customWidth="1"/>
    <col min="7" max="15" width="8.15625" style="9" customWidth="1"/>
    <col min="16" max="18" width="9.26171875" style="9" customWidth="1"/>
    <col min="19" max="19" width="0.7890625" style="9" customWidth="1"/>
    <col min="20" max="20" width="4.89453125" style="9" customWidth="1"/>
    <col min="21" max="21" width="9.5234375" style="9" customWidth="1"/>
    <col min="22" max="22" width="6.7890625" style="9" bestFit="1" customWidth="1"/>
    <col min="23" max="255" width="8.68359375" style="9"/>
    <col min="256" max="16384" width="8.68359375" style="3"/>
  </cols>
  <sheetData>
    <row r="1" spans="1:255" ht="20.7" thickBot="1" x14ac:dyDescent="0.8">
      <c r="A1" s="4" t="s">
        <v>238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6"/>
      <c r="R1" s="6"/>
      <c r="S1" s="6"/>
      <c r="T1" s="6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</row>
    <row r="2" spans="1:255" ht="15.9" thickTop="1" x14ac:dyDescent="0.6">
      <c r="A2" s="202" t="s">
        <v>157</v>
      </c>
    </row>
    <row r="3" spans="1:255" ht="10.5" customHeight="1" thickBot="1" x14ac:dyDescent="0.65">
      <c r="A3" s="10"/>
    </row>
    <row r="4" spans="1:255" ht="16.2" thickTop="1" thickBot="1" x14ac:dyDescent="0.65">
      <c r="G4" s="11" t="s">
        <v>17</v>
      </c>
      <c r="H4" s="12"/>
      <c r="I4" s="12"/>
      <c r="J4" s="101" t="s">
        <v>18</v>
      </c>
      <c r="K4" s="102"/>
      <c r="L4" s="102"/>
      <c r="M4" s="102"/>
      <c r="N4" s="102"/>
      <c r="O4" s="102"/>
      <c r="P4" s="102"/>
      <c r="Q4" s="102"/>
      <c r="R4" s="103"/>
    </row>
    <row r="5" spans="1:255" ht="5.4" customHeight="1" x14ac:dyDescent="0.6"/>
    <row r="6" spans="1:255" ht="14.7" customHeight="1" thickBot="1" x14ac:dyDescent="0.65">
      <c r="N6" s="110" t="s">
        <v>93</v>
      </c>
      <c r="O6" s="110"/>
      <c r="P6" s="110"/>
      <c r="Q6" s="110"/>
      <c r="R6" s="110"/>
      <c r="T6" s="113" t="s">
        <v>19</v>
      </c>
    </row>
    <row r="7" spans="1:255" x14ac:dyDescent="0.6">
      <c r="G7" s="13">
        <v>2009</v>
      </c>
      <c r="H7" s="13">
        <v>2010</v>
      </c>
      <c r="I7" s="13">
        <v>2011</v>
      </c>
      <c r="J7" s="13">
        <v>2012</v>
      </c>
      <c r="K7" s="13">
        <f t="shared" ref="K7:R7" si="0">J7+1</f>
        <v>2013</v>
      </c>
      <c r="L7" s="13">
        <f t="shared" si="0"/>
        <v>2014</v>
      </c>
      <c r="M7" s="13">
        <f t="shared" si="0"/>
        <v>2015</v>
      </c>
      <c r="N7" s="112">
        <f t="shared" si="0"/>
        <v>2016</v>
      </c>
      <c r="O7" s="112">
        <f t="shared" si="0"/>
        <v>2017</v>
      </c>
      <c r="P7" s="112">
        <f t="shared" si="0"/>
        <v>2018</v>
      </c>
      <c r="Q7" s="112">
        <f t="shared" si="0"/>
        <v>2019</v>
      </c>
      <c r="R7" s="112">
        <f t="shared" si="0"/>
        <v>2020</v>
      </c>
      <c r="T7" s="114" t="s">
        <v>95</v>
      </c>
    </row>
    <row r="8" spans="1:255" x14ac:dyDescent="0.6">
      <c r="G8" s="15"/>
      <c r="H8" s="15"/>
      <c r="I8" s="15"/>
      <c r="J8" s="15"/>
      <c r="K8" s="15"/>
      <c r="L8" s="15"/>
      <c r="M8" s="15"/>
      <c r="N8" s="15"/>
      <c r="O8" s="15"/>
    </row>
    <row r="9" spans="1:255" x14ac:dyDescent="0.6">
      <c r="A9" s="9" t="s">
        <v>6</v>
      </c>
      <c r="G9" s="16">
        <f>'Exhibit 6'!C5</f>
        <v>233</v>
      </c>
      <c r="H9" s="16">
        <f>'Exhibit 6'!D5</f>
        <v>379</v>
      </c>
      <c r="I9" s="16">
        <f>'Exhibit 6'!E5</f>
        <v>978</v>
      </c>
      <c r="J9" s="16">
        <f>'Exhibit 6'!F5</f>
        <v>8345</v>
      </c>
      <c r="K9" s="16">
        <f>'Exhibit 6'!G5</f>
        <v>15335</v>
      </c>
      <c r="L9" s="16">
        <f>'Exhibit 6'!H5</f>
        <v>29493</v>
      </c>
      <c r="M9" s="16">
        <f>'Exhibit 6'!I5</f>
        <v>50026</v>
      </c>
      <c r="N9" s="16">
        <f>M9*(1+N10)</f>
        <v>70281.527400000006</v>
      </c>
      <c r="O9" s="16">
        <f>N9*(1+O10)</f>
        <v>84337.832880000002</v>
      </c>
      <c r="P9" s="16">
        <f>O9*(1+P10)</f>
        <v>92771.616168000008</v>
      </c>
      <c r="Q9" s="16">
        <f>P9*(1+Q10)</f>
        <v>97410.19697640001</v>
      </c>
      <c r="R9" s="16">
        <f>Q9*(1+R10)</f>
        <v>100332.50288569201</v>
      </c>
      <c r="T9" s="17">
        <f>((R9/J9)^(1/8)-1)</f>
        <v>0.36458914786590557</v>
      </c>
    </row>
    <row r="10" spans="1:255" s="314" customFormat="1" x14ac:dyDescent="0.6">
      <c r="A10" s="311" t="s">
        <v>20</v>
      </c>
      <c r="B10" s="25"/>
      <c r="C10" s="25"/>
      <c r="D10" s="25"/>
      <c r="E10" s="25"/>
      <c r="F10" s="25"/>
      <c r="G10" s="312" t="s">
        <v>94</v>
      </c>
      <c r="H10" s="313">
        <f>H9/G9-1</f>
        <v>0.62660944206008584</v>
      </c>
      <c r="I10" s="313">
        <f t="shared" ref="I10:M10" si="1">I9/H9-1</f>
        <v>1.5804749340369395</v>
      </c>
      <c r="J10" s="313">
        <f t="shared" si="1"/>
        <v>7.5327198364008172</v>
      </c>
      <c r="K10" s="313">
        <f t="shared" si="1"/>
        <v>0.83762732174955068</v>
      </c>
      <c r="L10" s="313">
        <f t="shared" si="1"/>
        <v>0.92324747310074984</v>
      </c>
      <c r="M10" s="313">
        <f t="shared" si="1"/>
        <v>0.69619909809107239</v>
      </c>
      <c r="N10" s="315">
        <v>0.40489999999999998</v>
      </c>
      <c r="O10" s="315">
        <v>0.2</v>
      </c>
      <c r="P10" s="315">
        <v>0.1</v>
      </c>
      <c r="Q10" s="315">
        <v>0.05</v>
      </c>
      <c r="R10" s="315">
        <v>0.03</v>
      </c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</row>
    <row r="11" spans="1:255" ht="7.2" customHeight="1" x14ac:dyDescent="0.6">
      <c r="U11" s="19"/>
    </row>
    <row r="12" spans="1:255" x14ac:dyDescent="0.6">
      <c r="A12" s="9" t="s">
        <v>12</v>
      </c>
      <c r="G12" s="16">
        <f>G15+G20</f>
        <v>-12</v>
      </c>
      <c r="H12" s="16">
        <f t="shared" ref="H12:M12" si="2">H15+H20</f>
        <v>-9</v>
      </c>
      <c r="I12" s="16">
        <f t="shared" si="2"/>
        <v>-3</v>
      </c>
      <c r="J12" s="16">
        <f t="shared" si="2"/>
        <v>104</v>
      </c>
      <c r="K12" s="16">
        <f t="shared" si="2"/>
        <v>496</v>
      </c>
      <c r="L12" s="16">
        <f t="shared" si="2"/>
        <v>669</v>
      </c>
      <c r="M12" s="16">
        <f t="shared" si="2"/>
        <v>4032</v>
      </c>
      <c r="N12" s="16">
        <f>N9*N13</f>
        <v>6077.8390428000012</v>
      </c>
      <c r="O12" s="16">
        <f t="shared" ref="O12:R12" si="3">O9*O13</f>
        <v>7789.3455427200006</v>
      </c>
      <c r="P12" s="16">
        <f t="shared" si="3"/>
        <v>9113.8126574880025</v>
      </c>
      <c r="Q12" s="16">
        <f t="shared" si="3"/>
        <v>10142.312478883203</v>
      </c>
      <c r="R12" s="16">
        <f t="shared" si="3"/>
        <v>11036.575317426121</v>
      </c>
      <c r="T12" s="17">
        <f>((R12/J12)^(1/8)-1)</f>
        <v>0.79153428598964504</v>
      </c>
      <c r="U12" s="19"/>
    </row>
    <row r="13" spans="1:255" s="314" customFormat="1" x14ac:dyDescent="0.6">
      <c r="A13" s="311" t="s">
        <v>21</v>
      </c>
      <c r="B13" s="25"/>
      <c r="C13" s="25"/>
      <c r="D13" s="25"/>
      <c r="E13" s="25"/>
      <c r="F13" s="25"/>
      <c r="G13" s="313">
        <f t="shared" ref="G13:M13" si="4">G12/G9</f>
        <v>-5.1502145922746781E-2</v>
      </c>
      <c r="H13" s="313">
        <f t="shared" si="4"/>
        <v>-2.3746701846965697E-2</v>
      </c>
      <c r="I13" s="313">
        <f t="shared" si="4"/>
        <v>-3.0674846625766872E-3</v>
      </c>
      <c r="J13" s="313">
        <f t="shared" si="4"/>
        <v>1.2462552426602757E-2</v>
      </c>
      <c r="K13" s="313">
        <f t="shared" si="4"/>
        <v>3.2344310401043366E-2</v>
      </c>
      <c r="L13" s="313">
        <f t="shared" si="4"/>
        <v>2.268334859119113E-2</v>
      </c>
      <c r="M13" s="313">
        <f t="shared" si="4"/>
        <v>8.0598088993723269E-2</v>
      </c>
      <c r="N13" s="316">
        <f>($R$13-$M$13)/5+M13</f>
        <v>8.6478471194978618E-2</v>
      </c>
      <c r="O13" s="316">
        <f>($R$13-$M$13)/5+N13</f>
        <v>9.2358853396233967E-2</v>
      </c>
      <c r="P13" s="316">
        <f>($R$13-$M$13)/5+O13</f>
        <v>9.8239235597489316E-2</v>
      </c>
      <c r="Q13" s="316">
        <f>($R$13-$M$13)/5+P13</f>
        <v>0.10411961779874467</v>
      </c>
      <c r="R13" s="315">
        <v>0.11</v>
      </c>
      <c r="S13" s="25"/>
      <c r="T13" s="25"/>
      <c r="U13" s="317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</row>
    <row r="14" spans="1:255" ht="7.2" customHeight="1" x14ac:dyDescent="0.6">
      <c r="U14" s="19"/>
    </row>
    <row r="15" spans="1:255" x14ac:dyDescent="0.6">
      <c r="A15" s="9" t="s">
        <v>11</v>
      </c>
      <c r="G15" s="16">
        <f>'Exhibit 6'!C14</f>
        <v>-12</v>
      </c>
      <c r="H15" s="16">
        <f>'Exhibit 6'!D14</f>
        <v>-9</v>
      </c>
      <c r="I15" s="16">
        <f>'Exhibit 6'!E14</f>
        <v>-3</v>
      </c>
      <c r="J15" s="16">
        <f>'Exhibit 6'!F14</f>
        <v>104</v>
      </c>
      <c r="K15" s="16">
        <f>'Exhibit 6'!G14</f>
        <v>496</v>
      </c>
      <c r="L15" s="16">
        <f>'Exhibit 6'!H14</f>
        <v>669</v>
      </c>
      <c r="M15" s="16">
        <f>'Exhibit 6'!I14</f>
        <v>4032</v>
      </c>
      <c r="N15" s="16">
        <f>N12-N20</f>
        <v>6077.8390428000012</v>
      </c>
      <c r="O15" s="16">
        <f>O12-O20</f>
        <v>7789.3455427200006</v>
      </c>
      <c r="P15" s="16">
        <f>P12-P20</f>
        <v>9113.8126574880025</v>
      </c>
      <c r="Q15" s="16">
        <f>Q12-Q20</f>
        <v>10142.312478883203</v>
      </c>
      <c r="R15" s="16">
        <f>R12-R20</f>
        <v>11036.575317426121</v>
      </c>
      <c r="T15" s="17">
        <f>((R15/J15)^(1/8)-1)</f>
        <v>0.79153428598964504</v>
      </c>
      <c r="U15" s="19"/>
    </row>
    <row r="16" spans="1:255" s="314" customFormat="1" x14ac:dyDescent="0.6">
      <c r="A16" s="311" t="s">
        <v>22</v>
      </c>
      <c r="B16" s="25"/>
      <c r="C16" s="25"/>
      <c r="D16" s="25"/>
      <c r="E16" s="25"/>
      <c r="F16" s="25"/>
      <c r="G16" s="313">
        <f t="shared" ref="G16:R16" si="5">G15/G9</f>
        <v>-5.1502145922746781E-2</v>
      </c>
      <c r="H16" s="313">
        <f t="shared" si="5"/>
        <v>-2.3746701846965697E-2</v>
      </c>
      <c r="I16" s="313">
        <f t="shared" si="5"/>
        <v>-3.0674846625766872E-3</v>
      </c>
      <c r="J16" s="313">
        <f t="shared" si="5"/>
        <v>1.2462552426602757E-2</v>
      </c>
      <c r="K16" s="313">
        <f t="shared" si="5"/>
        <v>3.2344310401043366E-2</v>
      </c>
      <c r="L16" s="313">
        <f t="shared" si="5"/>
        <v>2.268334859119113E-2</v>
      </c>
      <c r="M16" s="313">
        <f t="shared" si="5"/>
        <v>8.0598088993723269E-2</v>
      </c>
      <c r="N16" s="313">
        <f t="shared" si="5"/>
        <v>8.6478471194978618E-2</v>
      </c>
      <c r="O16" s="313">
        <f t="shared" si="5"/>
        <v>9.2358853396233967E-2</v>
      </c>
      <c r="P16" s="313">
        <f t="shared" si="5"/>
        <v>9.823923559748933E-2</v>
      </c>
      <c r="Q16" s="313">
        <f t="shared" si="5"/>
        <v>0.10411961779874467</v>
      </c>
      <c r="R16" s="313">
        <f t="shared" si="5"/>
        <v>0.11</v>
      </c>
      <c r="S16" s="25"/>
      <c r="T16" s="25"/>
      <c r="U16" s="317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</row>
    <row r="17" spans="1:255" ht="7.2" customHeight="1" x14ac:dyDescent="0.6">
      <c r="U17" s="19"/>
    </row>
    <row r="18" spans="1:255" x14ac:dyDescent="0.6">
      <c r="A18" s="9" t="s">
        <v>23</v>
      </c>
      <c r="B18" s="9" t="s">
        <v>24</v>
      </c>
      <c r="G18" s="16">
        <f>-'Exhibit 6'!C16</f>
        <v>0</v>
      </c>
      <c r="H18" s="16">
        <f>-'Exhibit 6'!D16</f>
        <v>0</v>
      </c>
      <c r="I18" s="16">
        <f>-'Exhibit 6'!E16</f>
        <v>0</v>
      </c>
      <c r="J18" s="16">
        <f>-'Exhibit 6'!F16</f>
        <v>-11</v>
      </c>
      <c r="K18" s="16">
        <f>-'Exhibit 6'!G16</f>
        <v>-168</v>
      </c>
      <c r="L18" s="16">
        <f>-'Exhibit 6'!H16</f>
        <v>-227</v>
      </c>
      <c r="M18" s="16">
        <f>-'Exhibit 6'!I16</f>
        <v>-1371</v>
      </c>
      <c r="N18" s="16">
        <f>-N79*N15</f>
        <v>-2066.6461626187506</v>
      </c>
      <c r="O18" s="16">
        <f>-O79*O15</f>
        <v>-2648.6093102850004</v>
      </c>
      <c r="P18" s="16">
        <f>-P79*P15</f>
        <v>-3098.967547970251</v>
      </c>
      <c r="Q18" s="16">
        <f>-Q79*Q15</f>
        <v>-3448.6880973583511</v>
      </c>
      <c r="R18" s="16">
        <f>-R79*R15</f>
        <v>-3752.7640774283759</v>
      </c>
      <c r="U18" s="19"/>
    </row>
    <row r="19" spans="1:255" x14ac:dyDescent="0.6">
      <c r="A19" s="15" t="s">
        <v>25</v>
      </c>
      <c r="G19" s="20">
        <f t="shared" ref="G19:R19" si="6">G15+G18</f>
        <v>-12</v>
      </c>
      <c r="H19" s="20">
        <f t="shared" si="6"/>
        <v>-9</v>
      </c>
      <c r="I19" s="20">
        <f t="shared" si="6"/>
        <v>-3</v>
      </c>
      <c r="J19" s="20">
        <f t="shared" si="6"/>
        <v>93</v>
      </c>
      <c r="K19" s="20">
        <f t="shared" si="6"/>
        <v>328</v>
      </c>
      <c r="L19" s="20">
        <f t="shared" si="6"/>
        <v>442</v>
      </c>
      <c r="M19" s="20">
        <f t="shared" si="6"/>
        <v>2661</v>
      </c>
      <c r="N19" s="20">
        <f t="shared" si="6"/>
        <v>4011.1928801812505</v>
      </c>
      <c r="O19" s="20">
        <f t="shared" si="6"/>
        <v>5140.7362324349997</v>
      </c>
      <c r="P19" s="20">
        <f t="shared" si="6"/>
        <v>6014.8451095177516</v>
      </c>
      <c r="Q19" s="20">
        <f t="shared" si="6"/>
        <v>6693.6243815248517</v>
      </c>
      <c r="R19" s="20">
        <f t="shared" si="6"/>
        <v>7283.8112399977454</v>
      </c>
      <c r="U19" s="19"/>
    </row>
    <row r="20" spans="1:255" x14ac:dyDescent="0.6">
      <c r="A20" s="9" t="s">
        <v>26</v>
      </c>
      <c r="B20" s="9" t="s">
        <v>27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U20" s="19"/>
    </row>
    <row r="21" spans="1:255" x14ac:dyDescent="0.6">
      <c r="A21" s="9" t="s">
        <v>23</v>
      </c>
      <c r="B21" s="9" t="s">
        <v>8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U21" s="19"/>
    </row>
    <row r="22" spans="1:255" x14ac:dyDescent="0.6">
      <c r="A22" s="9" t="s">
        <v>23</v>
      </c>
      <c r="B22" s="9" t="s">
        <v>28</v>
      </c>
      <c r="G22" s="16">
        <f t="shared" ref="G22:R22" si="7">F82-G82</f>
        <v>-21</v>
      </c>
      <c r="H22" s="16">
        <f t="shared" si="7"/>
        <v>-7</v>
      </c>
      <c r="I22" s="16">
        <f t="shared" si="7"/>
        <v>-110</v>
      </c>
      <c r="J22" s="16">
        <f t="shared" si="7"/>
        <v>-1107</v>
      </c>
      <c r="K22" s="16">
        <f t="shared" si="7"/>
        <v>-908</v>
      </c>
      <c r="L22" s="16">
        <f t="shared" si="7"/>
        <v>-1186</v>
      </c>
      <c r="M22" s="16">
        <f t="shared" si="7"/>
        <v>-1664</v>
      </c>
      <c r="N22" s="16">
        <f t="shared" si="7"/>
        <v>-2953.8039870003058</v>
      </c>
      <c r="O22" s="16">
        <f t="shared" si="7"/>
        <v>-1591.3607974000597</v>
      </c>
      <c r="P22" s="16">
        <f t="shared" si="7"/>
        <v>-954.81647844003783</v>
      </c>
      <c r="Q22" s="16">
        <f t="shared" si="7"/>
        <v>-525.14906314202017</v>
      </c>
      <c r="R22" s="16">
        <f t="shared" si="7"/>
        <v>-510.10750587215807</v>
      </c>
    </row>
    <row r="23" spans="1:255" ht="7.2" customHeight="1" x14ac:dyDescent="0.6"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</row>
    <row r="24" spans="1:255" s="9" customFormat="1" x14ac:dyDescent="0.6">
      <c r="A24" s="15" t="s">
        <v>29</v>
      </c>
      <c r="G24" s="20">
        <f t="shared" ref="G24:R24" si="8">SUM(G19:G22)</f>
        <v>-33</v>
      </c>
      <c r="H24" s="20">
        <f t="shared" si="8"/>
        <v>-16</v>
      </c>
      <c r="I24" s="20">
        <f t="shared" si="8"/>
        <v>-113</v>
      </c>
      <c r="J24" s="20">
        <f t="shared" si="8"/>
        <v>-1014</v>
      </c>
      <c r="K24" s="20">
        <f t="shared" si="8"/>
        <v>-580</v>
      </c>
      <c r="L24" s="20">
        <f t="shared" si="8"/>
        <v>-744</v>
      </c>
      <c r="M24" s="20">
        <f t="shared" si="8"/>
        <v>997</v>
      </c>
      <c r="N24" s="20">
        <f t="shared" si="8"/>
        <v>1057.3888931809447</v>
      </c>
      <c r="O24" s="20">
        <f t="shared" si="8"/>
        <v>3549.37543503494</v>
      </c>
      <c r="P24" s="20">
        <f t="shared" si="8"/>
        <v>5060.0286310777137</v>
      </c>
      <c r="Q24" s="20">
        <f t="shared" si="8"/>
        <v>6168.4753183828316</v>
      </c>
      <c r="R24" s="20">
        <f t="shared" si="8"/>
        <v>6773.7037341255873</v>
      </c>
      <c r="T24" s="111" t="s">
        <v>14</v>
      </c>
    </row>
    <row r="25" spans="1:255" s="314" customFormat="1" x14ac:dyDescent="0.6">
      <c r="A25" s="311" t="s">
        <v>20</v>
      </c>
      <c r="B25" s="25"/>
      <c r="C25" s="25"/>
      <c r="D25" s="25"/>
      <c r="E25" s="25"/>
      <c r="F25" s="25"/>
      <c r="G25" s="312" t="s">
        <v>94</v>
      </c>
      <c r="H25" s="313">
        <f>H24/G24-1</f>
        <v>-0.51515151515151514</v>
      </c>
      <c r="I25" s="313">
        <f t="shared" ref="I25" si="9">I24/H24-1</f>
        <v>6.0625</v>
      </c>
      <c r="J25" s="313">
        <f t="shared" ref="J25" si="10">J24/I24-1</f>
        <v>7.9734513274336276</v>
      </c>
      <c r="K25" s="313">
        <f t="shared" ref="K25:M25" si="11">K24/J24-1</f>
        <v>-0.42800788954635105</v>
      </c>
      <c r="L25" s="313">
        <f t="shared" si="11"/>
        <v>0.28275862068965507</v>
      </c>
      <c r="M25" s="313">
        <f t="shared" si="11"/>
        <v>-2.34005376344086</v>
      </c>
      <c r="N25" s="313">
        <f t="shared" ref="N25" si="12">N24/M24-1</f>
        <v>6.0570604995932475E-2</v>
      </c>
      <c r="O25" s="313">
        <f t="shared" ref="O25" si="13">O24/N24-1</f>
        <v>2.3567360674248699</v>
      </c>
      <c r="P25" s="313">
        <f t="shared" ref="P25" si="14">P24/O24-1</f>
        <v>0.42561099091730847</v>
      </c>
      <c r="Q25" s="313">
        <f t="shared" ref="Q25" si="15">Q24/P24-1</f>
        <v>0.21905937063226344</v>
      </c>
      <c r="R25" s="313">
        <f t="shared" ref="R25" si="16">R24/Q24-1</f>
        <v>9.8116371470126307E-2</v>
      </c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</row>
    <row r="26" spans="1:255" s="9" customFormat="1" x14ac:dyDescent="0.6">
      <c r="A26" s="9" t="str">
        <f>"Terminal Cash Flows @ "&amp;TEXT($F$51,"#,##0.0x")&amp;" EBITDA Multiple"</f>
        <v>Terminal Cash Flows @ 3.5x EBITDA Multiple</v>
      </c>
      <c r="G26" s="21"/>
      <c r="H26" s="21"/>
      <c r="I26" s="21"/>
      <c r="J26" s="21"/>
      <c r="K26" s="21"/>
      <c r="L26" s="21"/>
      <c r="M26" s="21"/>
      <c r="N26" s="21"/>
      <c r="P26" s="22"/>
      <c r="Q26" s="22"/>
      <c r="R26" s="23">
        <f>R12*F51</f>
        <v>38167.78842025475</v>
      </c>
      <c r="U26" s="24">
        <f>R24*(1+F53)/(F50-F53)</f>
        <v>38167.788420254743</v>
      </c>
      <c r="V26" s="25" t="s">
        <v>30</v>
      </c>
      <c r="W26" s="26">
        <f>R26-U26</f>
        <v>0</v>
      </c>
    </row>
    <row r="27" spans="1:255" s="9" customFormat="1" x14ac:dyDescent="0.6">
      <c r="A27" s="15" t="s">
        <v>31</v>
      </c>
      <c r="G27" s="27"/>
      <c r="H27" s="27"/>
      <c r="I27" s="21"/>
      <c r="J27" s="20">
        <f t="shared" ref="J27:L27" si="17">J24+J26</f>
        <v>-1014</v>
      </c>
      <c r="K27" s="20">
        <f t="shared" si="17"/>
        <v>-580</v>
      </c>
      <c r="L27" s="20">
        <f t="shared" si="17"/>
        <v>-744</v>
      </c>
      <c r="M27" s="20">
        <f>M24+M26</f>
        <v>997</v>
      </c>
      <c r="N27" s="20">
        <f t="shared" ref="N27:R27" si="18">N24+N26</f>
        <v>1057.3888931809447</v>
      </c>
      <c r="O27" s="20">
        <f t="shared" si="18"/>
        <v>3549.37543503494</v>
      </c>
      <c r="P27" s="20">
        <f t="shared" si="18"/>
        <v>5060.0286310777137</v>
      </c>
      <c r="Q27" s="20">
        <f t="shared" si="18"/>
        <v>6168.4753183828316</v>
      </c>
      <c r="R27" s="20">
        <f t="shared" si="18"/>
        <v>44941.492154380336</v>
      </c>
    </row>
    <row r="29" spans="1:255" s="9" customFormat="1" x14ac:dyDescent="0.6">
      <c r="A29" s="9" t="s">
        <v>32</v>
      </c>
      <c r="G29" s="28"/>
      <c r="H29" s="28"/>
      <c r="J29" s="29">
        <v>1</v>
      </c>
      <c r="K29" s="29">
        <f t="shared" ref="K29:R29" si="19">J29+1</f>
        <v>2</v>
      </c>
      <c r="L29" s="29">
        <f t="shared" si="19"/>
        <v>3</v>
      </c>
      <c r="M29" s="29">
        <f t="shared" si="19"/>
        <v>4</v>
      </c>
      <c r="N29" s="29">
        <f t="shared" si="19"/>
        <v>5</v>
      </c>
      <c r="O29" s="29">
        <f t="shared" si="19"/>
        <v>6</v>
      </c>
      <c r="P29" s="29">
        <f t="shared" si="19"/>
        <v>7</v>
      </c>
      <c r="Q29" s="29">
        <f t="shared" si="19"/>
        <v>8</v>
      </c>
      <c r="R29" s="29">
        <f t="shared" si="19"/>
        <v>9</v>
      </c>
    </row>
    <row r="30" spans="1:255" s="9" customFormat="1" x14ac:dyDescent="0.6">
      <c r="A30" s="9" t="s">
        <v>226</v>
      </c>
      <c r="G30" s="30"/>
      <c r="H30" s="30"/>
      <c r="J30" s="30">
        <f t="shared" ref="J30:R30" si="20">1/((1+$F$49)^J29)</f>
        <v>0.80243941582410527</v>
      </c>
      <c r="K30" s="30">
        <f t="shared" si="20"/>
        <v>0.64390901606813145</v>
      </c>
      <c r="L30" s="30">
        <f t="shared" si="20"/>
        <v>0.51669797469758572</v>
      </c>
      <c r="M30" s="30">
        <f t="shared" si="20"/>
        <v>0.41461882097382907</v>
      </c>
      <c r="N30" s="30">
        <f t="shared" si="20"/>
        <v>0.3327064844919187</v>
      </c>
      <c r="O30" s="30">
        <f t="shared" si="20"/>
        <v>0.266976797056587</v>
      </c>
      <c r="P30" s="30">
        <f t="shared" si="20"/>
        <v>0.21423270506867839</v>
      </c>
      <c r="Q30" s="30">
        <f t="shared" si="20"/>
        <v>0.17190876670572813</v>
      </c>
      <c r="R30" s="30">
        <f t="shared" si="20"/>
        <v>0.1379463703303869</v>
      </c>
    </row>
    <row r="31" spans="1:255" s="9" customFormat="1" x14ac:dyDescent="0.6">
      <c r="G31" s="30"/>
      <c r="H31" s="30"/>
      <c r="J31" s="30"/>
      <c r="K31" s="30"/>
      <c r="L31" s="30"/>
      <c r="M31" s="30"/>
      <c r="N31" s="30"/>
      <c r="O31" s="30"/>
      <c r="P31" s="30"/>
      <c r="Q31" s="30"/>
      <c r="R31" s="30"/>
    </row>
    <row r="32" spans="1:255" s="9" customFormat="1" x14ac:dyDescent="0.6">
      <c r="A32" s="9" t="str">
        <f>"DCF of Free Cash Flows @ "&amp;TEXT(F49,"#,#0.0%")&amp;" WACC …..................................................................................................................................................................."</f>
        <v>DCF of Free Cash Flows @ 24.6% WACC …...................................................................................................................................................................</v>
      </c>
      <c r="F32" s="16">
        <f>SUM(J32:R32)</f>
        <v>3220.0583505734053</v>
      </c>
      <c r="G32" s="21" t="s">
        <v>232</v>
      </c>
      <c r="H32" s="21"/>
      <c r="J32" s="16">
        <f t="shared" ref="J32:R32" si="21">J24*J30</f>
        <v>-813.67356764564272</v>
      </c>
      <c r="K32" s="16">
        <f t="shared" si="21"/>
        <v>-373.46722931951626</v>
      </c>
      <c r="L32" s="16">
        <f t="shared" si="21"/>
        <v>-384.42329317500378</v>
      </c>
      <c r="M32" s="16">
        <f t="shared" si="21"/>
        <v>413.3749645109076</v>
      </c>
      <c r="N32" s="16">
        <f t="shared" si="21"/>
        <v>351.80014139103304</v>
      </c>
      <c r="O32" s="16">
        <f t="shared" si="21"/>
        <v>947.60088519695842</v>
      </c>
      <c r="P32" s="16">
        <f t="shared" si="21"/>
        <v>1084.0236213607402</v>
      </c>
      <c r="Q32" s="16">
        <f t="shared" si="21"/>
        <v>1060.4149844379162</v>
      </c>
      <c r="R32" s="16">
        <f t="shared" si="21"/>
        <v>934.40784381601281</v>
      </c>
    </row>
    <row r="33" spans="1:20" s="9" customFormat="1" x14ac:dyDescent="0.6">
      <c r="A33" s="9" t="str">
        <f>"DCF of Terminal Value @ "&amp;TEXT(F50,"#,#0.0%")&amp;" WACC ….............................................................................................................................................................................................................................................."</f>
        <v>DCF of Terminal Value @ 21.3% WACC …..............................................................................................................................................................................................................................................</v>
      </c>
      <c r="F33" s="16">
        <f>SUM(J33:R33)</f>
        <v>6694.4183792381082</v>
      </c>
      <c r="G33" s="9" t="str">
        <f>"(@ "&amp;TEXT($F$51,"#,##0.0x")&amp;" Exit EBITDA Multiple) / Implied 'g' = "&amp;TEXT(F53,"#,##0.0%")&amp;") …........................................................................................................................................................................"</f>
        <v>(@ 3.5x Exit EBITDA Multiple) / Implied 'g' = 3.0%) …........................................................................................................................................................................</v>
      </c>
      <c r="H33" s="21"/>
      <c r="I33" s="16"/>
      <c r="J33" s="21"/>
      <c r="K33" s="21"/>
      <c r="L33" s="21"/>
      <c r="M33" s="21"/>
      <c r="N33" s="21"/>
      <c r="O33" s="21"/>
      <c r="P33" s="21"/>
      <c r="Q33" s="21"/>
      <c r="R33" s="16">
        <f>R26*1/((1+$F$50)^R29)</f>
        <v>6694.4183792381082</v>
      </c>
    </row>
    <row r="34" spans="1:20" s="9" customFormat="1" x14ac:dyDescent="0.6">
      <c r="A34" s="9" t="s">
        <v>231</v>
      </c>
      <c r="F34" s="20">
        <f>SUM(F32:F33)</f>
        <v>9914.476729811513</v>
      </c>
      <c r="G34" s="21"/>
      <c r="H34" s="21"/>
      <c r="I34" s="16"/>
      <c r="J34" s="21"/>
      <c r="K34" s="21"/>
      <c r="L34" s="21"/>
      <c r="M34" s="21"/>
      <c r="N34" s="21"/>
      <c r="O34" s="21"/>
      <c r="P34" s="21"/>
      <c r="Q34" s="21"/>
      <c r="R34" s="16"/>
    </row>
    <row r="36" spans="1:20" s="9" customFormat="1" ht="15.9" thickBot="1" x14ac:dyDescent="0.65">
      <c r="A36" s="31" t="s">
        <v>233</v>
      </c>
      <c r="B36" s="32"/>
      <c r="C36" s="32"/>
      <c r="D36" s="32"/>
      <c r="E36" s="32"/>
      <c r="F36" s="32"/>
      <c r="I36" s="31" t="s">
        <v>33</v>
      </c>
      <c r="J36" s="32"/>
      <c r="K36" s="32"/>
      <c r="L36" s="32"/>
      <c r="M36" s="32"/>
      <c r="N36" s="32"/>
      <c r="O36" s="32"/>
      <c r="P36" s="32"/>
      <c r="Q36" s="32"/>
    </row>
    <row r="37" spans="1:20" s="9" customFormat="1" ht="6.6" customHeight="1" x14ac:dyDescent="0.6"/>
    <row r="38" spans="1:20" s="9" customFormat="1" x14ac:dyDescent="0.6">
      <c r="L38" s="39">
        <f>F43</f>
        <v>9914.476729811513</v>
      </c>
      <c r="M38" s="34">
        <v>0.2</v>
      </c>
      <c r="N38" s="34">
        <v>0.22500000000000001</v>
      </c>
      <c r="O38" s="310">
        <v>0.2462</v>
      </c>
      <c r="P38" s="34">
        <v>0.27500000000000002</v>
      </c>
      <c r="Q38" s="34">
        <v>0.3</v>
      </c>
    </row>
    <row r="39" spans="1:20" s="9" customFormat="1" x14ac:dyDescent="0.6">
      <c r="A39" s="9" t="s">
        <v>230</v>
      </c>
      <c r="F39" s="16">
        <f>SUM(J32:R32)</f>
        <v>3220.0583505734053</v>
      </c>
      <c r="G39" s="17">
        <f>F39/F41</f>
        <v>0.32478348967133264</v>
      </c>
      <c r="K39" s="36" t="s">
        <v>36</v>
      </c>
      <c r="L39" s="37">
        <v>3</v>
      </c>
      <c r="M39" s="41">
        <f t="dataTable" ref="M39:Q41" dt2D="1" dtr="1" r1="F49" r2="F51" ca="1"/>
        <v>12430.416820308974</v>
      </c>
      <c r="N39" s="41">
        <v>10448.781964418909</v>
      </c>
      <c r="O39" s="41">
        <v>9027.3206290669787</v>
      </c>
      <c r="P39" s="41">
        <v>7408.907076213718</v>
      </c>
      <c r="Q39" s="41">
        <v>6244.7170128284715</v>
      </c>
    </row>
    <row r="40" spans="1:20" s="9" customFormat="1" x14ac:dyDescent="0.6">
      <c r="A40" s="9" t="str">
        <f>"DCF Terminal Value @ "&amp;TEXT($F$51,"#,##0.0x")&amp;" EBITDA Multiple"</f>
        <v>DCF Terminal Value @ 3.5x EBITDA Multiple</v>
      </c>
      <c r="F40" s="16">
        <f>SUM(J33:R33)</f>
        <v>6694.4183792381082</v>
      </c>
      <c r="G40" s="33">
        <f>F40/F41</f>
        <v>0.67521651032866736</v>
      </c>
      <c r="K40" s="36" t="s">
        <v>12</v>
      </c>
      <c r="L40" s="37">
        <v>3.4582999999999999</v>
      </c>
      <c r="M40" s="41">
        <v>13630.36595787533</v>
      </c>
      <c r="N40" s="41">
        <v>11466.532571387452</v>
      </c>
      <c r="O40" s="43">
        <v>9914.476729811513</v>
      </c>
      <c r="P40" s="41">
        <v>8147.5061586606998</v>
      </c>
      <c r="Q40" s="41">
        <v>6876.5600922396134</v>
      </c>
    </row>
    <row r="41" spans="1:20" s="9" customFormat="1" x14ac:dyDescent="0.6">
      <c r="A41" s="15" t="s">
        <v>35</v>
      </c>
      <c r="F41" s="20">
        <f>SUM(F39:F40)</f>
        <v>9914.476729811513</v>
      </c>
      <c r="G41" s="17">
        <f>F41/F41</f>
        <v>1</v>
      </c>
      <c r="K41" s="36" t="s">
        <v>38</v>
      </c>
      <c r="L41" s="37">
        <v>4.5</v>
      </c>
      <c r="M41" s="41">
        <v>16357.808717209557</v>
      </c>
      <c r="N41" s="41">
        <v>13779.844391765218</v>
      </c>
      <c r="O41" s="41">
        <v>11930.951768313766</v>
      </c>
      <c r="P41" s="41">
        <v>9826.3162485254652</v>
      </c>
      <c r="Q41" s="41">
        <v>8312.7174909360729</v>
      </c>
    </row>
    <row r="42" spans="1:20" s="9" customFormat="1" x14ac:dyDescent="0.6">
      <c r="A42" s="9" t="str">
        <f>"Less: "&amp;TEXT(F61,"M/D/YYYY")&amp;" (Net Debt)/Cash"</f>
        <v>Less: 12/31/2011 (Net Debt)/Cash</v>
      </c>
      <c r="F42" s="16">
        <f>-F59</f>
        <v>0</v>
      </c>
      <c r="L42" s="38"/>
    </row>
    <row r="43" spans="1:20" s="9" customFormat="1" x14ac:dyDescent="0.6">
      <c r="A43" s="15" t="s">
        <v>37</v>
      </c>
      <c r="F43" s="20">
        <f>F41+F42</f>
        <v>9914.476729811513</v>
      </c>
      <c r="L43" s="38"/>
    </row>
    <row r="44" spans="1:20" s="9" customFormat="1" x14ac:dyDescent="0.6">
      <c r="A44" s="40" t="s">
        <v>73</v>
      </c>
      <c r="F44" s="14">
        <v>2013</v>
      </c>
      <c r="G44" s="14">
        <v>2014</v>
      </c>
      <c r="L44" s="39">
        <f>F45</f>
        <v>19.988864374619986</v>
      </c>
      <c r="M44" s="34">
        <v>0.2</v>
      </c>
      <c r="N44" s="34">
        <v>0.22500000000000001</v>
      </c>
      <c r="O44" s="310">
        <v>0.2462</v>
      </c>
      <c r="P44" s="34">
        <v>0.27500000000000002</v>
      </c>
      <c r="Q44" s="34">
        <v>0.3</v>
      </c>
    </row>
    <row r="45" spans="1:20" s="9" customFormat="1" x14ac:dyDescent="0.6">
      <c r="A45" s="9" t="s">
        <v>72</v>
      </c>
      <c r="F45" s="42">
        <f>$F41/K12</f>
        <v>19.988864374619986</v>
      </c>
      <c r="G45" s="42">
        <f>$F41/L12</f>
        <v>14.819845634994788</v>
      </c>
      <c r="I45" s="15"/>
      <c r="K45" s="36" t="s">
        <v>36</v>
      </c>
      <c r="L45" s="37">
        <v>3</v>
      </c>
      <c r="M45" s="46">
        <f t="dataTable" ref="M45:Q47" dt2D="1" dtr="1" r1="F49" r2="F51"/>
        <v>25.061324234493899</v>
      </c>
      <c r="N45" s="46">
        <v>21.066092670199414</v>
      </c>
      <c r="O45" s="46">
        <v>18.200243203764071</v>
      </c>
      <c r="P45" s="46">
        <v>14.93731265365669</v>
      </c>
      <c r="Q45" s="46">
        <v>12.590155267799338</v>
      </c>
    </row>
    <row r="46" spans="1:20" s="9" customFormat="1" x14ac:dyDescent="0.6">
      <c r="A46" s="9" t="s">
        <v>118</v>
      </c>
      <c r="F46" s="42">
        <f>$F41/K9</f>
        <v>0.64652603389706642</v>
      </c>
      <c r="G46" s="42">
        <f>$F41/L9</f>
        <v>0.33616372460622906</v>
      </c>
      <c r="I46" s="48"/>
      <c r="K46" s="36" t="s">
        <v>12</v>
      </c>
      <c r="L46" s="37">
        <v>3.4582999999999999</v>
      </c>
      <c r="M46" s="46">
        <v>27.480576527974456</v>
      </c>
      <c r="N46" s="46">
        <v>23.118009216506959</v>
      </c>
      <c r="O46" s="49">
        <v>19.988864374619986</v>
      </c>
      <c r="P46" s="46">
        <v>16.426423706977218</v>
      </c>
      <c r="Q46" s="46">
        <v>13.864032444031478</v>
      </c>
      <c r="T46" s="50"/>
    </row>
    <row r="47" spans="1:20" s="9" customFormat="1" x14ac:dyDescent="0.6">
      <c r="I47" s="48"/>
      <c r="K47" s="36" t="s">
        <v>38</v>
      </c>
      <c r="L47" s="37">
        <v>4.5</v>
      </c>
      <c r="M47" s="46">
        <v>32.979453058890236</v>
      </c>
      <c r="N47" s="46">
        <v>27.781944338236329</v>
      </c>
      <c r="O47" s="46">
        <v>24.054338242568075</v>
      </c>
      <c r="P47" s="46">
        <v>19.811121468801343</v>
      </c>
      <c r="Q47" s="46">
        <v>16.759511070435632</v>
      </c>
    </row>
    <row r="48" spans="1:20" s="9" customFormat="1" x14ac:dyDescent="0.6">
      <c r="A48" s="13" t="s">
        <v>39</v>
      </c>
      <c r="B48" s="44"/>
      <c r="C48" s="44"/>
      <c r="D48" s="44"/>
      <c r="E48" s="44"/>
      <c r="F48" s="44"/>
      <c r="L48" s="38"/>
    </row>
    <row r="49" spans="1:23" s="9" customFormat="1" x14ac:dyDescent="0.6">
      <c r="A49" s="9" t="s">
        <v>225</v>
      </c>
      <c r="F49" s="45">
        <v>0.2462</v>
      </c>
      <c r="L49" s="38"/>
    </row>
    <row r="50" spans="1:23" s="9" customFormat="1" x14ac:dyDescent="0.6">
      <c r="A50" s="9" t="s">
        <v>224</v>
      </c>
      <c r="F50" s="45">
        <f>F49*0.86670970175235</f>
        <v>0.21338392857142857</v>
      </c>
      <c r="G50" s="296"/>
      <c r="L50" s="39">
        <f>F53</f>
        <v>3.0499407967206384E-2</v>
      </c>
      <c r="M50" s="34">
        <v>0.2</v>
      </c>
      <c r="N50" s="34">
        <v>0.22500000000000001</v>
      </c>
      <c r="O50" s="310">
        <v>0.2462</v>
      </c>
      <c r="P50" s="34">
        <v>0.27500000000000002</v>
      </c>
      <c r="Q50" s="34">
        <v>0.3</v>
      </c>
      <c r="U50" s="296">
        <f>F50-W50</f>
        <v>0</v>
      </c>
      <c r="V50" s="9" t="s">
        <v>227</v>
      </c>
      <c r="W50" s="45">
        <f>WACC!G27</f>
        <v>0.2133839285714286</v>
      </c>
    </row>
    <row r="51" spans="1:23" s="9" customFormat="1" x14ac:dyDescent="0.6">
      <c r="A51" s="9" t="s">
        <v>40</v>
      </c>
      <c r="F51" s="47">
        <v>3.4582999999999999</v>
      </c>
      <c r="I51" s="15"/>
      <c r="K51" s="36" t="s">
        <v>36</v>
      </c>
      <c r="L51" s="37">
        <v>3</v>
      </c>
      <c r="M51" s="53">
        <f t="dataTable" ref="M51:Q53" dt2D="1" dtr="1" r1="F49" r2="F51" ca="1"/>
        <v>-2.5935572773420835E-2</v>
      </c>
      <c r="N51" s="53">
        <v>-7.9478264017843747E-3</v>
      </c>
      <c r="O51" s="53">
        <v>7.3057825213633468E-3</v>
      </c>
      <c r="P51" s="53">
        <v>2.8027666341488566E-2</v>
      </c>
      <c r="Q51" s="53">
        <v>4.6015412713124981E-2</v>
      </c>
    </row>
    <row r="52" spans="1:23" s="9" customFormat="1" x14ac:dyDescent="0.6">
      <c r="A52" s="9" t="s">
        <v>96</v>
      </c>
      <c r="F52" s="42">
        <f>R26/R9</f>
        <v>0.38041299999999995</v>
      </c>
      <c r="I52" s="48"/>
      <c r="K52" s="36" t="s">
        <v>12</v>
      </c>
      <c r="L52" s="37">
        <v>3.4582999999999999</v>
      </c>
      <c r="M52" s="53">
        <v>-3.5073430568563165E-3</v>
      </c>
      <c r="N52" s="53">
        <v>1.4894578492961169E-2</v>
      </c>
      <c r="O52" s="55">
        <v>3.0499407967206384E-2</v>
      </c>
      <c r="P52" s="53">
        <v>5.1698421592596119E-2</v>
      </c>
      <c r="Q52" s="53">
        <v>7.0100343142413563E-2</v>
      </c>
      <c r="U52" s="296">
        <f>F53-O52</f>
        <v>0</v>
      </c>
      <c r="V52" s="9" t="s">
        <v>227</v>
      </c>
    </row>
    <row r="53" spans="1:23" s="9" customFormat="1" x14ac:dyDescent="0.6">
      <c r="A53" s="9" t="s">
        <v>234</v>
      </c>
      <c r="F53" s="51">
        <f>((F50*R26)-R24)/(R24+R26)</f>
        <v>3.0499407967206384E-2</v>
      </c>
      <c r="I53" s="48"/>
      <c r="K53" s="36" t="s">
        <v>38</v>
      </c>
      <c r="L53" s="37">
        <v>4.5</v>
      </c>
      <c r="M53" s="53">
        <v>3.2517859610108259E-2</v>
      </c>
      <c r="N53" s="53">
        <v>5.1585047430253682E-2</v>
      </c>
      <c r="O53" s="53">
        <v>6.7754022701736999E-2</v>
      </c>
      <c r="P53" s="53">
        <v>8.9719423070544535E-2</v>
      </c>
      <c r="Q53" s="53">
        <v>0.10878661089068996</v>
      </c>
    </row>
    <row r="55" spans="1:23" s="9" customFormat="1" x14ac:dyDescent="0.6">
      <c r="A55" s="3"/>
      <c r="B55" s="3"/>
      <c r="C55" s="3"/>
      <c r="D55" s="3"/>
      <c r="E55" s="3"/>
      <c r="F55" s="3"/>
    </row>
    <row r="56" spans="1:23" s="9" customFormat="1" x14ac:dyDescent="0.6">
      <c r="A56" s="56"/>
      <c r="B56" s="56"/>
      <c r="C56" s="56"/>
      <c r="D56" s="56"/>
      <c r="E56" s="56"/>
      <c r="F56" s="57"/>
    </row>
    <row r="57" spans="1:23" s="9" customFormat="1" x14ac:dyDescent="0.6">
      <c r="A57" s="9" t="str">
        <f>"Total Debt as of "&amp;TEXT(F61,"M/D/YYYY")</f>
        <v>Total Debt as of 12/31/2011</v>
      </c>
      <c r="F57" s="52">
        <v>0</v>
      </c>
    </row>
    <row r="58" spans="1:23" s="9" customFormat="1" x14ac:dyDescent="0.6">
      <c r="A58" s="9" t="str">
        <f>"Total Cash as of "&amp;TEXT(F61,"M/D/YYYY")</f>
        <v>Total Cash as of 12/31/2011</v>
      </c>
      <c r="F58" s="54">
        <v>0</v>
      </c>
    </row>
    <row r="59" spans="1:23" s="9" customFormat="1" x14ac:dyDescent="0.6">
      <c r="A59" s="109" t="str">
        <f>"Net Debt/(Cash) as of "&amp;TEXT(F61,"M/D/YYYY")</f>
        <v>Net Debt/(Cash) as of 12/31/2011</v>
      </c>
      <c r="F59" s="16">
        <f>F57+F58</f>
        <v>0</v>
      </c>
    </row>
    <row r="60" spans="1:23" s="9" customFormat="1" x14ac:dyDescent="0.6">
      <c r="A60" s="44"/>
      <c r="B60" s="44"/>
      <c r="C60" s="44"/>
      <c r="D60" s="44"/>
      <c r="E60" s="44"/>
      <c r="F60" s="44"/>
    </row>
    <row r="61" spans="1:23" s="9" customFormat="1" x14ac:dyDescent="0.6">
      <c r="A61" s="56" t="s">
        <v>41</v>
      </c>
      <c r="B61" s="56"/>
      <c r="C61" s="56"/>
      <c r="D61" s="56"/>
      <c r="E61" s="56"/>
      <c r="F61" s="57">
        <v>40908</v>
      </c>
    </row>
    <row r="62" spans="1:23" s="9" customFormat="1" x14ac:dyDescent="0.6">
      <c r="A62" s="56"/>
      <c r="B62" s="56"/>
      <c r="C62" s="56"/>
      <c r="D62" s="56"/>
      <c r="E62" s="56"/>
      <c r="F62" s="57"/>
    </row>
    <row r="63" spans="1:23" s="9" customFormat="1" x14ac:dyDescent="0.6">
      <c r="A63" s="56"/>
      <c r="B63" s="56"/>
      <c r="C63" s="56"/>
      <c r="D63" s="56"/>
      <c r="E63" s="56"/>
      <c r="F63" s="57"/>
    </row>
    <row r="64" spans="1:23" s="9" customFormat="1" x14ac:dyDescent="0.6">
      <c r="A64" s="56"/>
      <c r="B64" s="56"/>
      <c r="C64" s="56"/>
      <c r="D64" s="56"/>
      <c r="E64" s="56"/>
      <c r="F64" s="57"/>
    </row>
    <row r="66" spans="1:18" s="9" customFormat="1" x14ac:dyDescent="0.6">
      <c r="A66" s="13" t="s">
        <v>42</v>
      </c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</row>
    <row r="67" spans="1:18" s="9" customFormat="1" x14ac:dyDescent="0.6">
      <c r="A67" s="15"/>
    </row>
    <row r="68" spans="1:18" x14ac:dyDescent="0.6">
      <c r="G68" s="44">
        <f t="shared" ref="G68:O68" si="22">G7</f>
        <v>2009</v>
      </c>
      <c r="H68" s="44">
        <f t="shared" si="22"/>
        <v>2010</v>
      </c>
      <c r="I68" s="44">
        <f t="shared" si="22"/>
        <v>2011</v>
      </c>
      <c r="J68" s="44">
        <f t="shared" si="22"/>
        <v>2012</v>
      </c>
      <c r="K68" s="44">
        <f t="shared" si="22"/>
        <v>2013</v>
      </c>
      <c r="L68" s="44">
        <f t="shared" si="22"/>
        <v>2014</v>
      </c>
      <c r="M68" s="44">
        <f t="shared" si="22"/>
        <v>2015</v>
      </c>
      <c r="N68" s="116">
        <f t="shared" si="22"/>
        <v>2016</v>
      </c>
      <c r="O68" s="116">
        <f t="shared" si="22"/>
        <v>2017</v>
      </c>
      <c r="P68" s="116">
        <f>O68+1</f>
        <v>2018</v>
      </c>
      <c r="Q68" s="116">
        <f>P68+1</f>
        <v>2019</v>
      </c>
      <c r="R68" s="116">
        <f>Q68+1</f>
        <v>2020</v>
      </c>
    </row>
    <row r="69" spans="1:18" x14ac:dyDescent="0.6">
      <c r="A69" s="9" t="s">
        <v>116</v>
      </c>
      <c r="G69" s="17"/>
      <c r="H69" s="17">
        <f t="shared" ref="H69:R69" si="23">H10</f>
        <v>0.62660944206008584</v>
      </c>
      <c r="I69" s="17">
        <f t="shared" si="23"/>
        <v>1.5804749340369395</v>
      </c>
      <c r="J69" s="17">
        <f t="shared" si="23"/>
        <v>7.5327198364008172</v>
      </c>
      <c r="K69" s="17">
        <f t="shared" si="23"/>
        <v>0.83762732174955068</v>
      </c>
      <c r="L69" s="17">
        <f t="shared" si="23"/>
        <v>0.92324747310074984</v>
      </c>
      <c r="M69" s="17">
        <f t="shared" si="23"/>
        <v>0.69619909809107239</v>
      </c>
      <c r="N69" s="17">
        <f t="shared" si="23"/>
        <v>0.40489999999999998</v>
      </c>
      <c r="O69" s="17">
        <f t="shared" si="23"/>
        <v>0.2</v>
      </c>
      <c r="P69" s="17">
        <f t="shared" si="23"/>
        <v>0.1</v>
      </c>
      <c r="Q69" s="17">
        <f t="shared" si="23"/>
        <v>0.05</v>
      </c>
      <c r="R69" s="17">
        <f t="shared" si="23"/>
        <v>0.03</v>
      </c>
    </row>
    <row r="70" spans="1:18" x14ac:dyDescent="0.6">
      <c r="A70" s="9" t="s">
        <v>21</v>
      </c>
      <c r="G70" s="17">
        <f t="shared" ref="G70:R70" si="24">G12/G9</f>
        <v>-5.1502145922746781E-2</v>
      </c>
      <c r="H70" s="17">
        <f t="shared" si="24"/>
        <v>-2.3746701846965697E-2</v>
      </c>
      <c r="I70" s="17">
        <f t="shared" si="24"/>
        <v>-3.0674846625766872E-3</v>
      </c>
      <c r="J70" s="17">
        <f t="shared" si="24"/>
        <v>1.2462552426602757E-2</v>
      </c>
      <c r="K70" s="17">
        <f t="shared" si="24"/>
        <v>3.2344310401043366E-2</v>
      </c>
      <c r="L70" s="17">
        <f t="shared" si="24"/>
        <v>2.268334859119113E-2</v>
      </c>
      <c r="M70" s="17">
        <f t="shared" si="24"/>
        <v>8.0598088993723269E-2</v>
      </c>
      <c r="N70" s="17">
        <f t="shared" si="24"/>
        <v>8.6478471194978618E-2</v>
      </c>
      <c r="O70" s="17">
        <f t="shared" si="24"/>
        <v>9.2358853396233967E-2</v>
      </c>
      <c r="P70" s="17">
        <f t="shared" si="24"/>
        <v>9.823923559748933E-2</v>
      </c>
      <c r="Q70" s="17">
        <f t="shared" si="24"/>
        <v>0.10411961779874467</v>
      </c>
      <c r="R70" s="17">
        <f t="shared" si="24"/>
        <v>0.11</v>
      </c>
    </row>
    <row r="71" spans="1:18" ht="10.5" customHeight="1" x14ac:dyDescent="0.6"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 x14ac:dyDescent="0.6">
      <c r="A72" s="9" t="s">
        <v>22</v>
      </c>
      <c r="G72" s="17">
        <f t="shared" ref="G72:R72" si="25">G15/G9</f>
        <v>-5.1502145922746781E-2</v>
      </c>
      <c r="H72" s="17">
        <f t="shared" si="25"/>
        <v>-2.3746701846965697E-2</v>
      </c>
      <c r="I72" s="17">
        <f t="shared" si="25"/>
        <v>-3.0674846625766872E-3</v>
      </c>
      <c r="J72" s="17">
        <f t="shared" si="25"/>
        <v>1.2462552426602757E-2</v>
      </c>
      <c r="K72" s="17">
        <f t="shared" si="25"/>
        <v>3.2344310401043366E-2</v>
      </c>
      <c r="L72" s="17">
        <f t="shared" si="25"/>
        <v>2.268334859119113E-2</v>
      </c>
      <c r="M72" s="17">
        <f t="shared" si="25"/>
        <v>8.0598088993723269E-2</v>
      </c>
      <c r="N72" s="17">
        <f t="shared" si="25"/>
        <v>8.6478471194978618E-2</v>
      </c>
      <c r="O72" s="17">
        <f t="shared" si="25"/>
        <v>9.2358853396233967E-2</v>
      </c>
      <c r="P72" s="17">
        <f t="shared" si="25"/>
        <v>9.823923559748933E-2</v>
      </c>
      <c r="Q72" s="17">
        <f t="shared" si="25"/>
        <v>0.10411961779874467</v>
      </c>
      <c r="R72" s="17">
        <f t="shared" si="25"/>
        <v>0.11</v>
      </c>
    </row>
    <row r="73" spans="1:18" x14ac:dyDescent="0.6">
      <c r="A73" s="9" t="s">
        <v>43</v>
      </c>
      <c r="G73" s="17">
        <f t="shared" ref="G73:R73" si="26">-G18/G9</f>
        <v>0</v>
      </c>
      <c r="H73" s="17">
        <f t="shared" si="26"/>
        <v>0</v>
      </c>
      <c r="I73" s="17">
        <f t="shared" si="26"/>
        <v>0</v>
      </c>
      <c r="J73" s="17">
        <f t="shared" si="26"/>
        <v>1.3181545835829838E-3</v>
      </c>
      <c r="K73" s="17">
        <f t="shared" si="26"/>
        <v>1.0955330942288882E-2</v>
      </c>
      <c r="L73" s="17">
        <f t="shared" si="26"/>
        <v>7.6967415997016243E-3</v>
      </c>
      <c r="M73" s="17">
        <f t="shared" si="26"/>
        <v>2.7405749010514534E-2</v>
      </c>
      <c r="N73" s="17">
        <f t="shared" si="26"/>
        <v>2.9405253970316392E-2</v>
      </c>
      <c r="O73" s="17">
        <f t="shared" si="26"/>
        <v>3.1404758930118251E-2</v>
      </c>
      <c r="P73" s="17">
        <f t="shared" si="26"/>
        <v>3.3404263889920106E-2</v>
      </c>
      <c r="Q73" s="17">
        <f t="shared" si="26"/>
        <v>3.5403768849721962E-2</v>
      </c>
      <c r="R73" s="17">
        <f t="shared" si="26"/>
        <v>3.740327380952381E-2</v>
      </c>
    </row>
    <row r="74" spans="1:18" x14ac:dyDescent="0.6">
      <c r="A74" s="9" t="s">
        <v>44</v>
      </c>
      <c r="E74" s="45"/>
      <c r="G74" s="58">
        <f t="shared" ref="G74:R74" si="27">+G20/G9</f>
        <v>0</v>
      </c>
      <c r="H74" s="58">
        <f t="shared" si="27"/>
        <v>0</v>
      </c>
      <c r="I74" s="58">
        <f t="shared" si="27"/>
        <v>0</v>
      </c>
      <c r="J74" s="58">
        <f t="shared" si="27"/>
        <v>0</v>
      </c>
      <c r="K74" s="58">
        <f t="shared" si="27"/>
        <v>0</v>
      </c>
      <c r="L74" s="58">
        <f t="shared" si="27"/>
        <v>0</v>
      </c>
      <c r="M74" s="58">
        <f t="shared" si="27"/>
        <v>0</v>
      </c>
      <c r="N74" s="58">
        <f t="shared" si="27"/>
        <v>0</v>
      </c>
      <c r="O74" s="58">
        <f t="shared" si="27"/>
        <v>0</v>
      </c>
      <c r="P74" s="58">
        <f t="shared" si="27"/>
        <v>0</v>
      </c>
      <c r="Q74" s="58">
        <f t="shared" si="27"/>
        <v>0</v>
      </c>
      <c r="R74" s="58">
        <f t="shared" si="27"/>
        <v>0</v>
      </c>
    </row>
    <row r="75" spans="1:18" x14ac:dyDescent="0.6">
      <c r="A75" s="9" t="s">
        <v>45</v>
      </c>
      <c r="E75" s="45"/>
      <c r="G75" s="58">
        <f t="shared" ref="G75:R75" si="28">-G21/G9</f>
        <v>0</v>
      </c>
      <c r="H75" s="58">
        <f t="shared" si="28"/>
        <v>0</v>
      </c>
      <c r="I75" s="58">
        <f t="shared" si="28"/>
        <v>0</v>
      </c>
      <c r="J75" s="58">
        <f t="shared" si="28"/>
        <v>0</v>
      </c>
      <c r="K75" s="58">
        <f t="shared" si="28"/>
        <v>0</v>
      </c>
      <c r="L75" s="58">
        <f t="shared" si="28"/>
        <v>0</v>
      </c>
      <c r="M75" s="58">
        <f t="shared" si="28"/>
        <v>0</v>
      </c>
      <c r="N75" s="58">
        <f t="shared" si="28"/>
        <v>0</v>
      </c>
      <c r="O75" s="58">
        <f t="shared" si="28"/>
        <v>0</v>
      </c>
      <c r="P75" s="58">
        <f t="shared" si="28"/>
        <v>0</v>
      </c>
      <c r="Q75" s="58">
        <f t="shared" si="28"/>
        <v>0</v>
      </c>
      <c r="R75" s="58">
        <f t="shared" si="28"/>
        <v>0</v>
      </c>
    </row>
    <row r="76" spans="1:18" x14ac:dyDescent="0.6">
      <c r="A76" s="9" t="s">
        <v>46</v>
      </c>
      <c r="E76" s="45"/>
      <c r="F76" s="59"/>
      <c r="G76" s="17">
        <f t="shared" ref="G76:R76" si="29">+-G22/G9</f>
        <v>9.012875536480687E-2</v>
      </c>
      <c r="H76" s="17">
        <f t="shared" si="29"/>
        <v>1.8469656992084433E-2</v>
      </c>
      <c r="I76" s="17">
        <f t="shared" si="29"/>
        <v>0.11247443762781185</v>
      </c>
      <c r="J76" s="17">
        <f t="shared" si="29"/>
        <v>0.13265428400239665</v>
      </c>
      <c r="K76" s="17">
        <f t="shared" si="29"/>
        <v>5.921095533094229E-2</v>
      </c>
      <c r="L76" s="17">
        <f t="shared" si="29"/>
        <v>4.0212931882141527E-2</v>
      </c>
      <c r="M76" s="117">
        <f t="shared" si="29"/>
        <v>3.3262703394234996E-2</v>
      </c>
      <c r="N76" s="117">
        <f t="shared" si="29"/>
        <v>4.2028170079301742E-2</v>
      </c>
      <c r="O76" s="117">
        <f t="shared" si="29"/>
        <v>1.8868884141999779E-2</v>
      </c>
      <c r="P76" s="117">
        <f t="shared" si="29"/>
        <v>1.0292118622908993E-2</v>
      </c>
      <c r="Q76" s="117">
        <f t="shared" si="29"/>
        <v>5.3911097548570847E-3</v>
      </c>
      <c r="R76" s="117">
        <f t="shared" si="29"/>
        <v>5.0841700466031361E-3</v>
      </c>
    </row>
    <row r="77" spans="1:18" x14ac:dyDescent="0.6">
      <c r="A77" s="9" t="s">
        <v>47</v>
      </c>
      <c r="E77" s="45"/>
      <c r="F77" s="59"/>
      <c r="G77" s="17">
        <f t="shared" ref="G77:R77" si="30">G24/G9</f>
        <v>-0.14163090128755365</v>
      </c>
      <c r="H77" s="17">
        <f t="shared" si="30"/>
        <v>-4.221635883905013E-2</v>
      </c>
      <c r="I77" s="17">
        <f t="shared" si="30"/>
        <v>-0.11554192229038855</v>
      </c>
      <c r="J77" s="17">
        <f t="shared" si="30"/>
        <v>-0.12150988615937687</v>
      </c>
      <c r="K77" s="17">
        <f t="shared" si="30"/>
        <v>-3.7821975872187809E-2</v>
      </c>
      <c r="L77" s="17">
        <f t="shared" si="30"/>
        <v>-2.5226324890652019E-2</v>
      </c>
      <c r="M77" s="17">
        <f t="shared" si="30"/>
        <v>1.9929636588973735E-2</v>
      </c>
      <c r="N77" s="17">
        <f t="shared" si="30"/>
        <v>1.5045047145360483E-2</v>
      </c>
      <c r="O77" s="17">
        <f t="shared" si="30"/>
        <v>4.2085210324115926E-2</v>
      </c>
      <c r="P77" s="17">
        <f t="shared" si="30"/>
        <v>5.4542853084660226E-2</v>
      </c>
      <c r="Q77" s="17">
        <f t="shared" si="30"/>
        <v>6.3324739194165619E-2</v>
      </c>
      <c r="R77" s="17">
        <f t="shared" si="30"/>
        <v>6.7512556143873054E-2</v>
      </c>
    </row>
    <row r="78" spans="1:18" ht="10.5" customHeight="1" x14ac:dyDescent="0.6">
      <c r="E78" s="45"/>
      <c r="F78" s="59"/>
      <c r="G78" s="60">
        <f>G72-G73+G74-G75-G76-G77</f>
        <v>0</v>
      </c>
      <c r="H78" s="60">
        <f>H72-H73+H74-H75-H76-H77</f>
        <v>0</v>
      </c>
      <c r="I78" s="60">
        <f>I72-I73+I74-I75-I76-I77</f>
        <v>0</v>
      </c>
      <c r="J78" s="60">
        <f t="shared" ref="J78:R78" si="31">J72-J73+J74-J75-J76-J77</f>
        <v>0</v>
      </c>
      <c r="K78" s="60">
        <f t="shared" si="31"/>
        <v>0</v>
      </c>
      <c r="L78" s="60">
        <f t="shared" si="31"/>
        <v>0</v>
      </c>
      <c r="M78" s="60">
        <f t="shared" si="31"/>
        <v>0</v>
      </c>
      <c r="N78" s="60">
        <f t="shared" si="31"/>
        <v>0</v>
      </c>
      <c r="O78" s="60">
        <f t="shared" si="31"/>
        <v>0</v>
      </c>
      <c r="P78" s="60">
        <f t="shared" si="31"/>
        <v>0</v>
      </c>
      <c r="Q78" s="60">
        <f t="shared" si="31"/>
        <v>0</v>
      </c>
      <c r="R78" s="60">
        <f t="shared" si="31"/>
        <v>0</v>
      </c>
    </row>
    <row r="79" spans="1:18" x14ac:dyDescent="0.6">
      <c r="A79" s="9" t="s">
        <v>48</v>
      </c>
      <c r="E79" s="45"/>
      <c r="F79" s="58"/>
      <c r="G79" s="58">
        <f t="shared" ref="G79:M79" si="32">-G18/G15</f>
        <v>0</v>
      </c>
      <c r="H79" s="58">
        <f t="shared" si="32"/>
        <v>0</v>
      </c>
      <c r="I79" s="58">
        <f t="shared" si="32"/>
        <v>0</v>
      </c>
      <c r="J79" s="58">
        <f t="shared" si="32"/>
        <v>0.10576923076923077</v>
      </c>
      <c r="K79" s="58">
        <f t="shared" si="32"/>
        <v>0.33870967741935482</v>
      </c>
      <c r="L79" s="58">
        <f t="shared" si="32"/>
        <v>0.33931240657698059</v>
      </c>
      <c r="M79" s="58">
        <f t="shared" si="32"/>
        <v>0.34002976190476192</v>
      </c>
      <c r="N79" s="115">
        <f>M79</f>
        <v>0.34002976190476192</v>
      </c>
      <c r="O79" s="115">
        <f t="shared" ref="O79:R79" si="33">N79</f>
        <v>0.34002976190476192</v>
      </c>
      <c r="P79" s="115">
        <f t="shared" si="33"/>
        <v>0.34002976190476192</v>
      </c>
      <c r="Q79" s="115">
        <f t="shared" si="33"/>
        <v>0.34002976190476192</v>
      </c>
      <c r="R79" s="115">
        <f t="shared" si="33"/>
        <v>0.34002976190476192</v>
      </c>
    </row>
    <row r="80" spans="1:18" x14ac:dyDescent="0.6">
      <c r="E80" s="45"/>
    </row>
    <row r="81" spans="1:255" s="129" customFormat="1" x14ac:dyDescent="0.6">
      <c r="A81" s="40" t="s">
        <v>111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s="129" customFormat="1" x14ac:dyDescent="0.6">
      <c r="A82" s="79" t="s">
        <v>109</v>
      </c>
      <c r="B82" s="79"/>
      <c r="C82" s="79"/>
      <c r="D82" s="79"/>
      <c r="E82" s="9"/>
      <c r="F82" s="9"/>
      <c r="G82" s="16">
        <f>'Exhibit 6'!C20</f>
        <v>21</v>
      </c>
      <c r="H82" s="16">
        <f>'Exhibit 6'!D20</f>
        <v>28</v>
      </c>
      <c r="I82" s="16">
        <f>'Exhibit 6'!E20</f>
        <v>138</v>
      </c>
      <c r="J82" s="16">
        <f>'Exhibit 6'!F20</f>
        <v>1245</v>
      </c>
      <c r="K82" s="16">
        <f>'Exhibit 6'!G20</f>
        <v>2153</v>
      </c>
      <c r="L82" s="16">
        <f>'Exhibit 6'!H20</f>
        <v>3339</v>
      </c>
      <c r="M82" s="16">
        <f>'Exhibit 6'!I20</f>
        <v>5003</v>
      </c>
      <c r="N82" s="16">
        <f>N83*N9</f>
        <v>7956.8039870003058</v>
      </c>
      <c r="O82" s="16">
        <f>O83*O9</f>
        <v>9548.1647844003655</v>
      </c>
      <c r="P82" s="16">
        <f>P83*P9</f>
        <v>10502.981262840403</v>
      </c>
      <c r="Q82" s="16">
        <f>Q83*Q9</f>
        <v>11028.130325982424</v>
      </c>
      <c r="R82" s="16">
        <f>R83*R9</f>
        <v>11538.237831854582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s="129" customFormat="1" x14ac:dyDescent="0.6">
      <c r="A83" s="9" t="s">
        <v>112</v>
      </c>
      <c r="B83" s="9"/>
      <c r="C83" s="9"/>
      <c r="D83" s="9"/>
      <c r="E83" s="45"/>
      <c r="F83" s="59"/>
      <c r="G83" s="17">
        <f t="shared" ref="G83:M83" si="34">G82/G9</f>
        <v>9.012875536480687E-2</v>
      </c>
      <c r="H83" s="17">
        <f t="shared" si="34"/>
        <v>7.3878627968337732E-2</v>
      </c>
      <c r="I83" s="17">
        <f t="shared" si="34"/>
        <v>0.1411042944785276</v>
      </c>
      <c r="J83" s="17">
        <f t="shared" si="34"/>
        <v>0.14919113241461954</v>
      </c>
      <c r="K83" s="17">
        <f t="shared" si="34"/>
        <v>0.14039778284969026</v>
      </c>
      <c r="L83" s="51">
        <f t="shared" si="34"/>
        <v>0.11321330485199878</v>
      </c>
      <c r="M83" s="51">
        <f t="shared" si="34"/>
        <v>0.10000799584216208</v>
      </c>
      <c r="N83" s="133">
        <f>L83</f>
        <v>0.11321330485199878</v>
      </c>
      <c r="O83" s="133">
        <f t="shared" ref="O83:Q84" si="35">N83</f>
        <v>0.11321330485199878</v>
      </c>
      <c r="P83" s="133">
        <f t="shared" si="35"/>
        <v>0.11321330485199878</v>
      </c>
      <c r="Q83" s="133">
        <f t="shared" si="35"/>
        <v>0.11321330485199878</v>
      </c>
      <c r="R83" s="133">
        <v>0.115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s="129" customFormat="1" x14ac:dyDescent="0.6">
      <c r="A84" s="79" t="s">
        <v>114</v>
      </c>
      <c r="B84" s="79"/>
      <c r="C84" s="79"/>
      <c r="D84" s="79"/>
      <c r="E84" s="9"/>
      <c r="F84" s="9"/>
      <c r="G84" s="9"/>
      <c r="H84" s="9"/>
      <c r="I84" s="130">
        <v>0.5</v>
      </c>
      <c r="J84" s="131">
        <f>I84</f>
        <v>0.5</v>
      </c>
      <c r="K84" s="130">
        <f>J84</f>
        <v>0.5</v>
      </c>
      <c r="L84" s="130">
        <f>K84</f>
        <v>0.5</v>
      </c>
      <c r="M84" s="130">
        <f>L84</f>
        <v>0.5</v>
      </c>
      <c r="N84" s="130">
        <f>M84</f>
        <v>0.5</v>
      </c>
      <c r="O84" s="130">
        <f t="shared" si="35"/>
        <v>0.5</v>
      </c>
      <c r="P84" s="130">
        <f t="shared" si="35"/>
        <v>0.5</v>
      </c>
      <c r="Q84" s="130">
        <f t="shared" si="35"/>
        <v>0.5</v>
      </c>
      <c r="R84" s="130">
        <f>Q84</f>
        <v>0.5</v>
      </c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</row>
    <row r="85" spans="1:255" s="129" customFormat="1" x14ac:dyDescent="0.6">
      <c r="A85" s="79" t="s">
        <v>113</v>
      </c>
      <c r="B85" s="79"/>
      <c r="C85" s="79"/>
      <c r="D85" s="79"/>
      <c r="E85" s="9"/>
      <c r="F85" s="9"/>
      <c r="G85" s="9"/>
      <c r="H85" s="9"/>
      <c r="I85" s="16">
        <f t="shared" ref="I85:R85" si="36">I82*I84</f>
        <v>69</v>
      </c>
      <c r="J85" s="16">
        <f t="shared" si="36"/>
        <v>622.5</v>
      </c>
      <c r="K85" s="16">
        <f t="shared" si="36"/>
        <v>1076.5</v>
      </c>
      <c r="L85" s="16">
        <f t="shared" si="36"/>
        <v>1669.5</v>
      </c>
      <c r="M85" s="16">
        <f t="shared" si="36"/>
        <v>2501.5</v>
      </c>
      <c r="N85" s="16">
        <f t="shared" si="36"/>
        <v>3978.4019935001529</v>
      </c>
      <c r="O85" s="16">
        <f t="shared" si="36"/>
        <v>4774.0823922001828</v>
      </c>
      <c r="P85" s="16">
        <f t="shared" si="36"/>
        <v>5251.4906314202017</v>
      </c>
      <c r="Q85" s="16">
        <f t="shared" si="36"/>
        <v>5514.0651629912118</v>
      </c>
      <c r="R85" s="16">
        <f t="shared" si="36"/>
        <v>5769.1189159272908</v>
      </c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</row>
    <row r="86" spans="1:255" s="129" customFormat="1" x14ac:dyDescent="0.6">
      <c r="A86" s="79" t="s">
        <v>115</v>
      </c>
      <c r="B86" s="9"/>
      <c r="C86" s="9"/>
      <c r="D86" s="9"/>
      <c r="E86" s="9"/>
      <c r="F86" s="9"/>
      <c r="G86" s="9"/>
      <c r="H86" s="9"/>
      <c r="I86" s="9"/>
      <c r="J86" s="132">
        <f>J85*(0.04+0.005)</f>
        <v>28.012499999999999</v>
      </c>
      <c r="K86" s="132">
        <f t="shared" ref="K86:R86" si="37">K85*(0.04+0.005)</f>
        <v>48.442499999999995</v>
      </c>
      <c r="L86" s="132">
        <f t="shared" si="37"/>
        <v>75.127499999999998</v>
      </c>
      <c r="M86" s="132">
        <f t="shared" si="37"/>
        <v>112.5675</v>
      </c>
      <c r="N86" s="132">
        <f t="shared" si="37"/>
        <v>179.02808970750687</v>
      </c>
      <c r="O86" s="132">
        <f t="shared" si="37"/>
        <v>214.8337076490082</v>
      </c>
      <c r="P86" s="132">
        <f t="shared" si="37"/>
        <v>236.31707841390906</v>
      </c>
      <c r="Q86" s="132">
        <f t="shared" si="37"/>
        <v>248.13293233460453</v>
      </c>
      <c r="R86" s="132">
        <f t="shared" si="37"/>
        <v>259.61035121672808</v>
      </c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</row>
    <row r="87" spans="1:255" x14ac:dyDescent="0.6">
      <c r="A87" s="9" t="s">
        <v>117</v>
      </c>
      <c r="J87" s="16">
        <f>J24</f>
        <v>-1014</v>
      </c>
      <c r="K87" s="16">
        <f t="shared" ref="K87:R87" si="38">K24</f>
        <v>-580</v>
      </c>
      <c r="L87" s="16">
        <f t="shared" si="38"/>
        <v>-744</v>
      </c>
      <c r="M87" s="16">
        <f t="shared" si="38"/>
        <v>997</v>
      </c>
      <c r="N87" s="16">
        <f t="shared" si="38"/>
        <v>1057.3888931809447</v>
      </c>
      <c r="O87" s="16">
        <f t="shared" si="38"/>
        <v>3549.37543503494</v>
      </c>
      <c r="P87" s="16">
        <f t="shared" si="38"/>
        <v>5060.0286310777137</v>
      </c>
      <c r="Q87" s="16">
        <f t="shared" si="38"/>
        <v>6168.4753183828316</v>
      </c>
      <c r="R87" s="16">
        <f t="shared" si="38"/>
        <v>6773.7037341255873</v>
      </c>
    </row>
    <row r="89" spans="1:255" x14ac:dyDescent="0.6">
      <c r="F89" s="45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082B-F7D4-40F5-83A0-DFD66E2AE443}">
  <dimension ref="A1:IU89"/>
  <sheetViews>
    <sheetView showGridLines="0" zoomScale="99" workbookViewId="0"/>
  </sheetViews>
  <sheetFormatPr baseColWidth="10" defaultColWidth="8.68359375" defaultRowHeight="15.6" x14ac:dyDescent="0.6"/>
  <cols>
    <col min="1" max="1" width="5.68359375" style="9" customWidth="1"/>
    <col min="2" max="2" width="12.47265625" style="9" customWidth="1"/>
    <col min="3" max="4" width="9.578125" style="9" customWidth="1"/>
    <col min="5" max="5" width="1.62890625" style="9" customWidth="1"/>
    <col min="6" max="6" width="8.20703125" style="9" customWidth="1"/>
    <col min="7" max="15" width="8.15625" style="9" customWidth="1"/>
    <col min="16" max="18" width="9.26171875" style="9" customWidth="1"/>
    <col min="19" max="19" width="0.7890625" style="9" customWidth="1"/>
    <col min="20" max="20" width="4.89453125" style="9" customWidth="1"/>
    <col min="21" max="21" width="9.5234375" style="9" customWidth="1"/>
    <col min="22" max="22" width="6.7890625" style="9" bestFit="1" customWidth="1"/>
    <col min="23" max="255" width="8.68359375" style="9"/>
    <col min="256" max="16384" width="8.68359375" style="3"/>
  </cols>
  <sheetData>
    <row r="1" spans="1:255" ht="20.7" thickBot="1" x14ac:dyDescent="0.8">
      <c r="A1" s="4" t="s">
        <v>237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6"/>
      <c r="R1" s="6"/>
      <c r="S1" s="6"/>
      <c r="T1" s="6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</row>
    <row r="2" spans="1:255" ht="15.9" thickTop="1" x14ac:dyDescent="0.6">
      <c r="A2" s="202" t="s">
        <v>157</v>
      </c>
    </row>
    <row r="3" spans="1:255" ht="10.5" customHeight="1" thickBot="1" x14ac:dyDescent="0.65">
      <c r="A3" s="10"/>
    </row>
    <row r="4" spans="1:255" ht="16.2" thickTop="1" thickBot="1" x14ac:dyDescent="0.65">
      <c r="G4" s="11" t="s">
        <v>17</v>
      </c>
      <c r="H4" s="12"/>
      <c r="I4" s="12"/>
      <c r="J4" s="101" t="s">
        <v>18</v>
      </c>
      <c r="K4" s="102"/>
      <c r="L4" s="102"/>
      <c r="M4" s="102"/>
      <c r="N4" s="102"/>
      <c r="O4" s="102"/>
      <c r="P4" s="102"/>
      <c r="Q4" s="102"/>
      <c r="R4" s="103"/>
    </row>
    <row r="5" spans="1:255" ht="5.4" customHeight="1" x14ac:dyDescent="0.6"/>
    <row r="6" spans="1:255" ht="14.7" customHeight="1" thickBot="1" x14ac:dyDescent="0.65">
      <c r="N6" s="110" t="s">
        <v>93</v>
      </c>
      <c r="O6" s="110"/>
      <c r="P6" s="110"/>
      <c r="Q6" s="110"/>
      <c r="R6" s="110"/>
      <c r="T6" s="113" t="s">
        <v>19</v>
      </c>
    </row>
    <row r="7" spans="1:255" x14ac:dyDescent="0.6">
      <c r="G7" s="13">
        <v>2009</v>
      </c>
      <c r="H7" s="13">
        <v>2010</v>
      </c>
      <c r="I7" s="13">
        <v>2011</v>
      </c>
      <c r="J7" s="13">
        <v>2012</v>
      </c>
      <c r="K7" s="13">
        <f t="shared" ref="K7:R7" si="0">J7+1</f>
        <v>2013</v>
      </c>
      <c r="L7" s="13">
        <f t="shared" si="0"/>
        <v>2014</v>
      </c>
      <c r="M7" s="13">
        <f t="shared" si="0"/>
        <v>2015</v>
      </c>
      <c r="N7" s="112">
        <f t="shared" si="0"/>
        <v>2016</v>
      </c>
      <c r="O7" s="112">
        <f t="shared" si="0"/>
        <v>2017</v>
      </c>
      <c r="P7" s="112">
        <f t="shared" si="0"/>
        <v>2018</v>
      </c>
      <c r="Q7" s="112">
        <f t="shared" si="0"/>
        <v>2019</v>
      </c>
      <c r="R7" s="112">
        <f t="shared" si="0"/>
        <v>2020</v>
      </c>
      <c r="T7" s="114" t="s">
        <v>95</v>
      </c>
    </row>
    <row r="8" spans="1:255" x14ac:dyDescent="0.6">
      <c r="G8" s="15"/>
      <c r="H8" s="15"/>
      <c r="I8" s="15"/>
      <c r="J8" s="15"/>
      <c r="K8" s="15"/>
      <c r="L8" s="15"/>
      <c r="M8" s="15"/>
      <c r="N8" s="15"/>
      <c r="O8" s="15"/>
    </row>
    <row r="9" spans="1:255" x14ac:dyDescent="0.6">
      <c r="A9" s="9" t="s">
        <v>6</v>
      </c>
      <c r="G9" s="16">
        <f>'Exhibit 6'!C5</f>
        <v>233</v>
      </c>
      <c r="H9" s="16">
        <f>'Exhibit 6'!D5</f>
        <v>379</v>
      </c>
      <c r="I9" s="16">
        <f>'Exhibit 6'!E5</f>
        <v>978</v>
      </c>
      <c r="J9" s="16">
        <f>'Exhibit 6'!F5</f>
        <v>8345</v>
      </c>
      <c r="K9" s="16">
        <f>'Exhibit 6'!G5</f>
        <v>15335</v>
      </c>
      <c r="L9" s="16">
        <f>'Exhibit 6'!H5</f>
        <v>29493</v>
      </c>
      <c r="M9" s="16">
        <f>'Exhibit 6'!I5</f>
        <v>50026</v>
      </c>
      <c r="N9" s="16">
        <f>M9*(1+N10)</f>
        <v>70281.527400000006</v>
      </c>
      <c r="O9" s="16">
        <f>N9*(1+O10)</f>
        <v>84337.832880000002</v>
      </c>
      <c r="P9" s="16">
        <f>O9*(1+P10)</f>
        <v>92771.616168000008</v>
      </c>
      <c r="Q9" s="16">
        <f>P9*(1+Q10)</f>
        <v>97410.19697640001</v>
      </c>
      <c r="R9" s="16">
        <f>Q9*(1+R10)</f>
        <v>100332.50288569201</v>
      </c>
      <c r="T9" s="17">
        <f>((R9/J9)^(1/8)-1)</f>
        <v>0.36458914786590557</v>
      </c>
    </row>
    <row r="10" spans="1:255" x14ac:dyDescent="0.6">
      <c r="A10" s="18" t="s">
        <v>20</v>
      </c>
      <c r="G10" s="111" t="s">
        <v>94</v>
      </c>
      <c r="H10" s="17">
        <f>H9/G9-1</f>
        <v>0.62660944206008584</v>
      </c>
      <c r="I10" s="17">
        <f t="shared" ref="I10:M10" si="1">I9/H9-1</f>
        <v>1.5804749340369395</v>
      </c>
      <c r="J10" s="17">
        <f t="shared" si="1"/>
        <v>7.5327198364008172</v>
      </c>
      <c r="K10" s="17">
        <f t="shared" si="1"/>
        <v>0.83762732174955068</v>
      </c>
      <c r="L10" s="17">
        <f t="shared" si="1"/>
        <v>0.92324747310074984</v>
      </c>
      <c r="M10" s="17">
        <f t="shared" si="1"/>
        <v>0.69619909809107239</v>
      </c>
      <c r="N10" s="115">
        <v>0.40489999999999998</v>
      </c>
      <c r="O10" s="115">
        <v>0.2</v>
      </c>
      <c r="P10" s="115">
        <v>0.1</v>
      </c>
      <c r="Q10" s="115">
        <v>0.05</v>
      </c>
      <c r="R10" s="115">
        <v>0.03</v>
      </c>
    </row>
    <row r="11" spans="1:255" ht="7.2" customHeight="1" x14ac:dyDescent="0.6">
      <c r="U11" s="19"/>
    </row>
    <row r="12" spans="1:255" x14ac:dyDescent="0.6">
      <c r="A12" s="9" t="s">
        <v>12</v>
      </c>
      <c r="G12" s="16">
        <f>G15+G20</f>
        <v>-12</v>
      </c>
      <c r="H12" s="16">
        <f t="shared" ref="H12:M12" si="2">H15+H20</f>
        <v>-9</v>
      </c>
      <c r="I12" s="16">
        <f t="shared" si="2"/>
        <v>-3</v>
      </c>
      <c r="J12" s="16">
        <f t="shared" si="2"/>
        <v>104</v>
      </c>
      <c r="K12" s="16">
        <f t="shared" si="2"/>
        <v>496</v>
      </c>
      <c r="L12" s="16">
        <f t="shared" si="2"/>
        <v>669</v>
      </c>
      <c r="M12" s="16">
        <f t="shared" si="2"/>
        <v>4032</v>
      </c>
      <c r="N12" s="16">
        <f>N9*N13</f>
        <v>6077.8390428000012</v>
      </c>
      <c r="O12" s="16">
        <f t="shared" ref="O12:R12" si="3">O9*O13</f>
        <v>7789.3455427200006</v>
      </c>
      <c r="P12" s="16">
        <f t="shared" si="3"/>
        <v>9113.8126574880025</v>
      </c>
      <c r="Q12" s="16">
        <f t="shared" si="3"/>
        <v>10142.312478883203</v>
      </c>
      <c r="R12" s="16">
        <f t="shared" si="3"/>
        <v>11036.575317426121</v>
      </c>
      <c r="T12" s="17">
        <f>((R12/J12)^(1/8)-1)</f>
        <v>0.79153428598964504</v>
      </c>
      <c r="U12" s="19"/>
    </row>
    <row r="13" spans="1:255" x14ac:dyDescent="0.6">
      <c r="A13" s="18" t="s">
        <v>21</v>
      </c>
      <c r="G13" s="17">
        <f t="shared" ref="G13:M13" si="4">G12/G9</f>
        <v>-5.1502145922746781E-2</v>
      </c>
      <c r="H13" s="17">
        <f t="shared" si="4"/>
        <v>-2.3746701846965697E-2</v>
      </c>
      <c r="I13" s="17">
        <f t="shared" si="4"/>
        <v>-3.0674846625766872E-3</v>
      </c>
      <c r="J13" s="17">
        <f t="shared" si="4"/>
        <v>1.2462552426602757E-2</v>
      </c>
      <c r="K13" s="17">
        <f t="shared" si="4"/>
        <v>3.2344310401043366E-2</v>
      </c>
      <c r="L13" s="17">
        <f t="shared" si="4"/>
        <v>2.268334859119113E-2</v>
      </c>
      <c r="M13" s="17">
        <f t="shared" si="4"/>
        <v>8.0598088993723269E-2</v>
      </c>
      <c r="N13" s="295">
        <f>($R$13-$M$13)/5+M13</f>
        <v>8.6478471194978618E-2</v>
      </c>
      <c r="O13" s="295">
        <f>($R$13-$M$13)/5+N13</f>
        <v>9.2358853396233967E-2</v>
      </c>
      <c r="P13" s="295">
        <f>($R$13-$M$13)/5+O13</f>
        <v>9.8239235597489316E-2</v>
      </c>
      <c r="Q13" s="295">
        <f>($R$13-$M$13)/5+P13</f>
        <v>0.10411961779874467</v>
      </c>
      <c r="R13" s="115">
        <v>0.11</v>
      </c>
      <c r="U13" s="19"/>
    </row>
    <row r="14" spans="1:255" ht="7.2" customHeight="1" x14ac:dyDescent="0.6">
      <c r="U14" s="19"/>
    </row>
    <row r="15" spans="1:255" x14ac:dyDescent="0.6">
      <c r="A15" s="9" t="s">
        <v>11</v>
      </c>
      <c r="G15" s="16">
        <f>'Exhibit 6'!C14</f>
        <v>-12</v>
      </c>
      <c r="H15" s="16">
        <f>'Exhibit 6'!D14</f>
        <v>-9</v>
      </c>
      <c r="I15" s="16">
        <f>'Exhibit 6'!E14</f>
        <v>-3</v>
      </c>
      <c r="J15" s="16">
        <f>'Exhibit 6'!F14</f>
        <v>104</v>
      </c>
      <c r="K15" s="16">
        <f>'Exhibit 6'!G14</f>
        <v>496</v>
      </c>
      <c r="L15" s="16">
        <f>'Exhibit 6'!H14</f>
        <v>669</v>
      </c>
      <c r="M15" s="16">
        <f>'Exhibit 6'!I14</f>
        <v>4032</v>
      </c>
      <c r="N15" s="16">
        <f>N12-N20</f>
        <v>6077.8390428000012</v>
      </c>
      <c r="O15" s="16">
        <f>O12-O20</f>
        <v>7789.3455427200006</v>
      </c>
      <c r="P15" s="16">
        <f>P12-P20</f>
        <v>9113.8126574880025</v>
      </c>
      <c r="Q15" s="16">
        <f>Q12-Q20</f>
        <v>10142.312478883203</v>
      </c>
      <c r="R15" s="16">
        <f>R12-R20</f>
        <v>11036.575317426121</v>
      </c>
      <c r="T15" s="17">
        <f>((R15/J15)^(1/8)-1)</f>
        <v>0.79153428598964504</v>
      </c>
      <c r="U15" s="19"/>
    </row>
    <row r="16" spans="1:255" x14ac:dyDescent="0.6">
      <c r="A16" s="18" t="s">
        <v>22</v>
      </c>
      <c r="G16" s="17">
        <f t="shared" ref="G16:R16" si="5">G15/G9</f>
        <v>-5.1502145922746781E-2</v>
      </c>
      <c r="H16" s="17">
        <f t="shared" si="5"/>
        <v>-2.3746701846965697E-2</v>
      </c>
      <c r="I16" s="17">
        <f t="shared" si="5"/>
        <v>-3.0674846625766872E-3</v>
      </c>
      <c r="J16" s="17">
        <f t="shared" si="5"/>
        <v>1.2462552426602757E-2</v>
      </c>
      <c r="K16" s="17">
        <f t="shared" si="5"/>
        <v>3.2344310401043366E-2</v>
      </c>
      <c r="L16" s="17">
        <f t="shared" si="5"/>
        <v>2.268334859119113E-2</v>
      </c>
      <c r="M16" s="17">
        <f t="shared" si="5"/>
        <v>8.0598088993723269E-2</v>
      </c>
      <c r="N16" s="17">
        <f t="shared" si="5"/>
        <v>8.6478471194978618E-2</v>
      </c>
      <c r="O16" s="17">
        <f t="shared" si="5"/>
        <v>9.2358853396233967E-2</v>
      </c>
      <c r="P16" s="17">
        <f t="shared" si="5"/>
        <v>9.823923559748933E-2</v>
      </c>
      <c r="Q16" s="17">
        <f t="shared" si="5"/>
        <v>0.10411961779874467</v>
      </c>
      <c r="R16" s="17">
        <f t="shared" si="5"/>
        <v>0.11</v>
      </c>
      <c r="U16" s="19"/>
    </row>
    <row r="17" spans="1:255" ht="7.2" customHeight="1" x14ac:dyDescent="0.6">
      <c r="U17" s="19"/>
    </row>
    <row r="18" spans="1:255" x14ac:dyDescent="0.6">
      <c r="A18" s="9" t="s">
        <v>23</v>
      </c>
      <c r="B18" s="9" t="s">
        <v>24</v>
      </c>
      <c r="G18" s="16">
        <f>-'Exhibit 6'!C16</f>
        <v>0</v>
      </c>
      <c r="H18" s="16">
        <f>-'Exhibit 6'!D16</f>
        <v>0</v>
      </c>
      <c r="I18" s="16">
        <f>-'Exhibit 6'!E16</f>
        <v>0</v>
      </c>
      <c r="J18" s="16">
        <f>-'Exhibit 6'!F16</f>
        <v>-11</v>
      </c>
      <c r="K18" s="16">
        <f>-'Exhibit 6'!G16</f>
        <v>-168</v>
      </c>
      <c r="L18" s="16">
        <f>-'Exhibit 6'!H16</f>
        <v>-227</v>
      </c>
      <c r="M18" s="16">
        <f>-'Exhibit 6'!I16</f>
        <v>-1371</v>
      </c>
      <c r="N18" s="16">
        <f>-N79*N15</f>
        <v>-2066.6461626187506</v>
      </c>
      <c r="O18" s="16">
        <f>-O79*O15</f>
        <v>-2648.6093102850004</v>
      </c>
      <c r="P18" s="16">
        <f>-P79*P15</f>
        <v>-3098.967547970251</v>
      </c>
      <c r="Q18" s="16">
        <f>-Q79*Q15</f>
        <v>-3448.6880973583511</v>
      </c>
      <c r="R18" s="16">
        <f>-R79*R15</f>
        <v>-3752.7640774283759</v>
      </c>
      <c r="U18" s="19"/>
    </row>
    <row r="19" spans="1:255" x14ac:dyDescent="0.6">
      <c r="A19" s="15" t="s">
        <v>25</v>
      </c>
      <c r="G19" s="20">
        <f t="shared" ref="G19:R19" si="6">G15+G18</f>
        <v>-12</v>
      </c>
      <c r="H19" s="20">
        <f t="shared" si="6"/>
        <v>-9</v>
      </c>
      <c r="I19" s="20">
        <f t="shared" si="6"/>
        <v>-3</v>
      </c>
      <c r="J19" s="20">
        <f t="shared" si="6"/>
        <v>93</v>
      </c>
      <c r="K19" s="20">
        <f t="shared" si="6"/>
        <v>328</v>
      </c>
      <c r="L19" s="20">
        <f t="shared" si="6"/>
        <v>442</v>
      </c>
      <c r="M19" s="20">
        <f t="shared" si="6"/>
        <v>2661</v>
      </c>
      <c r="N19" s="20">
        <f t="shared" si="6"/>
        <v>4011.1928801812505</v>
      </c>
      <c r="O19" s="20">
        <f t="shared" si="6"/>
        <v>5140.7362324349997</v>
      </c>
      <c r="P19" s="20">
        <f t="shared" si="6"/>
        <v>6014.8451095177516</v>
      </c>
      <c r="Q19" s="20">
        <f t="shared" si="6"/>
        <v>6693.6243815248517</v>
      </c>
      <c r="R19" s="20">
        <f t="shared" si="6"/>
        <v>7283.8112399977454</v>
      </c>
      <c r="U19" s="19"/>
    </row>
    <row r="20" spans="1:255" x14ac:dyDescent="0.6">
      <c r="A20" s="9" t="s">
        <v>26</v>
      </c>
      <c r="B20" s="9" t="s">
        <v>27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U20" s="19"/>
    </row>
    <row r="21" spans="1:255" x14ac:dyDescent="0.6">
      <c r="A21" s="9" t="s">
        <v>23</v>
      </c>
      <c r="B21" s="9" t="s">
        <v>8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U21" s="19"/>
    </row>
    <row r="22" spans="1:255" x14ac:dyDescent="0.6">
      <c r="A22" s="9" t="s">
        <v>23</v>
      </c>
      <c r="B22" s="9" t="s">
        <v>28</v>
      </c>
      <c r="G22" s="16">
        <f t="shared" ref="G22:R22" si="7">F82-G82</f>
        <v>-21</v>
      </c>
      <c r="H22" s="16">
        <f t="shared" si="7"/>
        <v>-7</v>
      </c>
      <c r="I22" s="16">
        <f t="shared" si="7"/>
        <v>-110</v>
      </c>
      <c r="J22" s="16">
        <f t="shared" si="7"/>
        <v>-1107</v>
      </c>
      <c r="K22" s="16">
        <f t="shared" si="7"/>
        <v>-908</v>
      </c>
      <c r="L22" s="16">
        <f t="shared" si="7"/>
        <v>-1186</v>
      </c>
      <c r="M22" s="16">
        <f t="shared" si="7"/>
        <v>-1664</v>
      </c>
      <c r="N22" s="16">
        <f t="shared" si="7"/>
        <v>-2953.8039870003058</v>
      </c>
      <c r="O22" s="16">
        <f t="shared" si="7"/>
        <v>-1591.3607974000597</v>
      </c>
      <c r="P22" s="16">
        <f t="shared" si="7"/>
        <v>-954.81647844003783</v>
      </c>
      <c r="Q22" s="16">
        <f t="shared" si="7"/>
        <v>-525.14906314202017</v>
      </c>
      <c r="R22" s="16">
        <f t="shared" si="7"/>
        <v>-510.10750587215807</v>
      </c>
    </row>
    <row r="23" spans="1:255" ht="7.2" customHeight="1" x14ac:dyDescent="0.6"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</row>
    <row r="24" spans="1:255" x14ac:dyDescent="0.6">
      <c r="A24" s="15" t="s">
        <v>29</v>
      </c>
      <c r="G24" s="20">
        <f t="shared" ref="G24:R24" si="8">SUM(G19:G22)</f>
        <v>-33</v>
      </c>
      <c r="H24" s="20">
        <f t="shared" si="8"/>
        <v>-16</v>
      </c>
      <c r="I24" s="20">
        <f t="shared" si="8"/>
        <v>-113</v>
      </c>
      <c r="J24" s="20">
        <f t="shared" si="8"/>
        <v>-1014</v>
      </c>
      <c r="K24" s="20">
        <f t="shared" si="8"/>
        <v>-580</v>
      </c>
      <c r="L24" s="20">
        <f t="shared" si="8"/>
        <v>-744</v>
      </c>
      <c r="M24" s="20">
        <f t="shared" si="8"/>
        <v>997</v>
      </c>
      <c r="N24" s="20">
        <f t="shared" si="8"/>
        <v>1057.3888931809447</v>
      </c>
      <c r="O24" s="20">
        <f t="shared" si="8"/>
        <v>3549.37543503494</v>
      </c>
      <c r="P24" s="20">
        <f t="shared" si="8"/>
        <v>5060.0286310777137</v>
      </c>
      <c r="Q24" s="20">
        <f t="shared" si="8"/>
        <v>6168.4753183828316</v>
      </c>
      <c r="R24" s="20">
        <f t="shared" si="8"/>
        <v>6773.7037341255873</v>
      </c>
      <c r="T24" s="111" t="s">
        <v>14</v>
      </c>
    </row>
    <row r="25" spans="1:255" s="314" customFormat="1" x14ac:dyDescent="0.6">
      <c r="A25" s="311" t="s">
        <v>20</v>
      </c>
      <c r="B25" s="25"/>
      <c r="C25" s="25"/>
      <c r="D25" s="25"/>
      <c r="E25" s="25"/>
      <c r="F25" s="25"/>
      <c r="G25" s="312" t="s">
        <v>94</v>
      </c>
      <c r="H25" s="313">
        <f>H24/G24-1</f>
        <v>-0.51515151515151514</v>
      </c>
      <c r="I25" s="313">
        <f t="shared" ref="I25:R25" si="9">I24/H24-1</f>
        <v>6.0625</v>
      </c>
      <c r="J25" s="313">
        <f t="shared" si="9"/>
        <v>7.9734513274336276</v>
      </c>
      <c r="K25" s="313">
        <f t="shared" si="9"/>
        <v>-0.42800788954635105</v>
      </c>
      <c r="L25" s="313">
        <f t="shared" si="9"/>
        <v>0.28275862068965507</v>
      </c>
      <c r="M25" s="313">
        <f t="shared" si="9"/>
        <v>-2.34005376344086</v>
      </c>
      <c r="N25" s="313">
        <f t="shared" si="9"/>
        <v>6.0570604995932475E-2</v>
      </c>
      <c r="O25" s="313">
        <f t="shared" si="9"/>
        <v>2.3567360674248699</v>
      </c>
      <c r="P25" s="313">
        <f t="shared" si="9"/>
        <v>0.42561099091730847</v>
      </c>
      <c r="Q25" s="313">
        <f t="shared" si="9"/>
        <v>0.21905937063226344</v>
      </c>
      <c r="R25" s="313">
        <f t="shared" si="9"/>
        <v>9.8116371470126307E-2</v>
      </c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</row>
    <row r="26" spans="1:255" x14ac:dyDescent="0.6">
      <c r="A26" s="9" t="str">
        <f>"Terminal Cash Flows @ "&amp;TEXT($F$51,"#,##0.0x")&amp;" EBITDA Multiple"</f>
        <v>Terminal Cash Flows @ 2.9x EBITDA Multiple</v>
      </c>
      <c r="G26" s="21"/>
      <c r="H26" s="21"/>
      <c r="I26" s="21"/>
      <c r="J26" s="21"/>
      <c r="K26" s="21"/>
      <c r="L26" s="21"/>
      <c r="M26" s="21"/>
      <c r="N26" s="21"/>
      <c r="P26" s="22"/>
      <c r="Q26" s="22"/>
      <c r="R26" s="23">
        <f>R12*F51</f>
        <v>32360.342488225131</v>
      </c>
      <c r="U26" s="24">
        <f>R24*(1+F53)/(F50-F53)</f>
        <v>32360.342488225131</v>
      </c>
      <c r="V26" s="25" t="s">
        <v>30</v>
      </c>
      <c r="W26" s="26">
        <f>R26-U26</f>
        <v>0</v>
      </c>
    </row>
    <row r="27" spans="1:255" x14ac:dyDescent="0.6">
      <c r="A27" s="15" t="s">
        <v>31</v>
      </c>
      <c r="G27" s="27"/>
      <c r="H27" s="27"/>
      <c r="I27" s="21"/>
      <c r="J27" s="20">
        <f>J24+J26</f>
        <v>-1014</v>
      </c>
      <c r="K27" s="20">
        <f t="shared" ref="K27:R27" si="10">K24+K26</f>
        <v>-580</v>
      </c>
      <c r="L27" s="20">
        <f t="shared" si="10"/>
        <v>-744</v>
      </c>
      <c r="M27" s="20">
        <f t="shared" si="10"/>
        <v>997</v>
      </c>
      <c r="N27" s="20">
        <f t="shared" si="10"/>
        <v>1057.3888931809447</v>
      </c>
      <c r="O27" s="20">
        <f t="shared" si="10"/>
        <v>3549.37543503494</v>
      </c>
      <c r="P27" s="20">
        <f t="shared" si="10"/>
        <v>5060.0286310777137</v>
      </c>
      <c r="Q27" s="20">
        <f t="shared" si="10"/>
        <v>6168.4753183828316</v>
      </c>
      <c r="R27" s="20">
        <f t="shared" si="10"/>
        <v>39134.04622235072</v>
      </c>
    </row>
    <row r="29" spans="1:255" x14ac:dyDescent="0.6">
      <c r="A29" s="9" t="s">
        <v>32</v>
      </c>
      <c r="G29" s="28"/>
      <c r="H29" s="28"/>
      <c r="J29" s="29">
        <v>1</v>
      </c>
      <c r="K29" s="29">
        <f t="shared" ref="K29:R29" si="11">J29+1</f>
        <v>2</v>
      </c>
      <c r="L29" s="29">
        <f t="shared" si="11"/>
        <v>3</v>
      </c>
      <c r="M29" s="29">
        <f t="shared" si="11"/>
        <v>4</v>
      </c>
      <c r="N29" s="29">
        <f t="shared" si="11"/>
        <v>5</v>
      </c>
      <c r="O29" s="29">
        <f t="shared" si="11"/>
        <v>6</v>
      </c>
      <c r="P29" s="29">
        <f t="shared" si="11"/>
        <v>7</v>
      </c>
      <c r="Q29" s="29">
        <f t="shared" si="11"/>
        <v>8</v>
      </c>
      <c r="R29" s="29">
        <f t="shared" si="11"/>
        <v>9</v>
      </c>
    </row>
    <row r="30" spans="1:255" x14ac:dyDescent="0.6">
      <c r="A30" s="9" t="s">
        <v>226</v>
      </c>
      <c r="G30" s="30"/>
      <c r="H30" s="30"/>
      <c r="J30" s="30">
        <f t="shared" ref="J30:R30" si="12">1/((1+$F$49)^J29)</f>
        <v>0.80243941582410527</v>
      </c>
      <c r="K30" s="30">
        <f t="shared" si="12"/>
        <v>0.64390901606813145</v>
      </c>
      <c r="L30" s="30">
        <f t="shared" si="12"/>
        <v>0.51669797469758572</v>
      </c>
      <c r="M30" s="30">
        <f t="shared" si="12"/>
        <v>0.41461882097382907</v>
      </c>
      <c r="N30" s="30">
        <f t="shared" si="12"/>
        <v>0.3327064844919187</v>
      </c>
      <c r="O30" s="30">
        <f t="shared" si="12"/>
        <v>0.266976797056587</v>
      </c>
      <c r="P30" s="30">
        <f t="shared" si="12"/>
        <v>0.21423270506867839</v>
      </c>
      <c r="Q30" s="30">
        <f t="shared" si="12"/>
        <v>0.17190876670572813</v>
      </c>
      <c r="R30" s="30">
        <f t="shared" si="12"/>
        <v>0.1379463703303869</v>
      </c>
    </row>
    <row r="31" spans="1:255" x14ac:dyDescent="0.6">
      <c r="G31" s="30"/>
      <c r="H31" s="30"/>
      <c r="J31" s="30"/>
      <c r="K31" s="30"/>
      <c r="L31" s="30"/>
      <c r="M31" s="30"/>
      <c r="N31" s="30"/>
      <c r="O31" s="30"/>
      <c r="P31" s="30"/>
      <c r="Q31" s="30"/>
      <c r="R31" s="30"/>
    </row>
    <row r="32" spans="1:255" x14ac:dyDescent="0.6">
      <c r="A32" s="9" t="str">
        <f>"DCF of Free Cash Flows @ "&amp;TEXT(F49,"#,#0.0%")&amp;" WACC …..................................................................................................................................................................."</f>
        <v>DCF of Free Cash Flows @ 24.6% WACC …...................................................................................................................................................................</v>
      </c>
      <c r="F32" s="16">
        <f>SUM(J32:R32)</f>
        <v>3220.0583505734053</v>
      </c>
      <c r="G32" s="21" t="s">
        <v>232</v>
      </c>
      <c r="H32" s="21"/>
      <c r="J32" s="16">
        <f t="shared" ref="J32:R32" si="13">J24*J30</f>
        <v>-813.67356764564272</v>
      </c>
      <c r="K32" s="16">
        <f t="shared" si="13"/>
        <v>-373.46722931951626</v>
      </c>
      <c r="L32" s="16">
        <f t="shared" si="13"/>
        <v>-384.42329317500378</v>
      </c>
      <c r="M32" s="16">
        <f t="shared" si="13"/>
        <v>413.3749645109076</v>
      </c>
      <c r="N32" s="16">
        <f t="shared" si="13"/>
        <v>351.80014139103304</v>
      </c>
      <c r="O32" s="16">
        <f t="shared" si="13"/>
        <v>947.60088519695842</v>
      </c>
      <c r="P32" s="16">
        <f t="shared" si="13"/>
        <v>1084.0236213607402</v>
      </c>
      <c r="Q32" s="16">
        <f t="shared" si="13"/>
        <v>1060.4149844379162</v>
      </c>
      <c r="R32" s="16">
        <f t="shared" si="13"/>
        <v>934.40784381601281</v>
      </c>
    </row>
    <row r="33" spans="1:20" x14ac:dyDescent="0.6">
      <c r="A33" s="9" t="str">
        <f>"DCF of Terminal Value @ "&amp;TEXT(F50,"#,#0.0%")&amp;" WACC ….............................................................................................................................................................................................................................................."</f>
        <v>DCF of Terminal Value @ 24.6% WACC …..............................................................................................................................................................................................................................................</v>
      </c>
      <c r="F33" s="16">
        <f>SUM(J33:R33)</f>
        <v>4463.9917888988575</v>
      </c>
      <c r="G33" s="9" t="str">
        <f>"(@ "&amp;TEXT($F$51,"#,##0.0x")&amp;" Exit EBITDA Multiple) / Implied 'g' = "&amp;TEXT(F53,"#,##0.0%")&amp;") …........................................................................................................................................................................"</f>
        <v>(@ 2.9x Exit EBITDA Multiple) / Implied 'g' = 3.0%) …........................................................................................................................................................................</v>
      </c>
      <c r="H33" s="21"/>
      <c r="I33" s="16"/>
      <c r="J33" s="21"/>
      <c r="K33" s="21"/>
      <c r="L33" s="21"/>
      <c r="M33" s="21"/>
      <c r="N33" s="21"/>
      <c r="O33" s="21"/>
      <c r="P33" s="21"/>
      <c r="Q33" s="21"/>
      <c r="R33" s="16">
        <f>R26*1/((1+$F$50)^R29)</f>
        <v>4463.9917888988575</v>
      </c>
    </row>
    <row r="34" spans="1:20" x14ac:dyDescent="0.6">
      <c r="A34" s="9" t="s">
        <v>231</v>
      </c>
      <c r="F34" s="20">
        <f>SUM(F32:F33)</f>
        <v>7684.0501394722633</v>
      </c>
      <c r="G34" s="21"/>
      <c r="H34" s="21"/>
      <c r="I34" s="16"/>
      <c r="J34" s="21"/>
      <c r="K34" s="21"/>
      <c r="L34" s="21"/>
      <c r="M34" s="21"/>
      <c r="N34" s="21"/>
      <c r="O34" s="21"/>
      <c r="P34" s="21"/>
      <c r="Q34" s="21"/>
      <c r="R34" s="16"/>
    </row>
    <row r="36" spans="1:20" ht="15.9" thickBot="1" x14ac:dyDescent="0.65">
      <c r="A36" s="31" t="s">
        <v>233</v>
      </c>
      <c r="B36" s="32"/>
      <c r="C36" s="32"/>
      <c r="D36" s="32"/>
      <c r="E36" s="32"/>
      <c r="F36" s="32"/>
      <c r="I36" s="31" t="s">
        <v>33</v>
      </c>
      <c r="J36" s="32"/>
      <c r="K36" s="32"/>
      <c r="L36" s="32"/>
      <c r="M36" s="32"/>
      <c r="N36" s="32"/>
      <c r="O36" s="32"/>
      <c r="P36" s="32"/>
      <c r="Q36" s="32"/>
    </row>
    <row r="37" spans="1:20" ht="6.6" customHeight="1" x14ac:dyDescent="0.6"/>
    <row r="38" spans="1:20" x14ac:dyDescent="0.6">
      <c r="L38" s="39">
        <f>F43</f>
        <v>7684.0501394722633</v>
      </c>
      <c r="M38" s="34">
        <v>0.2</v>
      </c>
      <c r="N38" s="34">
        <v>0.22500000000000001</v>
      </c>
      <c r="O38" s="35">
        <v>0.24784999999999999</v>
      </c>
      <c r="P38" s="34">
        <v>0.27500000000000002</v>
      </c>
      <c r="Q38" s="34">
        <v>0.3</v>
      </c>
    </row>
    <row r="39" spans="1:20" x14ac:dyDescent="0.6">
      <c r="A39" s="9" t="s">
        <v>230</v>
      </c>
      <c r="F39" s="16">
        <f>SUM(J32:R32)</f>
        <v>3220.0583505734053</v>
      </c>
      <c r="G39" s="17">
        <f>F39/F41</f>
        <v>0.4190574361341371</v>
      </c>
      <c r="K39" s="36" t="s">
        <v>36</v>
      </c>
      <c r="L39" s="37">
        <v>3</v>
      </c>
      <c r="M39" s="41">
        <f t="dataTable" ref="M39:Q41" dt2D="1" dtr="1" r1="F49" r2="F51"/>
        <v>10992.51973360273</v>
      </c>
      <c r="N39" s="41">
        <v>9116.7010317197255</v>
      </c>
      <c r="O39" s="41">
        <v>7692.7278970868283</v>
      </c>
      <c r="P39" s="41">
        <v>6292.5556593365272</v>
      </c>
      <c r="Q39" s="41">
        <v>5230.9498168017672</v>
      </c>
    </row>
    <row r="40" spans="1:20" x14ac:dyDescent="0.6">
      <c r="A40" s="9" t="str">
        <f>"DCF Terminal Value @ "&amp;TEXT($F$51,"#,##0.0x")&amp;" EBITDA Multiple"</f>
        <v>DCF Terminal Value @ 2.9x EBITDA Multiple</v>
      </c>
      <c r="F40" s="16">
        <f>SUM(J33:R33)</f>
        <v>4463.9917888988575</v>
      </c>
      <c r="G40" s="33">
        <f>F40/F41</f>
        <v>0.58094256386586285</v>
      </c>
      <c r="K40" s="36" t="s">
        <v>12</v>
      </c>
      <c r="L40" s="37">
        <v>3.54</v>
      </c>
      <c r="M40" s="41">
        <v>12147.559340879816</v>
      </c>
      <c r="N40" s="41">
        <v>10076.108937678542</v>
      </c>
      <c r="O40" s="43">
        <v>8505.1217733031044</v>
      </c>
      <c r="P40" s="41">
        <v>6961.8797063308612</v>
      </c>
      <c r="Q40" s="41">
        <v>5792.9518936356963</v>
      </c>
    </row>
    <row r="41" spans="1:20" x14ac:dyDescent="0.6">
      <c r="A41" s="15" t="s">
        <v>35</v>
      </c>
      <c r="F41" s="20">
        <f>SUM(F39:F40)</f>
        <v>7684.0501394722633</v>
      </c>
      <c r="G41" s="17">
        <f>F41/F41</f>
        <v>1</v>
      </c>
      <c r="K41" s="36" t="s">
        <v>38</v>
      </c>
      <c r="L41" s="37">
        <v>4.5</v>
      </c>
      <c r="M41" s="41">
        <v>14200.963087150192</v>
      </c>
      <c r="N41" s="41">
        <v>11781.722992716443</v>
      </c>
      <c r="O41" s="41">
        <v>9949.3775532431537</v>
      </c>
      <c r="P41" s="41">
        <v>8151.7891232096772</v>
      </c>
      <c r="Q41" s="41">
        <v>6792.0666968960159</v>
      </c>
    </row>
    <row r="42" spans="1:20" x14ac:dyDescent="0.6">
      <c r="A42" s="9" t="str">
        <f>"Less: "&amp;TEXT(F61,"M/D/YYYY")&amp;" (Net Debt)/Cash"</f>
        <v>Less: 12/31/2011 (Net Debt)/Cash</v>
      </c>
      <c r="F42" s="16">
        <f>-F59</f>
        <v>0</v>
      </c>
      <c r="L42" s="38"/>
    </row>
    <row r="43" spans="1:20" x14ac:dyDescent="0.6">
      <c r="A43" s="15" t="s">
        <v>37</v>
      </c>
      <c r="F43" s="20">
        <f>F41+F42</f>
        <v>7684.0501394722633</v>
      </c>
      <c r="L43" s="38"/>
    </row>
    <row r="44" spans="1:20" x14ac:dyDescent="0.6">
      <c r="A44" s="40" t="s">
        <v>73</v>
      </c>
      <c r="F44" s="14">
        <v>2013</v>
      </c>
      <c r="G44" s="14">
        <v>2014</v>
      </c>
      <c r="L44" s="39">
        <f>F45</f>
        <v>15.49203657151666</v>
      </c>
      <c r="M44" s="34">
        <v>0.2</v>
      </c>
      <c r="N44" s="34">
        <v>0.22500000000000001</v>
      </c>
      <c r="O44" s="35">
        <v>0.24784999999999999</v>
      </c>
      <c r="P44" s="34">
        <v>0.27500000000000002</v>
      </c>
      <c r="Q44" s="34">
        <v>0.3</v>
      </c>
    </row>
    <row r="45" spans="1:20" x14ac:dyDescent="0.6">
      <c r="A45" s="9" t="s">
        <v>72</v>
      </c>
      <c r="F45" s="42">
        <f>$F41/K12</f>
        <v>15.49203657151666</v>
      </c>
      <c r="G45" s="42">
        <f>$F41/L12</f>
        <v>11.485874647940603</v>
      </c>
      <c r="I45" s="15"/>
      <c r="K45" s="36" t="s">
        <v>36</v>
      </c>
      <c r="L45" s="37">
        <v>3</v>
      </c>
      <c r="M45" s="46">
        <f t="dataTable" ref="M45:Q47" dt2D="1" dtr="1" r1="F49" r2="F51" ca="1"/>
        <v>22.16233817258615</v>
      </c>
      <c r="N45" s="46">
        <v>18.380445628467189</v>
      </c>
      <c r="O45" s="46">
        <v>15.509532050578283</v>
      </c>
      <c r="P45" s="46">
        <v>12.68660415188816</v>
      </c>
      <c r="Q45" s="46">
        <v>10.546269791939046</v>
      </c>
    </row>
    <row r="46" spans="1:20" x14ac:dyDescent="0.6">
      <c r="A46" s="9" t="s">
        <v>118</v>
      </c>
      <c r="F46" s="42">
        <f>$F41/K9</f>
        <v>0.50107923961345047</v>
      </c>
      <c r="G46" s="42">
        <f>$F41/L9</f>
        <v>0.26053809851396137</v>
      </c>
      <c r="I46" s="48"/>
      <c r="K46" s="36" t="s">
        <v>12</v>
      </c>
      <c r="L46" s="37">
        <v>3.54</v>
      </c>
      <c r="M46" s="46">
        <v>24.491047058225437</v>
      </c>
      <c r="N46" s="46">
        <v>20.314735761448674</v>
      </c>
      <c r="O46" s="49">
        <v>17.147422930046581</v>
      </c>
      <c r="P46" s="46">
        <v>14.036047795021897</v>
      </c>
      <c r="Q46" s="46">
        <v>11.679338495233258</v>
      </c>
      <c r="T46" s="50"/>
    </row>
    <row r="47" spans="1:20" x14ac:dyDescent="0.6">
      <c r="I47" s="48"/>
      <c r="K47" s="36" t="s">
        <v>38</v>
      </c>
      <c r="L47" s="37">
        <v>4.5</v>
      </c>
      <c r="M47" s="46">
        <v>28.630973966028613</v>
      </c>
      <c r="N47" s="46">
        <v>23.753473775637989</v>
      </c>
      <c r="O47" s="46">
        <v>20.05922893799023</v>
      </c>
      <c r="P47" s="46">
        <v>16.435058716148543</v>
      </c>
      <c r="Q47" s="46">
        <v>13.693682856645193</v>
      </c>
    </row>
    <row r="48" spans="1:20" x14ac:dyDescent="0.6">
      <c r="A48" s="13" t="s">
        <v>39</v>
      </c>
      <c r="B48" s="44"/>
      <c r="C48" s="44"/>
      <c r="D48" s="44"/>
      <c r="E48" s="44"/>
      <c r="F48" s="44"/>
      <c r="L48" s="38"/>
    </row>
    <row r="49" spans="1:23" x14ac:dyDescent="0.6">
      <c r="A49" s="9" t="s">
        <v>225</v>
      </c>
      <c r="F49" s="45">
        <v>0.2462</v>
      </c>
      <c r="L49" s="38"/>
    </row>
    <row r="50" spans="1:23" x14ac:dyDescent="0.6">
      <c r="A50" s="9" t="s">
        <v>224</v>
      </c>
      <c r="F50" s="45">
        <f>F49*1</f>
        <v>0.2462</v>
      </c>
      <c r="G50" s="296"/>
      <c r="L50" s="39">
        <f>F53</f>
        <v>3.049550715238444E-2</v>
      </c>
      <c r="M50" s="34">
        <v>0.2</v>
      </c>
      <c r="N50" s="34">
        <v>0.22500000000000001</v>
      </c>
      <c r="O50" s="35">
        <v>0.24784999999999999</v>
      </c>
      <c r="P50" s="34">
        <v>0.27500000000000002</v>
      </c>
      <c r="Q50" s="34">
        <v>0.3</v>
      </c>
      <c r="U50" s="296">
        <f>F50-W50</f>
        <v>3.2816071428571403E-2</v>
      </c>
      <c r="V50" s="9" t="s">
        <v>227</v>
      </c>
      <c r="W50" s="45">
        <f>WACC!G27</f>
        <v>0.2133839285714286</v>
      </c>
    </row>
    <row r="51" spans="1:23" x14ac:dyDescent="0.6">
      <c r="A51" s="9" t="s">
        <v>40</v>
      </c>
      <c r="F51" s="47">
        <v>2.9321000000000002</v>
      </c>
      <c r="I51" s="15"/>
      <c r="K51" s="36" t="s">
        <v>36</v>
      </c>
      <c r="L51" s="37">
        <v>3</v>
      </c>
      <c r="M51" s="53">
        <f t="dataTable" ref="M51:Q53" dt2D="1" dtr="1" r1="F49" r2="F51" ca="1"/>
        <v>-3.8050524958150073E-3</v>
      </c>
      <c r="N51" s="53">
        <v>1.6949008910522173E-2</v>
      </c>
      <c r="O51" s="53">
        <v>3.591822103591432E-2</v>
      </c>
      <c r="P51" s="53">
        <v>5.8457131723196554E-2</v>
      </c>
      <c r="Q51" s="53">
        <v>7.9211193129533702E-2</v>
      </c>
    </row>
    <row r="52" spans="1:23" x14ac:dyDescent="0.6">
      <c r="A52" s="9" t="s">
        <v>96</v>
      </c>
      <c r="F52" s="42">
        <f>R26/R9</f>
        <v>0.32253100000000001</v>
      </c>
      <c r="I52" s="48"/>
      <c r="K52" s="36" t="s">
        <v>12</v>
      </c>
      <c r="L52" s="37">
        <v>3.54</v>
      </c>
      <c r="M52" s="53">
        <v>2.2690214389429988E-2</v>
      </c>
      <c r="N52" s="53">
        <v>4.3996260522543108E-2</v>
      </c>
      <c r="O52" s="55">
        <v>6.346998668820851E-2</v>
      </c>
      <c r="P52" s="53">
        <v>8.6608352788769397E-2</v>
      </c>
      <c r="Q52" s="53">
        <v>0.10791439892188248</v>
      </c>
      <c r="U52" s="296">
        <f>F53-O52</f>
        <v>-3.2974479535824067E-2</v>
      </c>
      <c r="V52" s="9" t="s">
        <v>227</v>
      </c>
    </row>
    <row r="53" spans="1:23" x14ac:dyDescent="0.6">
      <c r="A53" s="9" t="s">
        <v>234</v>
      </c>
      <c r="F53" s="51">
        <f>((F50*R26)-R24)/(R24+R26)</f>
        <v>3.049550715238444E-2</v>
      </c>
      <c r="I53" s="48"/>
      <c r="K53" s="36" t="s">
        <v>38</v>
      </c>
      <c r="L53" s="37">
        <v>4.5</v>
      </c>
      <c r="M53" s="53">
        <v>5.5976428458733712E-2</v>
      </c>
      <c r="N53" s="53">
        <v>7.7975937384957353E-2</v>
      </c>
      <c r="O53" s="53">
        <v>9.8083488543525707E-2</v>
      </c>
      <c r="P53" s="53">
        <v>0.12197495523740459</v>
      </c>
      <c r="Q53" s="53">
        <v>0.14397446416362819</v>
      </c>
    </row>
    <row r="55" spans="1:23" x14ac:dyDescent="0.6">
      <c r="A55" s="3"/>
      <c r="B55" s="3"/>
      <c r="C55" s="3"/>
      <c r="D55" s="3"/>
      <c r="E55" s="3"/>
      <c r="F55" s="3"/>
    </row>
    <row r="56" spans="1:23" x14ac:dyDescent="0.6">
      <c r="A56" s="56"/>
      <c r="B56" s="56"/>
      <c r="C56" s="56"/>
      <c r="D56" s="56"/>
      <c r="E56" s="56"/>
      <c r="F56" s="57"/>
    </row>
    <row r="57" spans="1:23" x14ac:dyDescent="0.6">
      <c r="A57" s="9" t="str">
        <f>"Total Debt as of "&amp;TEXT(F61,"M/D/YYYY")</f>
        <v>Total Debt as of 12/31/2011</v>
      </c>
      <c r="F57" s="52">
        <v>0</v>
      </c>
    </row>
    <row r="58" spans="1:23" x14ac:dyDescent="0.6">
      <c r="A58" s="9" t="str">
        <f>"Total Cash as of "&amp;TEXT(F61,"M/D/YYYY")</f>
        <v>Total Cash as of 12/31/2011</v>
      </c>
      <c r="F58" s="54">
        <v>0</v>
      </c>
    </row>
    <row r="59" spans="1:23" x14ac:dyDescent="0.6">
      <c r="A59" s="109" t="str">
        <f>"Net Debt/(Cash) as of "&amp;TEXT(F61,"M/D/YYYY")</f>
        <v>Net Debt/(Cash) as of 12/31/2011</v>
      </c>
      <c r="F59" s="16">
        <f>F57+F58</f>
        <v>0</v>
      </c>
    </row>
    <row r="60" spans="1:23" x14ac:dyDescent="0.6">
      <c r="A60" s="44"/>
      <c r="B60" s="44"/>
      <c r="C60" s="44"/>
      <c r="D60" s="44"/>
      <c r="E60" s="44"/>
      <c r="F60" s="44"/>
    </row>
    <row r="61" spans="1:23" x14ac:dyDescent="0.6">
      <c r="A61" s="56" t="s">
        <v>41</v>
      </c>
      <c r="B61" s="56"/>
      <c r="C61" s="56"/>
      <c r="D61" s="56"/>
      <c r="E61" s="56"/>
      <c r="F61" s="57">
        <v>40908</v>
      </c>
    </row>
    <row r="62" spans="1:23" x14ac:dyDescent="0.6">
      <c r="A62" s="56"/>
      <c r="B62" s="56"/>
      <c r="C62" s="56"/>
      <c r="D62" s="56"/>
      <c r="E62" s="56"/>
      <c r="F62" s="57"/>
    </row>
    <row r="63" spans="1:23" x14ac:dyDescent="0.6">
      <c r="A63" s="56"/>
      <c r="B63" s="56"/>
      <c r="C63" s="56"/>
      <c r="D63" s="56"/>
      <c r="E63" s="56"/>
      <c r="F63" s="57"/>
    </row>
    <row r="64" spans="1:23" x14ac:dyDescent="0.6">
      <c r="A64" s="56"/>
      <c r="B64" s="56"/>
      <c r="C64" s="56"/>
      <c r="D64" s="56"/>
      <c r="E64" s="56"/>
      <c r="F64" s="57"/>
    </row>
    <row r="66" spans="1:18" x14ac:dyDescent="0.6">
      <c r="A66" s="13" t="s">
        <v>42</v>
      </c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</row>
    <row r="67" spans="1:18" x14ac:dyDescent="0.6">
      <c r="A67" s="15"/>
    </row>
    <row r="68" spans="1:18" x14ac:dyDescent="0.6">
      <c r="G68" s="44">
        <f t="shared" ref="G68:O68" si="14">G7</f>
        <v>2009</v>
      </c>
      <c r="H68" s="44">
        <f t="shared" si="14"/>
        <v>2010</v>
      </c>
      <c r="I68" s="44">
        <f t="shared" si="14"/>
        <v>2011</v>
      </c>
      <c r="J68" s="44">
        <f t="shared" si="14"/>
        <v>2012</v>
      </c>
      <c r="K68" s="44">
        <f t="shared" si="14"/>
        <v>2013</v>
      </c>
      <c r="L68" s="44">
        <f t="shared" si="14"/>
        <v>2014</v>
      </c>
      <c r="M68" s="44">
        <f t="shared" si="14"/>
        <v>2015</v>
      </c>
      <c r="N68" s="116">
        <f t="shared" si="14"/>
        <v>2016</v>
      </c>
      <c r="O68" s="116">
        <f t="shared" si="14"/>
        <v>2017</v>
      </c>
      <c r="P68" s="116">
        <f>O68+1</f>
        <v>2018</v>
      </c>
      <c r="Q68" s="116">
        <f>P68+1</f>
        <v>2019</v>
      </c>
      <c r="R68" s="116">
        <f>Q68+1</f>
        <v>2020</v>
      </c>
    </row>
    <row r="69" spans="1:18" x14ac:dyDescent="0.6">
      <c r="A69" s="9" t="s">
        <v>116</v>
      </c>
      <c r="G69" s="17"/>
      <c r="H69" s="17">
        <f t="shared" ref="H69:R69" si="15">H10</f>
        <v>0.62660944206008584</v>
      </c>
      <c r="I69" s="17">
        <f t="shared" si="15"/>
        <v>1.5804749340369395</v>
      </c>
      <c r="J69" s="17">
        <f t="shared" si="15"/>
        <v>7.5327198364008172</v>
      </c>
      <c r="K69" s="17">
        <f t="shared" si="15"/>
        <v>0.83762732174955068</v>
      </c>
      <c r="L69" s="17">
        <f t="shared" si="15"/>
        <v>0.92324747310074984</v>
      </c>
      <c r="M69" s="17">
        <f t="shared" si="15"/>
        <v>0.69619909809107239</v>
      </c>
      <c r="N69" s="17">
        <f t="shared" si="15"/>
        <v>0.40489999999999998</v>
      </c>
      <c r="O69" s="17">
        <f t="shared" si="15"/>
        <v>0.2</v>
      </c>
      <c r="P69" s="17">
        <f t="shared" si="15"/>
        <v>0.1</v>
      </c>
      <c r="Q69" s="17">
        <f t="shared" si="15"/>
        <v>0.05</v>
      </c>
      <c r="R69" s="17">
        <f t="shared" si="15"/>
        <v>0.03</v>
      </c>
    </row>
    <row r="70" spans="1:18" x14ac:dyDescent="0.6">
      <c r="A70" s="9" t="s">
        <v>21</v>
      </c>
      <c r="G70" s="17">
        <f t="shared" ref="G70:R70" si="16">G12/G9</f>
        <v>-5.1502145922746781E-2</v>
      </c>
      <c r="H70" s="17">
        <f t="shared" si="16"/>
        <v>-2.3746701846965697E-2</v>
      </c>
      <c r="I70" s="17">
        <f t="shared" si="16"/>
        <v>-3.0674846625766872E-3</v>
      </c>
      <c r="J70" s="17">
        <f t="shared" si="16"/>
        <v>1.2462552426602757E-2</v>
      </c>
      <c r="K70" s="17">
        <f t="shared" si="16"/>
        <v>3.2344310401043366E-2</v>
      </c>
      <c r="L70" s="17">
        <f t="shared" si="16"/>
        <v>2.268334859119113E-2</v>
      </c>
      <c r="M70" s="17">
        <f t="shared" si="16"/>
        <v>8.0598088993723269E-2</v>
      </c>
      <c r="N70" s="17">
        <f t="shared" si="16"/>
        <v>8.6478471194978618E-2</v>
      </c>
      <c r="O70" s="17">
        <f t="shared" si="16"/>
        <v>9.2358853396233967E-2</v>
      </c>
      <c r="P70" s="17">
        <f t="shared" si="16"/>
        <v>9.823923559748933E-2</v>
      </c>
      <c r="Q70" s="17">
        <f t="shared" si="16"/>
        <v>0.10411961779874467</v>
      </c>
      <c r="R70" s="17">
        <f t="shared" si="16"/>
        <v>0.11</v>
      </c>
    </row>
    <row r="71" spans="1:18" ht="10.5" customHeight="1" x14ac:dyDescent="0.6"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 x14ac:dyDescent="0.6">
      <c r="A72" s="9" t="s">
        <v>22</v>
      </c>
      <c r="G72" s="17">
        <f t="shared" ref="G72:R72" si="17">G15/G9</f>
        <v>-5.1502145922746781E-2</v>
      </c>
      <c r="H72" s="17">
        <f t="shared" si="17"/>
        <v>-2.3746701846965697E-2</v>
      </c>
      <c r="I72" s="17">
        <f t="shared" si="17"/>
        <v>-3.0674846625766872E-3</v>
      </c>
      <c r="J72" s="17">
        <f t="shared" si="17"/>
        <v>1.2462552426602757E-2</v>
      </c>
      <c r="K72" s="17">
        <f t="shared" si="17"/>
        <v>3.2344310401043366E-2</v>
      </c>
      <c r="L72" s="17">
        <f t="shared" si="17"/>
        <v>2.268334859119113E-2</v>
      </c>
      <c r="M72" s="17">
        <f t="shared" si="17"/>
        <v>8.0598088993723269E-2</v>
      </c>
      <c r="N72" s="17">
        <f t="shared" si="17"/>
        <v>8.6478471194978618E-2</v>
      </c>
      <c r="O72" s="17">
        <f t="shared" si="17"/>
        <v>9.2358853396233967E-2</v>
      </c>
      <c r="P72" s="17">
        <f t="shared" si="17"/>
        <v>9.823923559748933E-2</v>
      </c>
      <c r="Q72" s="17">
        <f t="shared" si="17"/>
        <v>0.10411961779874467</v>
      </c>
      <c r="R72" s="17">
        <f t="shared" si="17"/>
        <v>0.11</v>
      </c>
    </row>
    <row r="73" spans="1:18" x14ac:dyDescent="0.6">
      <c r="A73" s="9" t="s">
        <v>43</v>
      </c>
      <c r="G73" s="17">
        <f t="shared" ref="G73:R73" si="18">-G18/G9</f>
        <v>0</v>
      </c>
      <c r="H73" s="17">
        <f t="shared" si="18"/>
        <v>0</v>
      </c>
      <c r="I73" s="17">
        <f t="shared" si="18"/>
        <v>0</v>
      </c>
      <c r="J73" s="17">
        <f t="shared" si="18"/>
        <v>1.3181545835829838E-3</v>
      </c>
      <c r="K73" s="17">
        <f t="shared" si="18"/>
        <v>1.0955330942288882E-2</v>
      </c>
      <c r="L73" s="17">
        <f t="shared" si="18"/>
        <v>7.6967415997016243E-3</v>
      </c>
      <c r="M73" s="17">
        <f t="shared" si="18"/>
        <v>2.7405749010514534E-2</v>
      </c>
      <c r="N73" s="17">
        <f t="shared" si="18"/>
        <v>2.9405253970316392E-2</v>
      </c>
      <c r="O73" s="17">
        <f t="shared" si="18"/>
        <v>3.1404758930118251E-2</v>
      </c>
      <c r="P73" s="17">
        <f t="shared" si="18"/>
        <v>3.3404263889920106E-2</v>
      </c>
      <c r="Q73" s="17">
        <f t="shared" si="18"/>
        <v>3.5403768849721962E-2</v>
      </c>
      <c r="R73" s="17">
        <f t="shared" si="18"/>
        <v>3.740327380952381E-2</v>
      </c>
    </row>
    <row r="74" spans="1:18" x14ac:dyDescent="0.6">
      <c r="A74" s="9" t="s">
        <v>44</v>
      </c>
      <c r="E74" s="45"/>
      <c r="G74" s="58">
        <f t="shared" ref="G74:R74" si="19">+G20/G9</f>
        <v>0</v>
      </c>
      <c r="H74" s="58">
        <f t="shared" si="19"/>
        <v>0</v>
      </c>
      <c r="I74" s="58">
        <f t="shared" si="19"/>
        <v>0</v>
      </c>
      <c r="J74" s="58">
        <f t="shared" si="19"/>
        <v>0</v>
      </c>
      <c r="K74" s="58">
        <f t="shared" si="19"/>
        <v>0</v>
      </c>
      <c r="L74" s="58">
        <f t="shared" si="19"/>
        <v>0</v>
      </c>
      <c r="M74" s="58">
        <f t="shared" si="19"/>
        <v>0</v>
      </c>
      <c r="N74" s="58">
        <f t="shared" si="19"/>
        <v>0</v>
      </c>
      <c r="O74" s="58">
        <f t="shared" si="19"/>
        <v>0</v>
      </c>
      <c r="P74" s="58">
        <f t="shared" si="19"/>
        <v>0</v>
      </c>
      <c r="Q74" s="58">
        <f t="shared" si="19"/>
        <v>0</v>
      </c>
      <c r="R74" s="58">
        <f t="shared" si="19"/>
        <v>0</v>
      </c>
    </row>
    <row r="75" spans="1:18" x14ac:dyDescent="0.6">
      <c r="A75" s="9" t="s">
        <v>45</v>
      </c>
      <c r="E75" s="45"/>
      <c r="G75" s="58">
        <f t="shared" ref="G75:R75" si="20">-G21/G9</f>
        <v>0</v>
      </c>
      <c r="H75" s="58">
        <f t="shared" si="20"/>
        <v>0</v>
      </c>
      <c r="I75" s="58">
        <f t="shared" si="20"/>
        <v>0</v>
      </c>
      <c r="J75" s="58">
        <f t="shared" si="20"/>
        <v>0</v>
      </c>
      <c r="K75" s="58">
        <f t="shared" si="20"/>
        <v>0</v>
      </c>
      <c r="L75" s="58">
        <f t="shared" si="20"/>
        <v>0</v>
      </c>
      <c r="M75" s="58">
        <f t="shared" si="20"/>
        <v>0</v>
      </c>
      <c r="N75" s="58">
        <f t="shared" si="20"/>
        <v>0</v>
      </c>
      <c r="O75" s="58">
        <f t="shared" si="20"/>
        <v>0</v>
      </c>
      <c r="P75" s="58">
        <f t="shared" si="20"/>
        <v>0</v>
      </c>
      <c r="Q75" s="58">
        <f t="shared" si="20"/>
        <v>0</v>
      </c>
      <c r="R75" s="58">
        <f t="shared" si="20"/>
        <v>0</v>
      </c>
    </row>
    <row r="76" spans="1:18" x14ac:dyDescent="0.6">
      <c r="A76" s="9" t="s">
        <v>46</v>
      </c>
      <c r="E76" s="45"/>
      <c r="F76" s="59"/>
      <c r="G76" s="17">
        <f t="shared" ref="G76:R76" si="21">+-G22/G9</f>
        <v>9.012875536480687E-2</v>
      </c>
      <c r="H76" s="17">
        <f t="shared" si="21"/>
        <v>1.8469656992084433E-2</v>
      </c>
      <c r="I76" s="17">
        <f t="shared" si="21"/>
        <v>0.11247443762781185</v>
      </c>
      <c r="J76" s="17">
        <f t="shared" si="21"/>
        <v>0.13265428400239665</v>
      </c>
      <c r="K76" s="17">
        <f t="shared" si="21"/>
        <v>5.921095533094229E-2</v>
      </c>
      <c r="L76" s="17">
        <f t="shared" si="21"/>
        <v>4.0212931882141527E-2</v>
      </c>
      <c r="M76" s="117">
        <f t="shared" si="21"/>
        <v>3.3262703394234996E-2</v>
      </c>
      <c r="N76" s="117">
        <f t="shared" si="21"/>
        <v>4.2028170079301742E-2</v>
      </c>
      <c r="O76" s="117">
        <f t="shared" si="21"/>
        <v>1.8868884141999779E-2</v>
      </c>
      <c r="P76" s="117">
        <f t="shared" si="21"/>
        <v>1.0292118622908993E-2</v>
      </c>
      <c r="Q76" s="117">
        <f t="shared" si="21"/>
        <v>5.3911097548570847E-3</v>
      </c>
      <c r="R76" s="117">
        <f t="shared" si="21"/>
        <v>5.0841700466031361E-3</v>
      </c>
    </row>
    <row r="77" spans="1:18" x14ac:dyDescent="0.6">
      <c r="A77" s="9" t="s">
        <v>47</v>
      </c>
      <c r="E77" s="45"/>
      <c r="F77" s="59"/>
      <c r="G77" s="17">
        <f t="shared" ref="G77:R77" si="22">G24/G9</f>
        <v>-0.14163090128755365</v>
      </c>
      <c r="H77" s="17">
        <f t="shared" si="22"/>
        <v>-4.221635883905013E-2</v>
      </c>
      <c r="I77" s="17">
        <f t="shared" si="22"/>
        <v>-0.11554192229038855</v>
      </c>
      <c r="J77" s="17">
        <f t="shared" si="22"/>
        <v>-0.12150988615937687</v>
      </c>
      <c r="K77" s="17">
        <f t="shared" si="22"/>
        <v>-3.7821975872187809E-2</v>
      </c>
      <c r="L77" s="17">
        <f t="shared" si="22"/>
        <v>-2.5226324890652019E-2</v>
      </c>
      <c r="M77" s="17">
        <f t="shared" si="22"/>
        <v>1.9929636588973735E-2</v>
      </c>
      <c r="N77" s="17">
        <f t="shared" si="22"/>
        <v>1.5045047145360483E-2</v>
      </c>
      <c r="O77" s="17">
        <f t="shared" si="22"/>
        <v>4.2085210324115926E-2</v>
      </c>
      <c r="P77" s="17">
        <f t="shared" si="22"/>
        <v>5.4542853084660226E-2</v>
      </c>
      <c r="Q77" s="17">
        <f t="shared" si="22"/>
        <v>6.3324739194165619E-2</v>
      </c>
      <c r="R77" s="17">
        <f t="shared" si="22"/>
        <v>6.7512556143873054E-2</v>
      </c>
    </row>
    <row r="78" spans="1:18" ht="10.5" customHeight="1" x14ac:dyDescent="0.6">
      <c r="E78" s="45"/>
      <c r="F78" s="59"/>
      <c r="G78" s="60">
        <f>G72-G73+G74-G75-G76-G77</f>
        <v>0</v>
      </c>
      <c r="H78" s="60">
        <f>H72-H73+H74-H75-H76-H77</f>
        <v>0</v>
      </c>
      <c r="I78" s="60">
        <f>I72-I73+I74-I75-I76-I77</f>
        <v>0</v>
      </c>
      <c r="J78" s="60">
        <f t="shared" ref="J78:R78" si="23">J72-J73+J74-J75-J76-J77</f>
        <v>0</v>
      </c>
      <c r="K78" s="60">
        <f t="shared" si="23"/>
        <v>0</v>
      </c>
      <c r="L78" s="60">
        <f t="shared" si="23"/>
        <v>0</v>
      </c>
      <c r="M78" s="60">
        <f t="shared" si="23"/>
        <v>0</v>
      </c>
      <c r="N78" s="60">
        <f t="shared" si="23"/>
        <v>0</v>
      </c>
      <c r="O78" s="60">
        <f t="shared" si="23"/>
        <v>0</v>
      </c>
      <c r="P78" s="60">
        <f t="shared" si="23"/>
        <v>0</v>
      </c>
      <c r="Q78" s="60">
        <f t="shared" si="23"/>
        <v>0</v>
      </c>
      <c r="R78" s="60">
        <f t="shared" si="23"/>
        <v>0</v>
      </c>
    </row>
    <row r="79" spans="1:18" x14ac:dyDescent="0.6">
      <c r="A79" s="9" t="s">
        <v>48</v>
      </c>
      <c r="E79" s="45"/>
      <c r="F79" s="58"/>
      <c r="G79" s="58">
        <f t="shared" ref="G79:M79" si="24">-G18/G15</f>
        <v>0</v>
      </c>
      <c r="H79" s="58">
        <f t="shared" si="24"/>
        <v>0</v>
      </c>
      <c r="I79" s="58">
        <f t="shared" si="24"/>
        <v>0</v>
      </c>
      <c r="J79" s="58">
        <f t="shared" si="24"/>
        <v>0.10576923076923077</v>
      </c>
      <c r="K79" s="58">
        <f t="shared" si="24"/>
        <v>0.33870967741935482</v>
      </c>
      <c r="L79" s="58">
        <f t="shared" si="24"/>
        <v>0.33931240657698059</v>
      </c>
      <c r="M79" s="58">
        <f t="shared" si="24"/>
        <v>0.34002976190476192</v>
      </c>
      <c r="N79" s="115">
        <f>M79</f>
        <v>0.34002976190476192</v>
      </c>
      <c r="O79" s="115">
        <f t="shared" ref="O79:R79" si="25">N79</f>
        <v>0.34002976190476192</v>
      </c>
      <c r="P79" s="115">
        <f t="shared" si="25"/>
        <v>0.34002976190476192</v>
      </c>
      <c r="Q79" s="115">
        <f t="shared" si="25"/>
        <v>0.34002976190476192</v>
      </c>
      <c r="R79" s="115">
        <f t="shared" si="25"/>
        <v>0.34002976190476192</v>
      </c>
    </row>
    <row r="80" spans="1:18" x14ac:dyDescent="0.6">
      <c r="E80" s="45"/>
    </row>
    <row r="81" spans="1:255" s="129" customFormat="1" x14ac:dyDescent="0.6">
      <c r="A81" s="40" t="s">
        <v>111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s="129" customFormat="1" x14ac:dyDescent="0.6">
      <c r="A82" s="79" t="s">
        <v>109</v>
      </c>
      <c r="B82" s="79"/>
      <c r="C82" s="79"/>
      <c r="D82" s="79"/>
      <c r="E82" s="9"/>
      <c r="F82" s="9"/>
      <c r="G82" s="16">
        <f>'Exhibit 6'!C20</f>
        <v>21</v>
      </c>
      <c r="H82" s="16">
        <f>'Exhibit 6'!D20</f>
        <v>28</v>
      </c>
      <c r="I82" s="16">
        <f>'Exhibit 6'!E20</f>
        <v>138</v>
      </c>
      <c r="J82" s="16">
        <f>'Exhibit 6'!F20</f>
        <v>1245</v>
      </c>
      <c r="K82" s="16">
        <f>'Exhibit 6'!G20</f>
        <v>2153</v>
      </c>
      <c r="L82" s="16">
        <f>'Exhibit 6'!H20</f>
        <v>3339</v>
      </c>
      <c r="M82" s="16">
        <f>'Exhibit 6'!I20</f>
        <v>5003</v>
      </c>
      <c r="N82" s="16">
        <f>N83*N9</f>
        <v>7956.8039870003058</v>
      </c>
      <c r="O82" s="16">
        <f>O83*O9</f>
        <v>9548.1647844003655</v>
      </c>
      <c r="P82" s="16">
        <f>P83*P9</f>
        <v>10502.981262840403</v>
      </c>
      <c r="Q82" s="16">
        <f>Q83*Q9</f>
        <v>11028.130325982424</v>
      </c>
      <c r="R82" s="16">
        <f>R83*R9</f>
        <v>11538.237831854582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s="129" customFormat="1" x14ac:dyDescent="0.6">
      <c r="A83" s="9" t="s">
        <v>112</v>
      </c>
      <c r="B83" s="9"/>
      <c r="C83" s="9"/>
      <c r="D83" s="9"/>
      <c r="E83" s="45"/>
      <c r="F83" s="59"/>
      <c r="G83" s="17">
        <f t="shared" ref="G83:M83" si="26">G82/G9</f>
        <v>9.012875536480687E-2</v>
      </c>
      <c r="H83" s="17">
        <f t="shared" si="26"/>
        <v>7.3878627968337732E-2</v>
      </c>
      <c r="I83" s="17">
        <f t="shared" si="26"/>
        <v>0.1411042944785276</v>
      </c>
      <c r="J83" s="17">
        <f t="shared" si="26"/>
        <v>0.14919113241461954</v>
      </c>
      <c r="K83" s="17">
        <f t="shared" si="26"/>
        <v>0.14039778284969026</v>
      </c>
      <c r="L83" s="51">
        <f t="shared" si="26"/>
        <v>0.11321330485199878</v>
      </c>
      <c r="M83" s="51">
        <f t="shared" si="26"/>
        <v>0.10000799584216208</v>
      </c>
      <c r="N83" s="133">
        <f>L83</f>
        <v>0.11321330485199878</v>
      </c>
      <c r="O83" s="133">
        <f t="shared" ref="O83:Q84" si="27">N83</f>
        <v>0.11321330485199878</v>
      </c>
      <c r="P83" s="133">
        <f t="shared" si="27"/>
        <v>0.11321330485199878</v>
      </c>
      <c r="Q83" s="133">
        <f t="shared" si="27"/>
        <v>0.11321330485199878</v>
      </c>
      <c r="R83" s="133">
        <v>0.115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s="129" customFormat="1" x14ac:dyDescent="0.6">
      <c r="A84" s="79" t="s">
        <v>114</v>
      </c>
      <c r="B84" s="79"/>
      <c r="C84" s="79"/>
      <c r="D84" s="79"/>
      <c r="E84" s="9"/>
      <c r="F84" s="9"/>
      <c r="G84" s="9"/>
      <c r="H84" s="9"/>
      <c r="I84" s="130">
        <v>0.5</v>
      </c>
      <c r="J84" s="131">
        <f>I84</f>
        <v>0.5</v>
      </c>
      <c r="K84" s="130">
        <f>J84</f>
        <v>0.5</v>
      </c>
      <c r="L84" s="130">
        <f>K84</f>
        <v>0.5</v>
      </c>
      <c r="M84" s="130">
        <f>L84</f>
        <v>0.5</v>
      </c>
      <c r="N84" s="130">
        <f>M84</f>
        <v>0.5</v>
      </c>
      <c r="O84" s="130">
        <f t="shared" si="27"/>
        <v>0.5</v>
      </c>
      <c r="P84" s="130">
        <f t="shared" si="27"/>
        <v>0.5</v>
      </c>
      <c r="Q84" s="130">
        <f t="shared" si="27"/>
        <v>0.5</v>
      </c>
      <c r="R84" s="130">
        <f>Q84</f>
        <v>0.5</v>
      </c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</row>
    <row r="85" spans="1:255" s="129" customFormat="1" x14ac:dyDescent="0.6">
      <c r="A85" s="79" t="s">
        <v>113</v>
      </c>
      <c r="B85" s="79"/>
      <c r="C85" s="79"/>
      <c r="D85" s="79"/>
      <c r="E85" s="9"/>
      <c r="F85" s="9"/>
      <c r="G85" s="9"/>
      <c r="H85" s="9"/>
      <c r="I85" s="16">
        <f t="shared" ref="I85:R85" si="28">I82*I84</f>
        <v>69</v>
      </c>
      <c r="J85" s="16">
        <f t="shared" si="28"/>
        <v>622.5</v>
      </c>
      <c r="K85" s="16">
        <f t="shared" si="28"/>
        <v>1076.5</v>
      </c>
      <c r="L85" s="16">
        <f t="shared" si="28"/>
        <v>1669.5</v>
      </c>
      <c r="M85" s="16">
        <f t="shared" si="28"/>
        <v>2501.5</v>
      </c>
      <c r="N85" s="16">
        <f t="shared" si="28"/>
        <v>3978.4019935001529</v>
      </c>
      <c r="O85" s="16">
        <f t="shared" si="28"/>
        <v>4774.0823922001828</v>
      </c>
      <c r="P85" s="16">
        <f t="shared" si="28"/>
        <v>5251.4906314202017</v>
      </c>
      <c r="Q85" s="16">
        <f t="shared" si="28"/>
        <v>5514.0651629912118</v>
      </c>
      <c r="R85" s="16">
        <f t="shared" si="28"/>
        <v>5769.1189159272908</v>
      </c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</row>
    <row r="86" spans="1:255" s="129" customFormat="1" x14ac:dyDescent="0.6">
      <c r="A86" s="79" t="s">
        <v>115</v>
      </c>
      <c r="B86" s="9"/>
      <c r="C86" s="9"/>
      <c r="D86" s="9"/>
      <c r="E86" s="9"/>
      <c r="F86" s="9"/>
      <c r="G86" s="9"/>
      <c r="H86" s="9"/>
      <c r="I86" s="9"/>
      <c r="J86" s="132">
        <f>J85*(0.04+0.005)</f>
        <v>28.012499999999999</v>
      </c>
      <c r="K86" s="132">
        <f t="shared" ref="K86:R86" si="29">K85*(0.04+0.005)</f>
        <v>48.442499999999995</v>
      </c>
      <c r="L86" s="132">
        <f t="shared" si="29"/>
        <v>75.127499999999998</v>
      </c>
      <c r="M86" s="132">
        <f t="shared" si="29"/>
        <v>112.5675</v>
      </c>
      <c r="N86" s="132">
        <f t="shared" si="29"/>
        <v>179.02808970750687</v>
      </c>
      <c r="O86" s="132">
        <f t="shared" si="29"/>
        <v>214.8337076490082</v>
      </c>
      <c r="P86" s="132">
        <f t="shared" si="29"/>
        <v>236.31707841390906</v>
      </c>
      <c r="Q86" s="132">
        <f t="shared" si="29"/>
        <v>248.13293233460453</v>
      </c>
      <c r="R86" s="132">
        <f t="shared" si="29"/>
        <v>259.61035121672808</v>
      </c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</row>
    <row r="87" spans="1:255" x14ac:dyDescent="0.6">
      <c r="A87" s="9" t="s">
        <v>117</v>
      </c>
      <c r="J87" s="16">
        <f>J24</f>
        <v>-1014</v>
      </c>
      <c r="K87" s="16">
        <f t="shared" ref="K87:R87" si="30">K24</f>
        <v>-580</v>
      </c>
      <c r="L87" s="16">
        <f t="shared" si="30"/>
        <v>-744</v>
      </c>
      <c r="M87" s="16">
        <f t="shared" si="30"/>
        <v>997</v>
      </c>
      <c r="N87" s="16">
        <f t="shared" si="30"/>
        <v>1057.3888931809447</v>
      </c>
      <c r="O87" s="16">
        <f t="shared" si="30"/>
        <v>3549.37543503494</v>
      </c>
      <c r="P87" s="16">
        <f t="shared" si="30"/>
        <v>5060.0286310777137</v>
      </c>
      <c r="Q87" s="16">
        <f t="shared" si="30"/>
        <v>6168.4753183828316</v>
      </c>
      <c r="R87" s="16">
        <f t="shared" si="30"/>
        <v>6773.7037341255873</v>
      </c>
    </row>
    <row r="89" spans="1:255" x14ac:dyDescent="0.6">
      <c r="F89" s="45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7296-735B-4B80-A079-8A82032879EF}">
  <sheetPr>
    <pageSetUpPr fitToPage="1"/>
  </sheetPr>
  <dimension ref="A1:R35"/>
  <sheetViews>
    <sheetView showGridLines="0" zoomScale="108" zoomScaleNormal="118" workbookViewId="0">
      <selection activeCell="I20" sqref="I20"/>
    </sheetView>
  </sheetViews>
  <sheetFormatPr baseColWidth="10" defaultColWidth="10.83984375" defaultRowHeight="12.9" x14ac:dyDescent="0.5"/>
  <cols>
    <col min="1" max="1" width="2.68359375" style="135" customWidth="1"/>
    <col min="2" max="2" width="10.1015625" style="135" customWidth="1"/>
    <col min="3" max="3" width="10.68359375" style="135" customWidth="1"/>
    <col min="4" max="4" width="1.1015625" style="135" customWidth="1"/>
    <col min="5" max="9" width="9.68359375" style="135" customWidth="1"/>
    <col min="10" max="10" width="8.3671875" style="135" customWidth="1"/>
    <col min="11" max="11" width="10.1015625" style="135" customWidth="1"/>
    <col min="12" max="12" width="10.68359375" style="135" customWidth="1"/>
    <col min="13" max="13" width="1.1015625" style="135" customWidth="1"/>
    <col min="14" max="18" width="9.68359375" style="135" customWidth="1"/>
    <col min="19" max="24" width="8.3671875" style="135" customWidth="1"/>
    <col min="25" max="263" width="10.83984375" style="135"/>
    <col min="264" max="264" width="2.68359375" style="135" customWidth="1"/>
    <col min="265" max="265" width="19.734375" style="135" customWidth="1"/>
    <col min="266" max="266" width="10.68359375" style="135" customWidth="1"/>
    <col min="267" max="267" width="1.1015625" style="135" customWidth="1"/>
    <col min="268" max="270" width="8.1015625" style="135" customWidth="1"/>
    <col min="271" max="271" width="8.7890625" style="135" customWidth="1"/>
    <col min="272" max="272" width="8.68359375" style="135" customWidth="1"/>
    <col min="273" max="273" width="8.7890625" style="135" customWidth="1"/>
    <col min="274" max="280" width="8.3671875" style="135" customWidth="1"/>
    <col min="281" max="519" width="10.83984375" style="135"/>
    <col min="520" max="520" width="2.68359375" style="135" customWidth="1"/>
    <col min="521" max="521" width="19.734375" style="135" customWidth="1"/>
    <col min="522" max="522" width="10.68359375" style="135" customWidth="1"/>
    <col min="523" max="523" width="1.1015625" style="135" customWidth="1"/>
    <col min="524" max="526" width="8.1015625" style="135" customWidth="1"/>
    <col min="527" max="527" width="8.7890625" style="135" customWidth="1"/>
    <col min="528" max="528" width="8.68359375" style="135" customWidth="1"/>
    <col min="529" max="529" width="8.7890625" style="135" customWidth="1"/>
    <col min="530" max="536" width="8.3671875" style="135" customWidth="1"/>
    <col min="537" max="775" width="10.83984375" style="135"/>
    <col min="776" max="776" width="2.68359375" style="135" customWidth="1"/>
    <col min="777" max="777" width="19.734375" style="135" customWidth="1"/>
    <col min="778" max="778" width="10.68359375" style="135" customWidth="1"/>
    <col min="779" max="779" width="1.1015625" style="135" customWidth="1"/>
    <col min="780" max="782" width="8.1015625" style="135" customWidth="1"/>
    <col min="783" max="783" width="8.7890625" style="135" customWidth="1"/>
    <col min="784" max="784" width="8.68359375" style="135" customWidth="1"/>
    <col min="785" max="785" width="8.7890625" style="135" customWidth="1"/>
    <col min="786" max="792" width="8.3671875" style="135" customWidth="1"/>
    <col min="793" max="1031" width="10.83984375" style="135"/>
    <col min="1032" max="1032" width="2.68359375" style="135" customWidth="1"/>
    <col min="1033" max="1033" width="19.734375" style="135" customWidth="1"/>
    <col min="1034" max="1034" width="10.68359375" style="135" customWidth="1"/>
    <col min="1035" max="1035" width="1.1015625" style="135" customWidth="1"/>
    <col min="1036" max="1038" width="8.1015625" style="135" customWidth="1"/>
    <col min="1039" max="1039" width="8.7890625" style="135" customWidth="1"/>
    <col min="1040" max="1040" width="8.68359375" style="135" customWidth="1"/>
    <col min="1041" max="1041" width="8.7890625" style="135" customWidth="1"/>
    <col min="1042" max="1048" width="8.3671875" style="135" customWidth="1"/>
    <col min="1049" max="1287" width="10.83984375" style="135"/>
    <col min="1288" max="1288" width="2.68359375" style="135" customWidth="1"/>
    <col min="1289" max="1289" width="19.734375" style="135" customWidth="1"/>
    <col min="1290" max="1290" width="10.68359375" style="135" customWidth="1"/>
    <col min="1291" max="1291" width="1.1015625" style="135" customWidth="1"/>
    <col min="1292" max="1294" width="8.1015625" style="135" customWidth="1"/>
    <col min="1295" max="1295" width="8.7890625" style="135" customWidth="1"/>
    <col min="1296" max="1296" width="8.68359375" style="135" customWidth="1"/>
    <col min="1297" max="1297" width="8.7890625" style="135" customWidth="1"/>
    <col min="1298" max="1304" width="8.3671875" style="135" customWidth="1"/>
    <col min="1305" max="1543" width="10.83984375" style="135"/>
    <col min="1544" max="1544" width="2.68359375" style="135" customWidth="1"/>
    <col min="1545" max="1545" width="19.734375" style="135" customWidth="1"/>
    <col min="1546" max="1546" width="10.68359375" style="135" customWidth="1"/>
    <col min="1547" max="1547" width="1.1015625" style="135" customWidth="1"/>
    <col min="1548" max="1550" width="8.1015625" style="135" customWidth="1"/>
    <col min="1551" max="1551" width="8.7890625" style="135" customWidth="1"/>
    <col min="1552" max="1552" width="8.68359375" style="135" customWidth="1"/>
    <col min="1553" max="1553" width="8.7890625" style="135" customWidth="1"/>
    <col min="1554" max="1560" width="8.3671875" style="135" customWidth="1"/>
    <col min="1561" max="1799" width="10.83984375" style="135"/>
    <col min="1800" max="1800" width="2.68359375" style="135" customWidth="1"/>
    <col min="1801" max="1801" width="19.734375" style="135" customWidth="1"/>
    <col min="1802" max="1802" width="10.68359375" style="135" customWidth="1"/>
    <col min="1803" max="1803" width="1.1015625" style="135" customWidth="1"/>
    <col min="1804" max="1806" width="8.1015625" style="135" customWidth="1"/>
    <col min="1807" max="1807" width="8.7890625" style="135" customWidth="1"/>
    <col min="1808" max="1808" width="8.68359375" style="135" customWidth="1"/>
    <col min="1809" max="1809" width="8.7890625" style="135" customWidth="1"/>
    <col min="1810" max="1816" width="8.3671875" style="135" customWidth="1"/>
    <col min="1817" max="2055" width="10.83984375" style="135"/>
    <col min="2056" max="2056" width="2.68359375" style="135" customWidth="1"/>
    <col min="2057" max="2057" width="19.734375" style="135" customWidth="1"/>
    <col min="2058" max="2058" width="10.68359375" style="135" customWidth="1"/>
    <col min="2059" max="2059" width="1.1015625" style="135" customWidth="1"/>
    <col min="2060" max="2062" width="8.1015625" style="135" customWidth="1"/>
    <col min="2063" max="2063" width="8.7890625" style="135" customWidth="1"/>
    <col min="2064" max="2064" width="8.68359375" style="135" customWidth="1"/>
    <col min="2065" max="2065" width="8.7890625" style="135" customWidth="1"/>
    <col min="2066" max="2072" width="8.3671875" style="135" customWidth="1"/>
    <col min="2073" max="2311" width="10.83984375" style="135"/>
    <col min="2312" max="2312" width="2.68359375" style="135" customWidth="1"/>
    <col min="2313" max="2313" width="19.734375" style="135" customWidth="1"/>
    <col min="2314" max="2314" width="10.68359375" style="135" customWidth="1"/>
    <col min="2315" max="2315" width="1.1015625" style="135" customWidth="1"/>
    <col min="2316" max="2318" width="8.1015625" style="135" customWidth="1"/>
    <col min="2319" max="2319" width="8.7890625" style="135" customWidth="1"/>
    <col min="2320" max="2320" width="8.68359375" style="135" customWidth="1"/>
    <col min="2321" max="2321" width="8.7890625" style="135" customWidth="1"/>
    <col min="2322" max="2328" width="8.3671875" style="135" customWidth="1"/>
    <col min="2329" max="2567" width="10.83984375" style="135"/>
    <col min="2568" max="2568" width="2.68359375" style="135" customWidth="1"/>
    <col min="2569" max="2569" width="19.734375" style="135" customWidth="1"/>
    <col min="2570" max="2570" width="10.68359375" style="135" customWidth="1"/>
    <col min="2571" max="2571" width="1.1015625" style="135" customWidth="1"/>
    <col min="2572" max="2574" width="8.1015625" style="135" customWidth="1"/>
    <col min="2575" max="2575" width="8.7890625" style="135" customWidth="1"/>
    <col min="2576" max="2576" width="8.68359375" style="135" customWidth="1"/>
    <col min="2577" max="2577" width="8.7890625" style="135" customWidth="1"/>
    <col min="2578" max="2584" width="8.3671875" style="135" customWidth="1"/>
    <col min="2585" max="2823" width="10.83984375" style="135"/>
    <col min="2824" max="2824" width="2.68359375" style="135" customWidth="1"/>
    <col min="2825" max="2825" width="19.734375" style="135" customWidth="1"/>
    <col min="2826" max="2826" width="10.68359375" style="135" customWidth="1"/>
    <col min="2827" max="2827" width="1.1015625" style="135" customWidth="1"/>
    <col min="2828" max="2830" width="8.1015625" style="135" customWidth="1"/>
    <col min="2831" max="2831" width="8.7890625" style="135" customWidth="1"/>
    <col min="2832" max="2832" width="8.68359375" style="135" customWidth="1"/>
    <col min="2833" max="2833" width="8.7890625" style="135" customWidth="1"/>
    <col min="2834" max="2840" width="8.3671875" style="135" customWidth="1"/>
    <col min="2841" max="3079" width="10.83984375" style="135"/>
    <col min="3080" max="3080" width="2.68359375" style="135" customWidth="1"/>
    <col min="3081" max="3081" width="19.734375" style="135" customWidth="1"/>
    <col min="3082" max="3082" width="10.68359375" style="135" customWidth="1"/>
    <col min="3083" max="3083" width="1.1015625" style="135" customWidth="1"/>
    <col min="3084" max="3086" width="8.1015625" style="135" customWidth="1"/>
    <col min="3087" max="3087" width="8.7890625" style="135" customWidth="1"/>
    <col min="3088" max="3088" width="8.68359375" style="135" customWidth="1"/>
    <col min="3089" max="3089" width="8.7890625" style="135" customWidth="1"/>
    <col min="3090" max="3096" width="8.3671875" style="135" customWidth="1"/>
    <col min="3097" max="3335" width="10.83984375" style="135"/>
    <col min="3336" max="3336" width="2.68359375" style="135" customWidth="1"/>
    <col min="3337" max="3337" width="19.734375" style="135" customWidth="1"/>
    <col min="3338" max="3338" width="10.68359375" style="135" customWidth="1"/>
    <col min="3339" max="3339" width="1.1015625" style="135" customWidth="1"/>
    <col min="3340" max="3342" width="8.1015625" style="135" customWidth="1"/>
    <col min="3343" max="3343" width="8.7890625" style="135" customWidth="1"/>
    <col min="3344" max="3344" width="8.68359375" style="135" customWidth="1"/>
    <col min="3345" max="3345" width="8.7890625" style="135" customWidth="1"/>
    <col min="3346" max="3352" width="8.3671875" style="135" customWidth="1"/>
    <col min="3353" max="3591" width="10.83984375" style="135"/>
    <col min="3592" max="3592" width="2.68359375" style="135" customWidth="1"/>
    <col min="3593" max="3593" width="19.734375" style="135" customWidth="1"/>
    <col min="3594" max="3594" width="10.68359375" style="135" customWidth="1"/>
    <col min="3595" max="3595" width="1.1015625" style="135" customWidth="1"/>
    <col min="3596" max="3598" width="8.1015625" style="135" customWidth="1"/>
    <col min="3599" max="3599" width="8.7890625" style="135" customWidth="1"/>
    <col min="3600" max="3600" width="8.68359375" style="135" customWidth="1"/>
    <col min="3601" max="3601" width="8.7890625" style="135" customWidth="1"/>
    <col min="3602" max="3608" width="8.3671875" style="135" customWidth="1"/>
    <col min="3609" max="3847" width="10.83984375" style="135"/>
    <col min="3848" max="3848" width="2.68359375" style="135" customWidth="1"/>
    <col min="3849" max="3849" width="19.734375" style="135" customWidth="1"/>
    <col min="3850" max="3850" width="10.68359375" style="135" customWidth="1"/>
    <col min="3851" max="3851" width="1.1015625" style="135" customWidth="1"/>
    <col min="3852" max="3854" width="8.1015625" style="135" customWidth="1"/>
    <col min="3855" max="3855" width="8.7890625" style="135" customWidth="1"/>
    <col min="3856" max="3856" width="8.68359375" style="135" customWidth="1"/>
    <col min="3857" max="3857" width="8.7890625" style="135" customWidth="1"/>
    <col min="3858" max="3864" width="8.3671875" style="135" customWidth="1"/>
    <col min="3865" max="4103" width="10.83984375" style="135"/>
    <col min="4104" max="4104" width="2.68359375" style="135" customWidth="1"/>
    <col min="4105" max="4105" width="19.734375" style="135" customWidth="1"/>
    <col min="4106" max="4106" width="10.68359375" style="135" customWidth="1"/>
    <col min="4107" max="4107" width="1.1015625" style="135" customWidth="1"/>
    <col min="4108" max="4110" width="8.1015625" style="135" customWidth="1"/>
    <col min="4111" max="4111" width="8.7890625" style="135" customWidth="1"/>
    <col min="4112" max="4112" width="8.68359375" style="135" customWidth="1"/>
    <col min="4113" max="4113" width="8.7890625" style="135" customWidth="1"/>
    <col min="4114" max="4120" width="8.3671875" style="135" customWidth="1"/>
    <col min="4121" max="4359" width="10.83984375" style="135"/>
    <col min="4360" max="4360" width="2.68359375" style="135" customWidth="1"/>
    <col min="4361" max="4361" width="19.734375" style="135" customWidth="1"/>
    <col min="4362" max="4362" width="10.68359375" style="135" customWidth="1"/>
    <col min="4363" max="4363" width="1.1015625" style="135" customWidth="1"/>
    <col min="4364" max="4366" width="8.1015625" style="135" customWidth="1"/>
    <col min="4367" max="4367" width="8.7890625" style="135" customWidth="1"/>
    <col min="4368" max="4368" width="8.68359375" style="135" customWidth="1"/>
    <col min="4369" max="4369" width="8.7890625" style="135" customWidth="1"/>
    <col min="4370" max="4376" width="8.3671875" style="135" customWidth="1"/>
    <col min="4377" max="4615" width="10.83984375" style="135"/>
    <col min="4616" max="4616" width="2.68359375" style="135" customWidth="1"/>
    <col min="4617" max="4617" width="19.734375" style="135" customWidth="1"/>
    <col min="4618" max="4618" width="10.68359375" style="135" customWidth="1"/>
    <col min="4619" max="4619" width="1.1015625" style="135" customWidth="1"/>
    <col min="4620" max="4622" width="8.1015625" style="135" customWidth="1"/>
    <col min="4623" max="4623" width="8.7890625" style="135" customWidth="1"/>
    <col min="4624" max="4624" width="8.68359375" style="135" customWidth="1"/>
    <col min="4625" max="4625" width="8.7890625" style="135" customWidth="1"/>
    <col min="4626" max="4632" width="8.3671875" style="135" customWidth="1"/>
    <col min="4633" max="4871" width="10.83984375" style="135"/>
    <col min="4872" max="4872" width="2.68359375" style="135" customWidth="1"/>
    <col min="4873" max="4873" width="19.734375" style="135" customWidth="1"/>
    <col min="4874" max="4874" width="10.68359375" style="135" customWidth="1"/>
    <col min="4875" max="4875" width="1.1015625" style="135" customWidth="1"/>
    <col min="4876" max="4878" width="8.1015625" style="135" customWidth="1"/>
    <col min="4879" max="4879" width="8.7890625" style="135" customWidth="1"/>
    <col min="4880" max="4880" width="8.68359375" style="135" customWidth="1"/>
    <col min="4881" max="4881" width="8.7890625" style="135" customWidth="1"/>
    <col min="4882" max="4888" width="8.3671875" style="135" customWidth="1"/>
    <col min="4889" max="5127" width="10.83984375" style="135"/>
    <col min="5128" max="5128" width="2.68359375" style="135" customWidth="1"/>
    <col min="5129" max="5129" width="19.734375" style="135" customWidth="1"/>
    <col min="5130" max="5130" width="10.68359375" style="135" customWidth="1"/>
    <col min="5131" max="5131" width="1.1015625" style="135" customWidth="1"/>
    <col min="5132" max="5134" width="8.1015625" style="135" customWidth="1"/>
    <col min="5135" max="5135" width="8.7890625" style="135" customWidth="1"/>
    <col min="5136" max="5136" width="8.68359375" style="135" customWidth="1"/>
    <col min="5137" max="5137" width="8.7890625" style="135" customWidth="1"/>
    <col min="5138" max="5144" width="8.3671875" style="135" customWidth="1"/>
    <col min="5145" max="5383" width="10.83984375" style="135"/>
    <col min="5384" max="5384" width="2.68359375" style="135" customWidth="1"/>
    <col min="5385" max="5385" width="19.734375" style="135" customWidth="1"/>
    <col min="5386" max="5386" width="10.68359375" style="135" customWidth="1"/>
    <col min="5387" max="5387" width="1.1015625" style="135" customWidth="1"/>
    <col min="5388" max="5390" width="8.1015625" style="135" customWidth="1"/>
    <col min="5391" max="5391" width="8.7890625" style="135" customWidth="1"/>
    <col min="5392" max="5392" width="8.68359375" style="135" customWidth="1"/>
    <col min="5393" max="5393" width="8.7890625" style="135" customWidth="1"/>
    <col min="5394" max="5400" width="8.3671875" style="135" customWidth="1"/>
    <col min="5401" max="5639" width="10.83984375" style="135"/>
    <col min="5640" max="5640" width="2.68359375" style="135" customWidth="1"/>
    <col min="5641" max="5641" width="19.734375" style="135" customWidth="1"/>
    <col min="5642" max="5642" width="10.68359375" style="135" customWidth="1"/>
    <col min="5643" max="5643" width="1.1015625" style="135" customWidth="1"/>
    <col min="5644" max="5646" width="8.1015625" style="135" customWidth="1"/>
    <col min="5647" max="5647" width="8.7890625" style="135" customWidth="1"/>
    <col min="5648" max="5648" width="8.68359375" style="135" customWidth="1"/>
    <col min="5649" max="5649" width="8.7890625" style="135" customWidth="1"/>
    <col min="5650" max="5656" width="8.3671875" style="135" customWidth="1"/>
    <col min="5657" max="5895" width="10.83984375" style="135"/>
    <col min="5896" max="5896" width="2.68359375" style="135" customWidth="1"/>
    <col min="5897" max="5897" width="19.734375" style="135" customWidth="1"/>
    <col min="5898" max="5898" width="10.68359375" style="135" customWidth="1"/>
    <col min="5899" max="5899" width="1.1015625" style="135" customWidth="1"/>
    <col min="5900" max="5902" width="8.1015625" style="135" customWidth="1"/>
    <col min="5903" max="5903" width="8.7890625" style="135" customWidth="1"/>
    <col min="5904" max="5904" width="8.68359375" style="135" customWidth="1"/>
    <col min="5905" max="5905" width="8.7890625" style="135" customWidth="1"/>
    <col min="5906" max="5912" width="8.3671875" style="135" customWidth="1"/>
    <col min="5913" max="6151" width="10.83984375" style="135"/>
    <col min="6152" max="6152" width="2.68359375" style="135" customWidth="1"/>
    <col min="6153" max="6153" width="19.734375" style="135" customWidth="1"/>
    <col min="6154" max="6154" width="10.68359375" style="135" customWidth="1"/>
    <col min="6155" max="6155" width="1.1015625" style="135" customWidth="1"/>
    <col min="6156" max="6158" width="8.1015625" style="135" customWidth="1"/>
    <col min="6159" max="6159" width="8.7890625" style="135" customWidth="1"/>
    <col min="6160" max="6160" width="8.68359375" style="135" customWidth="1"/>
    <col min="6161" max="6161" width="8.7890625" style="135" customWidth="1"/>
    <col min="6162" max="6168" width="8.3671875" style="135" customWidth="1"/>
    <col min="6169" max="6407" width="10.83984375" style="135"/>
    <col min="6408" max="6408" width="2.68359375" style="135" customWidth="1"/>
    <col min="6409" max="6409" width="19.734375" style="135" customWidth="1"/>
    <col min="6410" max="6410" width="10.68359375" style="135" customWidth="1"/>
    <col min="6411" max="6411" width="1.1015625" style="135" customWidth="1"/>
    <col min="6412" max="6414" width="8.1015625" style="135" customWidth="1"/>
    <col min="6415" max="6415" width="8.7890625" style="135" customWidth="1"/>
    <col min="6416" max="6416" width="8.68359375" style="135" customWidth="1"/>
    <col min="6417" max="6417" width="8.7890625" style="135" customWidth="1"/>
    <col min="6418" max="6424" width="8.3671875" style="135" customWidth="1"/>
    <col min="6425" max="6663" width="10.83984375" style="135"/>
    <col min="6664" max="6664" width="2.68359375" style="135" customWidth="1"/>
    <col min="6665" max="6665" width="19.734375" style="135" customWidth="1"/>
    <col min="6666" max="6666" width="10.68359375" style="135" customWidth="1"/>
    <col min="6667" max="6667" width="1.1015625" style="135" customWidth="1"/>
    <col min="6668" max="6670" width="8.1015625" style="135" customWidth="1"/>
    <col min="6671" max="6671" width="8.7890625" style="135" customWidth="1"/>
    <col min="6672" max="6672" width="8.68359375" style="135" customWidth="1"/>
    <col min="6673" max="6673" width="8.7890625" style="135" customWidth="1"/>
    <col min="6674" max="6680" width="8.3671875" style="135" customWidth="1"/>
    <col min="6681" max="6919" width="10.83984375" style="135"/>
    <col min="6920" max="6920" width="2.68359375" style="135" customWidth="1"/>
    <col min="6921" max="6921" width="19.734375" style="135" customWidth="1"/>
    <col min="6922" max="6922" width="10.68359375" style="135" customWidth="1"/>
    <col min="6923" max="6923" width="1.1015625" style="135" customWidth="1"/>
    <col min="6924" max="6926" width="8.1015625" style="135" customWidth="1"/>
    <col min="6927" max="6927" width="8.7890625" style="135" customWidth="1"/>
    <col min="6928" max="6928" width="8.68359375" style="135" customWidth="1"/>
    <col min="6929" max="6929" width="8.7890625" style="135" customWidth="1"/>
    <col min="6930" max="6936" width="8.3671875" style="135" customWidth="1"/>
    <col min="6937" max="7175" width="10.83984375" style="135"/>
    <col min="7176" max="7176" width="2.68359375" style="135" customWidth="1"/>
    <col min="7177" max="7177" width="19.734375" style="135" customWidth="1"/>
    <col min="7178" max="7178" width="10.68359375" style="135" customWidth="1"/>
    <col min="7179" max="7179" width="1.1015625" style="135" customWidth="1"/>
    <col min="7180" max="7182" width="8.1015625" style="135" customWidth="1"/>
    <col min="7183" max="7183" width="8.7890625" style="135" customWidth="1"/>
    <col min="7184" max="7184" width="8.68359375" style="135" customWidth="1"/>
    <col min="7185" max="7185" width="8.7890625" style="135" customWidth="1"/>
    <col min="7186" max="7192" width="8.3671875" style="135" customWidth="1"/>
    <col min="7193" max="7431" width="10.83984375" style="135"/>
    <col min="7432" max="7432" width="2.68359375" style="135" customWidth="1"/>
    <col min="7433" max="7433" width="19.734375" style="135" customWidth="1"/>
    <col min="7434" max="7434" width="10.68359375" style="135" customWidth="1"/>
    <col min="7435" max="7435" width="1.1015625" style="135" customWidth="1"/>
    <col min="7436" max="7438" width="8.1015625" style="135" customWidth="1"/>
    <col min="7439" max="7439" width="8.7890625" style="135" customWidth="1"/>
    <col min="7440" max="7440" width="8.68359375" style="135" customWidth="1"/>
    <col min="7441" max="7441" width="8.7890625" style="135" customWidth="1"/>
    <col min="7442" max="7448" width="8.3671875" style="135" customWidth="1"/>
    <col min="7449" max="7687" width="10.83984375" style="135"/>
    <col min="7688" max="7688" width="2.68359375" style="135" customWidth="1"/>
    <col min="7689" max="7689" width="19.734375" style="135" customWidth="1"/>
    <col min="7690" max="7690" width="10.68359375" style="135" customWidth="1"/>
    <col min="7691" max="7691" width="1.1015625" style="135" customWidth="1"/>
    <col min="7692" max="7694" width="8.1015625" style="135" customWidth="1"/>
    <col min="7695" max="7695" width="8.7890625" style="135" customWidth="1"/>
    <col min="7696" max="7696" width="8.68359375" style="135" customWidth="1"/>
    <col min="7697" max="7697" width="8.7890625" style="135" customWidth="1"/>
    <col min="7698" max="7704" width="8.3671875" style="135" customWidth="1"/>
    <col min="7705" max="7943" width="10.83984375" style="135"/>
    <col min="7944" max="7944" width="2.68359375" style="135" customWidth="1"/>
    <col min="7945" max="7945" width="19.734375" style="135" customWidth="1"/>
    <col min="7946" max="7946" width="10.68359375" style="135" customWidth="1"/>
    <col min="7947" max="7947" width="1.1015625" style="135" customWidth="1"/>
    <col min="7948" max="7950" width="8.1015625" style="135" customWidth="1"/>
    <col min="7951" max="7951" width="8.7890625" style="135" customWidth="1"/>
    <col min="7952" max="7952" width="8.68359375" style="135" customWidth="1"/>
    <col min="7953" max="7953" width="8.7890625" style="135" customWidth="1"/>
    <col min="7954" max="7960" width="8.3671875" style="135" customWidth="1"/>
    <col min="7961" max="8199" width="10.83984375" style="135"/>
    <col min="8200" max="8200" width="2.68359375" style="135" customWidth="1"/>
    <col min="8201" max="8201" width="19.734375" style="135" customWidth="1"/>
    <col min="8202" max="8202" width="10.68359375" style="135" customWidth="1"/>
    <col min="8203" max="8203" width="1.1015625" style="135" customWidth="1"/>
    <col min="8204" max="8206" width="8.1015625" style="135" customWidth="1"/>
    <col min="8207" max="8207" width="8.7890625" style="135" customWidth="1"/>
    <col min="8208" max="8208" width="8.68359375" style="135" customWidth="1"/>
    <col min="8209" max="8209" width="8.7890625" style="135" customWidth="1"/>
    <col min="8210" max="8216" width="8.3671875" style="135" customWidth="1"/>
    <col min="8217" max="8455" width="10.83984375" style="135"/>
    <col min="8456" max="8456" width="2.68359375" style="135" customWidth="1"/>
    <col min="8457" max="8457" width="19.734375" style="135" customWidth="1"/>
    <col min="8458" max="8458" width="10.68359375" style="135" customWidth="1"/>
    <col min="8459" max="8459" width="1.1015625" style="135" customWidth="1"/>
    <col min="8460" max="8462" width="8.1015625" style="135" customWidth="1"/>
    <col min="8463" max="8463" width="8.7890625" style="135" customWidth="1"/>
    <col min="8464" max="8464" width="8.68359375" style="135" customWidth="1"/>
    <col min="8465" max="8465" width="8.7890625" style="135" customWidth="1"/>
    <col min="8466" max="8472" width="8.3671875" style="135" customWidth="1"/>
    <col min="8473" max="8711" width="10.83984375" style="135"/>
    <col min="8712" max="8712" width="2.68359375" style="135" customWidth="1"/>
    <col min="8713" max="8713" width="19.734375" style="135" customWidth="1"/>
    <col min="8714" max="8714" width="10.68359375" style="135" customWidth="1"/>
    <col min="8715" max="8715" width="1.1015625" style="135" customWidth="1"/>
    <col min="8716" max="8718" width="8.1015625" style="135" customWidth="1"/>
    <col min="8719" max="8719" width="8.7890625" style="135" customWidth="1"/>
    <col min="8720" max="8720" width="8.68359375" style="135" customWidth="1"/>
    <col min="8721" max="8721" width="8.7890625" style="135" customWidth="1"/>
    <col min="8722" max="8728" width="8.3671875" style="135" customWidth="1"/>
    <col min="8729" max="8967" width="10.83984375" style="135"/>
    <col min="8968" max="8968" width="2.68359375" style="135" customWidth="1"/>
    <col min="8969" max="8969" width="19.734375" style="135" customWidth="1"/>
    <col min="8970" max="8970" width="10.68359375" style="135" customWidth="1"/>
    <col min="8971" max="8971" width="1.1015625" style="135" customWidth="1"/>
    <col min="8972" max="8974" width="8.1015625" style="135" customWidth="1"/>
    <col min="8975" max="8975" width="8.7890625" style="135" customWidth="1"/>
    <col min="8976" max="8976" width="8.68359375" style="135" customWidth="1"/>
    <col min="8977" max="8977" width="8.7890625" style="135" customWidth="1"/>
    <col min="8978" max="8984" width="8.3671875" style="135" customWidth="1"/>
    <col min="8985" max="9223" width="10.83984375" style="135"/>
    <col min="9224" max="9224" width="2.68359375" style="135" customWidth="1"/>
    <col min="9225" max="9225" width="19.734375" style="135" customWidth="1"/>
    <col min="9226" max="9226" width="10.68359375" style="135" customWidth="1"/>
    <col min="9227" max="9227" width="1.1015625" style="135" customWidth="1"/>
    <col min="9228" max="9230" width="8.1015625" style="135" customWidth="1"/>
    <col min="9231" max="9231" width="8.7890625" style="135" customWidth="1"/>
    <col min="9232" max="9232" width="8.68359375" style="135" customWidth="1"/>
    <col min="9233" max="9233" width="8.7890625" style="135" customWidth="1"/>
    <col min="9234" max="9240" width="8.3671875" style="135" customWidth="1"/>
    <col min="9241" max="9479" width="10.83984375" style="135"/>
    <col min="9480" max="9480" width="2.68359375" style="135" customWidth="1"/>
    <col min="9481" max="9481" width="19.734375" style="135" customWidth="1"/>
    <col min="9482" max="9482" width="10.68359375" style="135" customWidth="1"/>
    <col min="9483" max="9483" width="1.1015625" style="135" customWidth="1"/>
    <col min="9484" max="9486" width="8.1015625" style="135" customWidth="1"/>
    <col min="9487" max="9487" width="8.7890625" style="135" customWidth="1"/>
    <col min="9488" max="9488" width="8.68359375" style="135" customWidth="1"/>
    <col min="9489" max="9489" width="8.7890625" style="135" customWidth="1"/>
    <col min="9490" max="9496" width="8.3671875" style="135" customWidth="1"/>
    <col min="9497" max="9735" width="10.83984375" style="135"/>
    <col min="9736" max="9736" width="2.68359375" style="135" customWidth="1"/>
    <col min="9737" max="9737" width="19.734375" style="135" customWidth="1"/>
    <col min="9738" max="9738" width="10.68359375" style="135" customWidth="1"/>
    <col min="9739" max="9739" width="1.1015625" style="135" customWidth="1"/>
    <col min="9740" max="9742" width="8.1015625" style="135" customWidth="1"/>
    <col min="9743" max="9743" width="8.7890625" style="135" customWidth="1"/>
    <col min="9744" max="9744" width="8.68359375" style="135" customWidth="1"/>
    <col min="9745" max="9745" width="8.7890625" style="135" customWidth="1"/>
    <col min="9746" max="9752" width="8.3671875" style="135" customWidth="1"/>
    <col min="9753" max="9991" width="10.83984375" style="135"/>
    <col min="9992" max="9992" width="2.68359375" style="135" customWidth="1"/>
    <col min="9993" max="9993" width="19.734375" style="135" customWidth="1"/>
    <col min="9994" max="9994" width="10.68359375" style="135" customWidth="1"/>
    <col min="9995" max="9995" width="1.1015625" style="135" customWidth="1"/>
    <col min="9996" max="9998" width="8.1015625" style="135" customWidth="1"/>
    <col min="9999" max="9999" width="8.7890625" style="135" customWidth="1"/>
    <col min="10000" max="10000" width="8.68359375" style="135" customWidth="1"/>
    <col min="10001" max="10001" width="8.7890625" style="135" customWidth="1"/>
    <col min="10002" max="10008" width="8.3671875" style="135" customWidth="1"/>
    <col min="10009" max="10247" width="10.83984375" style="135"/>
    <col min="10248" max="10248" width="2.68359375" style="135" customWidth="1"/>
    <col min="10249" max="10249" width="19.734375" style="135" customWidth="1"/>
    <col min="10250" max="10250" width="10.68359375" style="135" customWidth="1"/>
    <col min="10251" max="10251" width="1.1015625" style="135" customWidth="1"/>
    <col min="10252" max="10254" width="8.1015625" style="135" customWidth="1"/>
    <col min="10255" max="10255" width="8.7890625" style="135" customWidth="1"/>
    <col min="10256" max="10256" width="8.68359375" style="135" customWidth="1"/>
    <col min="10257" max="10257" width="8.7890625" style="135" customWidth="1"/>
    <col min="10258" max="10264" width="8.3671875" style="135" customWidth="1"/>
    <col min="10265" max="10503" width="10.83984375" style="135"/>
    <col min="10504" max="10504" width="2.68359375" style="135" customWidth="1"/>
    <col min="10505" max="10505" width="19.734375" style="135" customWidth="1"/>
    <col min="10506" max="10506" width="10.68359375" style="135" customWidth="1"/>
    <col min="10507" max="10507" width="1.1015625" style="135" customWidth="1"/>
    <col min="10508" max="10510" width="8.1015625" style="135" customWidth="1"/>
    <col min="10511" max="10511" width="8.7890625" style="135" customWidth="1"/>
    <col min="10512" max="10512" width="8.68359375" style="135" customWidth="1"/>
    <col min="10513" max="10513" width="8.7890625" style="135" customWidth="1"/>
    <col min="10514" max="10520" width="8.3671875" style="135" customWidth="1"/>
    <col min="10521" max="10759" width="10.83984375" style="135"/>
    <col min="10760" max="10760" width="2.68359375" style="135" customWidth="1"/>
    <col min="10761" max="10761" width="19.734375" style="135" customWidth="1"/>
    <col min="10762" max="10762" width="10.68359375" style="135" customWidth="1"/>
    <col min="10763" max="10763" width="1.1015625" style="135" customWidth="1"/>
    <col min="10764" max="10766" width="8.1015625" style="135" customWidth="1"/>
    <col min="10767" max="10767" width="8.7890625" style="135" customWidth="1"/>
    <col min="10768" max="10768" width="8.68359375" style="135" customWidth="1"/>
    <col min="10769" max="10769" width="8.7890625" style="135" customWidth="1"/>
    <col min="10770" max="10776" width="8.3671875" style="135" customWidth="1"/>
    <col min="10777" max="11015" width="10.83984375" style="135"/>
    <col min="11016" max="11016" width="2.68359375" style="135" customWidth="1"/>
    <col min="11017" max="11017" width="19.734375" style="135" customWidth="1"/>
    <col min="11018" max="11018" width="10.68359375" style="135" customWidth="1"/>
    <col min="11019" max="11019" width="1.1015625" style="135" customWidth="1"/>
    <col min="11020" max="11022" width="8.1015625" style="135" customWidth="1"/>
    <col min="11023" max="11023" width="8.7890625" style="135" customWidth="1"/>
    <col min="11024" max="11024" width="8.68359375" style="135" customWidth="1"/>
    <col min="11025" max="11025" width="8.7890625" style="135" customWidth="1"/>
    <col min="11026" max="11032" width="8.3671875" style="135" customWidth="1"/>
    <col min="11033" max="11271" width="10.83984375" style="135"/>
    <col min="11272" max="11272" width="2.68359375" style="135" customWidth="1"/>
    <col min="11273" max="11273" width="19.734375" style="135" customWidth="1"/>
    <col min="11274" max="11274" width="10.68359375" style="135" customWidth="1"/>
    <col min="11275" max="11275" width="1.1015625" style="135" customWidth="1"/>
    <col min="11276" max="11278" width="8.1015625" style="135" customWidth="1"/>
    <col min="11279" max="11279" width="8.7890625" style="135" customWidth="1"/>
    <col min="11280" max="11280" width="8.68359375" style="135" customWidth="1"/>
    <col min="11281" max="11281" width="8.7890625" style="135" customWidth="1"/>
    <col min="11282" max="11288" width="8.3671875" style="135" customWidth="1"/>
    <col min="11289" max="11527" width="10.83984375" style="135"/>
    <col min="11528" max="11528" width="2.68359375" style="135" customWidth="1"/>
    <col min="11529" max="11529" width="19.734375" style="135" customWidth="1"/>
    <col min="11530" max="11530" width="10.68359375" style="135" customWidth="1"/>
    <col min="11531" max="11531" width="1.1015625" style="135" customWidth="1"/>
    <col min="11532" max="11534" width="8.1015625" style="135" customWidth="1"/>
    <col min="11535" max="11535" width="8.7890625" style="135" customWidth="1"/>
    <col min="11536" max="11536" width="8.68359375" style="135" customWidth="1"/>
    <col min="11537" max="11537" width="8.7890625" style="135" customWidth="1"/>
    <col min="11538" max="11544" width="8.3671875" style="135" customWidth="1"/>
    <col min="11545" max="11783" width="10.83984375" style="135"/>
    <col min="11784" max="11784" width="2.68359375" style="135" customWidth="1"/>
    <col min="11785" max="11785" width="19.734375" style="135" customWidth="1"/>
    <col min="11786" max="11786" width="10.68359375" style="135" customWidth="1"/>
    <col min="11787" max="11787" width="1.1015625" style="135" customWidth="1"/>
    <col min="11788" max="11790" width="8.1015625" style="135" customWidth="1"/>
    <col min="11791" max="11791" width="8.7890625" style="135" customWidth="1"/>
    <col min="11792" max="11792" width="8.68359375" style="135" customWidth="1"/>
    <col min="11793" max="11793" width="8.7890625" style="135" customWidth="1"/>
    <col min="11794" max="11800" width="8.3671875" style="135" customWidth="1"/>
    <col min="11801" max="12039" width="10.83984375" style="135"/>
    <col min="12040" max="12040" width="2.68359375" style="135" customWidth="1"/>
    <col min="12041" max="12041" width="19.734375" style="135" customWidth="1"/>
    <col min="12042" max="12042" width="10.68359375" style="135" customWidth="1"/>
    <col min="12043" max="12043" width="1.1015625" style="135" customWidth="1"/>
    <col min="12044" max="12046" width="8.1015625" style="135" customWidth="1"/>
    <col min="12047" max="12047" width="8.7890625" style="135" customWidth="1"/>
    <col min="12048" max="12048" width="8.68359375" style="135" customWidth="1"/>
    <col min="12049" max="12049" width="8.7890625" style="135" customWidth="1"/>
    <col min="12050" max="12056" width="8.3671875" style="135" customWidth="1"/>
    <col min="12057" max="12295" width="10.83984375" style="135"/>
    <col min="12296" max="12296" width="2.68359375" style="135" customWidth="1"/>
    <col min="12297" max="12297" width="19.734375" style="135" customWidth="1"/>
    <col min="12298" max="12298" width="10.68359375" style="135" customWidth="1"/>
    <col min="12299" max="12299" width="1.1015625" style="135" customWidth="1"/>
    <col min="12300" max="12302" width="8.1015625" style="135" customWidth="1"/>
    <col min="12303" max="12303" width="8.7890625" style="135" customWidth="1"/>
    <col min="12304" max="12304" width="8.68359375" style="135" customWidth="1"/>
    <col min="12305" max="12305" width="8.7890625" style="135" customWidth="1"/>
    <col min="12306" max="12312" width="8.3671875" style="135" customWidth="1"/>
    <col min="12313" max="12551" width="10.83984375" style="135"/>
    <col min="12552" max="12552" width="2.68359375" style="135" customWidth="1"/>
    <col min="12553" max="12553" width="19.734375" style="135" customWidth="1"/>
    <col min="12554" max="12554" width="10.68359375" style="135" customWidth="1"/>
    <col min="12555" max="12555" width="1.1015625" style="135" customWidth="1"/>
    <col min="12556" max="12558" width="8.1015625" style="135" customWidth="1"/>
    <col min="12559" max="12559" width="8.7890625" style="135" customWidth="1"/>
    <col min="12560" max="12560" width="8.68359375" style="135" customWidth="1"/>
    <col min="12561" max="12561" width="8.7890625" style="135" customWidth="1"/>
    <col min="12562" max="12568" width="8.3671875" style="135" customWidth="1"/>
    <col min="12569" max="12807" width="10.83984375" style="135"/>
    <col min="12808" max="12808" width="2.68359375" style="135" customWidth="1"/>
    <col min="12809" max="12809" width="19.734375" style="135" customWidth="1"/>
    <col min="12810" max="12810" width="10.68359375" style="135" customWidth="1"/>
    <col min="12811" max="12811" width="1.1015625" style="135" customWidth="1"/>
    <col min="12812" max="12814" width="8.1015625" style="135" customWidth="1"/>
    <col min="12815" max="12815" width="8.7890625" style="135" customWidth="1"/>
    <col min="12816" max="12816" width="8.68359375" style="135" customWidth="1"/>
    <col min="12817" max="12817" width="8.7890625" style="135" customWidth="1"/>
    <col min="12818" max="12824" width="8.3671875" style="135" customWidth="1"/>
    <col min="12825" max="13063" width="10.83984375" style="135"/>
    <col min="13064" max="13064" width="2.68359375" style="135" customWidth="1"/>
    <col min="13065" max="13065" width="19.734375" style="135" customWidth="1"/>
    <col min="13066" max="13066" width="10.68359375" style="135" customWidth="1"/>
    <col min="13067" max="13067" width="1.1015625" style="135" customWidth="1"/>
    <col min="13068" max="13070" width="8.1015625" style="135" customWidth="1"/>
    <col min="13071" max="13071" width="8.7890625" style="135" customWidth="1"/>
    <col min="13072" max="13072" width="8.68359375" style="135" customWidth="1"/>
    <col min="13073" max="13073" width="8.7890625" style="135" customWidth="1"/>
    <col min="13074" max="13080" width="8.3671875" style="135" customWidth="1"/>
    <col min="13081" max="13319" width="10.83984375" style="135"/>
    <col min="13320" max="13320" width="2.68359375" style="135" customWidth="1"/>
    <col min="13321" max="13321" width="19.734375" style="135" customWidth="1"/>
    <col min="13322" max="13322" width="10.68359375" style="135" customWidth="1"/>
    <col min="13323" max="13323" width="1.1015625" style="135" customWidth="1"/>
    <col min="13324" max="13326" width="8.1015625" style="135" customWidth="1"/>
    <col min="13327" max="13327" width="8.7890625" style="135" customWidth="1"/>
    <col min="13328" max="13328" width="8.68359375" style="135" customWidth="1"/>
    <col min="13329" max="13329" width="8.7890625" style="135" customWidth="1"/>
    <col min="13330" max="13336" width="8.3671875" style="135" customWidth="1"/>
    <col min="13337" max="13575" width="10.83984375" style="135"/>
    <col min="13576" max="13576" width="2.68359375" style="135" customWidth="1"/>
    <col min="13577" max="13577" width="19.734375" style="135" customWidth="1"/>
    <col min="13578" max="13578" width="10.68359375" style="135" customWidth="1"/>
    <col min="13579" max="13579" width="1.1015625" style="135" customWidth="1"/>
    <col min="13580" max="13582" width="8.1015625" style="135" customWidth="1"/>
    <col min="13583" max="13583" width="8.7890625" style="135" customWidth="1"/>
    <col min="13584" max="13584" width="8.68359375" style="135" customWidth="1"/>
    <col min="13585" max="13585" width="8.7890625" style="135" customWidth="1"/>
    <col min="13586" max="13592" width="8.3671875" style="135" customWidth="1"/>
    <col min="13593" max="13831" width="10.83984375" style="135"/>
    <col min="13832" max="13832" width="2.68359375" style="135" customWidth="1"/>
    <col min="13833" max="13833" width="19.734375" style="135" customWidth="1"/>
    <col min="13834" max="13834" width="10.68359375" style="135" customWidth="1"/>
    <col min="13835" max="13835" width="1.1015625" style="135" customWidth="1"/>
    <col min="13836" max="13838" width="8.1015625" style="135" customWidth="1"/>
    <col min="13839" max="13839" width="8.7890625" style="135" customWidth="1"/>
    <col min="13840" max="13840" width="8.68359375" style="135" customWidth="1"/>
    <col min="13841" max="13841" width="8.7890625" style="135" customWidth="1"/>
    <col min="13842" max="13848" width="8.3671875" style="135" customWidth="1"/>
    <col min="13849" max="14087" width="10.83984375" style="135"/>
    <col min="14088" max="14088" width="2.68359375" style="135" customWidth="1"/>
    <col min="14089" max="14089" width="19.734375" style="135" customWidth="1"/>
    <col min="14090" max="14090" width="10.68359375" style="135" customWidth="1"/>
    <col min="14091" max="14091" width="1.1015625" style="135" customWidth="1"/>
    <col min="14092" max="14094" width="8.1015625" style="135" customWidth="1"/>
    <col min="14095" max="14095" width="8.7890625" style="135" customWidth="1"/>
    <col min="14096" max="14096" width="8.68359375" style="135" customWidth="1"/>
    <col min="14097" max="14097" width="8.7890625" style="135" customWidth="1"/>
    <col min="14098" max="14104" width="8.3671875" style="135" customWidth="1"/>
    <col min="14105" max="14343" width="10.83984375" style="135"/>
    <col min="14344" max="14344" width="2.68359375" style="135" customWidth="1"/>
    <col min="14345" max="14345" width="19.734375" style="135" customWidth="1"/>
    <col min="14346" max="14346" width="10.68359375" style="135" customWidth="1"/>
    <col min="14347" max="14347" width="1.1015625" style="135" customWidth="1"/>
    <col min="14348" max="14350" width="8.1015625" style="135" customWidth="1"/>
    <col min="14351" max="14351" width="8.7890625" style="135" customWidth="1"/>
    <col min="14352" max="14352" width="8.68359375" style="135" customWidth="1"/>
    <col min="14353" max="14353" width="8.7890625" style="135" customWidth="1"/>
    <col min="14354" max="14360" width="8.3671875" style="135" customWidth="1"/>
    <col min="14361" max="14599" width="10.83984375" style="135"/>
    <col min="14600" max="14600" width="2.68359375" style="135" customWidth="1"/>
    <col min="14601" max="14601" width="19.734375" style="135" customWidth="1"/>
    <col min="14602" max="14602" width="10.68359375" style="135" customWidth="1"/>
    <col min="14603" max="14603" width="1.1015625" style="135" customWidth="1"/>
    <col min="14604" max="14606" width="8.1015625" style="135" customWidth="1"/>
    <col min="14607" max="14607" width="8.7890625" style="135" customWidth="1"/>
    <col min="14608" max="14608" width="8.68359375" style="135" customWidth="1"/>
    <col min="14609" max="14609" width="8.7890625" style="135" customWidth="1"/>
    <col min="14610" max="14616" width="8.3671875" style="135" customWidth="1"/>
    <col min="14617" max="14855" width="10.83984375" style="135"/>
    <col min="14856" max="14856" width="2.68359375" style="135" customWidth="1"/>
    <col min="14857" max="14857" width="19.734375" style="135" customWidth="1"/>
    <col min="14858" max="14858" width="10.68359375" style="135" customWidth="1"/>
    <col min="14859" max="14859" width="1.1015625" style="135" customWidth="1"/>
    <col min="14860" max="14862" width="8.1015625" style="135" customWidth="1"/>
    <col min="14863" max="14863" width="8.7890625" style="135" customWidth="1"/>
    <col min="14864" max="14864" width="8.68359375" style="135" customWidth="1"/>
    <col min="14865" max="14865" width="8.7890625" style="135" customWidth="1"/>
    <col min="14866" max="14872" width="8.3671875" style="135" customWidth="1"/>
    <col min="14873" max="15111" width="10.83984375" style="135"/>
    <col min="15112" max="15112" width="2.68359375" style="135" customWidth="1"/>
    <col min="15113" max="15113" width="19.734375" style="135" customWidth="1"/>
    <col min="15114" max="15114" width="10.68359375" style="135" customWidth="1"/>
    <col min="15115" max="15115" width="1.1015625" style="135" customWidth="1"/>
    <col min="15116" max="15118" width="8.1015625" style="135" customWidth="1"/>
    <col min="15119" max="15119" width="8.7890625" style="135" customWidth="1"/>
    <col min="15120" max="15120" width="8.68359375" style="135" customWidth="1"/>
    <col min="15121" max="15121" width="8.7890625" style="135" customWidth="1"/>
    <col min="15122" max="15128" width="8.3671875" style="135" customWidth="1"/>
    <col min="15129" max="15367" width="10.83984375" style="135"/>
    <col min="15368" max="15368" width="2.68359375" style="135" customWidth="1"/>
    <col min="15369" max="15369" width="19.734375" style="135" customWidth="1"/>
    <col min="15370" max="15370" width="10.68359375" style="135" customWidth="1"/>
    <col min="15371" max="15371" width="1.1015625" style="135" customWidth="1"/>
    <col min="15372" max="15374" width="8.1015625" style="135" customWidth="1"/>
    <col min="15375" max="15375" width="8.7890625" style="135" customWidth="1"/>
    <col min="15376" max="15376" width="8.68359375" style="135" customWidth="1"/>
    <col min="15377" max="15377" width="8.7890625" style="135" customWidth="1"/>
    <col min="15378" max="15384" width="8.3671875" style="135" customWidth="1"/>
    <col min="15385" max="15623" width="10.83984375" style="135"/>
    <col min="15624" max="15624" width="2.68359375" style="135" customWidth="1"/>
    <col min="15625" max="15625" width="19.734375" style="135" customWidth="1"/>
    <col min="15626" max="15626" width="10.68359375" style="135" customWidth="1"/>
    <col min="15627" max="15627" width="1.1015625" style="135" customWidth="1"/>
    <col min="15628" max="15630" width="8.1015625" style="135" customWidth="1"/>
    <col min="15631" max="15631" width="8.7890625" style="135" customWidth="1"/>
    <col min="15632" max="15632" width="8.68359375" style="135" customWidth="1"/>
    <col min="15633" max="15633" width="8.7890625" style="135" customWidth="1"/>
    <col min="15634" max="15640" width="8.3671875" style="135" customWidth="1"/>
    <col min="15641" max="15879" width="10.83984375" style="135"/>
    <col min="15880" max="15880" width="2.68359375" style="135" customWidth="1"/>
    <col min="15881" max="15881" width="19.734375" style="135" customWidth="1"/>
    <col min="15882" max="15882" width="10.68359375" style="135" customWidth="1"/>
    <col min="15883" max="15883" width="1.1015625" style="135" customWidth="1"/>
    <col min="15884" max="15886" width="8.1015625" style="135" customWidth="1"/>
    <col min="15887" max="15887" width="8.7890625" style="135" customWidth="1"/>
    <col min="15888" max="15888" width="8.68359375" style="135" customWidth="1"/>
    <col min="15889" max="15889" width="8.7890625" style="135" customWidth="1"/>
    <col min="15890" max="15896" width="8.3671875" style="135" customWidth="1"/>
    <col min="15897" max="16135" width="10.83984375" style="135"/>
    <col min="16136" max="16136" width="2.68359375" style="135" customWidth="1"/>
    <col min="16137" max="16137" width="19.734375" style="135" customWidth="1"/>
    <col min="16138" max="16138" width="10.68359375" style="135" customWidth="1"/>
    <col min="16139" max="16139" width="1.1015625" style="135" customWidth="1"/>
    <col min="16140" max="16142" width="8.1015625" style="135" customWidth="1"/>
    <col min="16143" max="16143" width="8.7890625" style="135" customWidth="1"/>
    <col min="16144" max="16144" width="8.68359375" style="135" customWidth="1"/>
    <col min="16145" max="16145" width="8.7890625" style="135" customWidth="1"/>
    <col min="16146" max="16152" width="8.3671875" style="135" customWidth="1"/>
    <col min="16153" max="16384" width="10.83984375" style="135"/>
  </cols>
  <sheetData>
    <row r="1" spans="1:18" ht="18.600000000000001" thickBot="1" x14ac:dyDescent="0.75">
      <c r="A1" s="4" t="s">
        <v>151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</row>
    <row r="2" spans="1:18" ht="15.9" thickTop="1" x14ac:dyDescent="0.6">
      <c r="A2" s="202" t="s">
        <v>157</v>
      </c>
    </row>
    <row r="3" spans="1:18" s="136" customFormat="1" ht="14.2" customHeight="1" x14ac:dyDescent="0.5"/>
    <row r="4" spans="1:18" s="136" customFormat="1" ht="17.2" customHeight="1" x14ac:dyDescent="0.55000000000000004">
      <c r="B4" s="169" t="s">
        <v>131</v>
      </c>
      <c r="C4" s="170"/>
      <c r="D4" s="171"/>
      <c r="E4" s="172">
        <v>0.8</v>
      </c>
      <c r="F4" s="172">
        <v>0.9</v>
      </c>
      <c r="G4" s="188">
        <v>1</v>
      </c>
      <c r="H4" s="172">
        <v>1.1000000000000001</v>
      </c>
      <c r="I4" s="172">
        <v>1.2</v>
      </c>
      <c r="K4" s="169" t="s">
        <v>138</v>
      </c>
      <c r="L4" s="170"/>
      <c r="M4" s="171"/>
      <c r="N4" s="172">
        <v>0.8</v>
      </c>
      <c r="O4" s="172">
        <v>0.9</v>
      </c>
      <c r="P4" s="188">
        <v>1</v>
      </c>
      <c r="Q4" s="172">
        <v>1.1000000000000001</v>
      </c>
      <c r="R4" s="172">
        <v>1.2</v>
      </c>
    </row>
    <row r="5" spans="1:18" s="136" customFormat="1" ht="17.2" customHeight="1" x14ac:dyDescent="0.55000000000000004">
      <c r="B5" s="148" t="s">
        <v>130</v>
      </c>
      <c r="C5" s="168"/>
      <c r="D5" s="168"/>
      <c r="E5" s="137">
        <f>(E6/$C$20)^(1/3)-1</f>
        <v>0.68637106373353229</v>
      </c>
      <c r="F5" s="137">
        <f>(F6/$C$20)^(1/3)-1</f>
        <v>0.75389658466747567</v>
      </c>
      <c r="G5" s="187">
        <f>(G6/$C$20)^(1/3)-1</f>
        <v>0.81658815998674528</v>
      </c>
      <c r="H5" s="137">
        <f>(H6/$C$20)^(1/3)-1</f>
        <v>0.87522783552778693</v>
      </c>
      <c r="I5" s="137">
        <f>(I6/$C$20)^(1/3)-1</f>
        <v>0.93041297488558672</v>
      </c>
      <c r="K5" s="148" t="s">
        <v>141</v>
      </c>
      <c r="L5" s="168"/>
      <c r="M5" s="168"/>
      <c r="N5" s="137">
        <f>N4*$P5</f>
        <v>6.4478471194978612E-2</v>
      </c>
      <c r="O5" s="137">
        <f>O4*$P5</f>
        <v>7.253828009435094E-2</v>
      </c>
      <c r="P5" s="187">
        <f>P6/C21</f>
        <v>8.0598088993723269E-2</v>
      </c>
      <c r="Q5" s="137">
        <f>Q4*$P5</f>
        <v>8.8657897893095597E-2</v>
      </c>
      <c r="R5" s="137">
        <f>R4*$P5</f>
        <v>9.6717706792467925E-2</v>
      </c>
    </row>
    <row r="6" spans="1:18" s="136" customFormat="1" ht="17.2" customHeight="1" x14ac:dyDescent="0.55000000000000004">
      <c r="B6" s="169" t="s">
        <v>139</v>
      </c>
      <c r="C6" s="170"/>
      <c r="D6" s="173"/>
      <c r="E6" s="174">
        <f>$C21*E$4</f>
        <v>40020.800000000003</v>
      </c>
      <c r="F6" s="174">
        <f>$C21*F$4</f>
        <v>45023.4</v>
      </c>
      <c r="G6" s="189">
        <f>$C21*G$4</f>
        <v>50026</v>
      </c>
      <c r="H6" s="174">
        <f>$C21*H$4</f>
        <v>55028.600000000006</v>
      </c>
      <c r="I6" s="174">
        <f>$C21*I$4</f>
        <v>60031.199999999997</v>
      </c>
      <c r="K6" s="169" t="s">
        <v>140</v>
      </c>
      <c r="L6" s="170"/>
      <c r="M6" s="173"/>
      <c r="N6" s="174">
        <f>$C$21*N5</f>
        <v>3225.6</v>
      </c>
      <c r="O6" s="174">
        <f>$C$21*O5</f>
        <v>3628.8</v>
      </c>
      <c r="P6" s="189">
        <f>'DCF - Base Case (1 WACC)'!M12</f>
        <v>4032</v>
      </c>
      <c r="Q6" s="174">
        <f>$C$21*Q5</f>
        <v>4435.2000000000007</v>
      </c>
      <c r="R6" s="174">
        <f>$C$21*R5</f>
        <v>4838.4000000000005</v>
      </c>
    </row>
    <row r="7" spans="1:18" s="136" customFormat="1" ht="13.5" customHeight="1" x14ac:dyDescent="0.55000000000000004">
      <c r="B7" s="168"/>
      <c r="C7" s="168"/>
      <c r="D7" s="168"/>
      <c r="E7" s="139"/>
      <c r="F7" s="139"/>
      <c r="G7" s="139"/>
      <c r="H7" s="139"/>
      <c r="I7" s="139"/>
      <c r="K7" s="168"/>
      <c r="L7" s="168"/>
      <c r="M7" s="168"/>
      <c r="N7" s="139"/>
      <c r="O7" s="139"/>
      <c r="P7" s="139"/>
      <c r="Q7" s="139"/>
      <c r="R7" s="139"/>
    </row>
    <row r="8" spans="1:18" s="136" customFormat="1" ht="17.2" customHeight="1" x14ac:dyDescent="0.6">
      <c r="B8" s="140" t="s">
        <v>144</v>
      </c>
      <c r="C8" s="168"/>
      <c r="D8" s="168"/>
      <c r="E8" s="141" t="str">
        <f>"Present Value ($000) [WACC del "&amp;TEXT(E24,"##%")&amp;"] (*)"</f>
        <v>Present Value ($000) [WACC del 25%] (*)</v>
      </c>
      <c r="F8" s="141"/>
      <c r="G8" s="141"/>
      <c r="H8" s="141"/>
      <c r="I8" s="141"/>
      <c r="K8" s="140" t="s">
        <v>145</v>
      </c>
      <c r="L8" s="168"/>
      <c r="M8" s="168"/>
      <c r="N8" s="141" t="str">
        <f>"Present Value ($000) [WACC del "&amp;TEXT(N24,"##%")&amp;"] (*)"</f>
        <v>Present Value ($000) [WACC del 25%] (*)</v>
      </c>
      <c r="O8" s="141"/>
      <c r="P8" s="141"/>
      <c r="Q8" s="141"/>
      <c r="R8" s="141"/>
    </row>
    <row r="9" spans="1:18" s="136" customFormat="1" ht="3.75" customHeight="1" thickBot="1" x14ac:dyDescent="0.6">
      <c r="B9" s="175"/>
      <c r="C9" s="175"/>
      <c r="D9" s="168"/>
      <c r="E9" s="139"/>
      <c r="F9" s="139"/>
      <c r="G9" s="139"/>
      <c r="H9" s="139"/>
      <c r="I9" s="139"/>
      <c r="K9" s="175"/>
      <c r="L9" s="175"/>
      <c r="M9" s="168"/>
      <c r="N9" s="139"/>
      <c r="O9" s="139"/>
      <c r="P9" s="139"/>
      <c r="Q9" s="139"/>
      <c r="R9" s="139"/>
    </row>
    <row r="10" spans="1:18" s="136" customFormat="1" ht="17.2" customHeight="1" x14ac:dyDescent="0.5">
      <c r="B10" s="321" t="s">
        <v>126</v>
      </c>
      <c r="C10" s="183">
        <v>0.4</v>
      </c>
      <c r="D10" s="176"/>
      <c r="E10" s="177">
        <f t="shared" ref="E10:I14" si="0">E$6*$C10*$E$23</f>
        <v>6637.3507641717679</v>
      </c>
      <c r="F10" s="178">
        <f t="shared" si="0"/>
        <v>7467.0196096932386</v>
      </c>
      <c r="G10" s="179">
        <f t="shared" si="0"/>
        <v>8296.6884552147094</v>
      </c>
      <c r="H10" s="177">
        <f t="shared" si="0"/>
        <v>9126.3573007361811</v>
      </c>
      <c r="I10" s="177">
        <f t="shared" si="0"/>
        <v>9956.0261462576509</v>
      </c>
      <c r="K10" s="321" t="s">
        <v>126</v>
      </c>
      <c r="L10" s="183">
        <v>5</v>
      </c>
      <c r="M10" s="176"/>
      <c r="N10" s="177">
        <f t="shared" ref="N10:R14" si="1">N$6*$L10*$E$23</f>
        <v>6686.9723446659154</v>
      </c>
      <c r="O10" s="177">
        <f t="shared" si="1"/>
        <v>7522.8438877491544</v>
      </c>
      <c r="P10" s="177">
        <f t="shared" si="1"/>
        <v>8358.7154308323934</v>
      </c>
      <c r="Q10" s="177">
        <f t="shared" si="1"/>
        <v>9194.5869739156351</v>
      </c>
      <c r="R10" s="177">
        <f t="shared" si="1"/>
        <v>10030.458516998875</v>
      </c>
    </row>
    <row r="11" spans="1:18" s="136" customFormat="1" ht="17.2" customHeight="1" x14ac:dyDescent="0.5">
      <c r="B11" s="322"/>
      <c r="C11" s="183">
        <v>0.45</v>
      </c>
      <c r="D11" s="176"/>
      <c r="E11" s="177">
        <f t="shared" si="0"/>
        <v>7467.0196096932386</v>
      </c>
      <c r="F11" s="177">
        <f t="shared" si="0"/>
        <v>8400.3970609048938</v>
      </c>
      <c r="G11" s="177">
        <f t="shared" si="0"/>
        <v>9333.7745121165481</v>
      </c>
      <c r="H11" s="180">
        <f t="shared" si="0"/>
        <v>10267.151963328204</v>
      </c>
      <c r="I11" s="180">
        <f t="shared" si="0"/>
        <v>11200.529414539858</v>
      </c>
      <c r="K11" s="322"/>
      <c r="L11" s="183">
        <v>5.5</v>
      </c>
      <c r="M11" s="176"/>
      <c r="N11" s="177">
        <f t="shared" si="1"/>
        <v>7355.6695791325064</v>
      </c>
      <c r="O11" s="177">
        <f t="shared" si="1"/>
        <v>8275.1282765240703</v>
      </c>
      <c r="P11" s="177">
        <f t="shared" si="1"/>
        <v>9194.5869739156333</v>
      </c>
      <c r="Q11" s="180">
        <f t="shared" si="1"/>
        <v>10114.0456713072</v>
      </c>
      <c r="R11" s="180">
        <f t="shared" si="1"/>
        <v>11033.504368698763</v>
      </c>
    </row>
    <row r="12" spans="1:18" s="136" customFormat="1" ht="17.2" customHeight="1" x14ac:dyDescent="0.5">
      <c r="B12" s="322"/>
      <c r="C12" s="183">
        <v>0.5</v>
      </c>
      <c r="D12" s="176"/>
      <c r="E12" s="177">
        <f t="shared" si="0"/>
        <v>8296.6884552147094</v>
      </c>
      <c r="F12" s="177">
        <f t="shared" si="0"/>
        <v>9333.7745121165481</v>
      </c>
      <c r="G12" s="180">
        <f t="shared" si="0"/>
        <v>10370.860569018387</v>
      </c>
      <c r="H12" s="180">
        <f t="shared" si="0"/>
        <v>11407.946625920227</v>
      </c>
      <c r="I12" s="180">
        <f t="shared" si="0"/>
        <v>12445.032682822064</v>
      </c>
      <c r="K12" s="322"/>
      <c r="L12" s="183">
        <v>6.5</v>
      </c>
      <c r="M12" s="176"/>
      <c r="N12" s="177">
        <f t="shared" si="1"/>
        <v>8693.0640480656893</v>
      </c>
      <c r="O12" s="177">
        <f t="shared" si="1"/>
        <v>9779.6970540739021</v>
      </c>
      <c r="P12" s="180">
        <f t="shared" si="1"/>
        <v>10866.330060082113</v>
      </c>
      <c r="Q12" s="180">
        <f t="shared" si="1"/>
        <v>11952.963066090324</v>
      </c>
      <c r="R12" s="180">
        <f t="shared" si="1"/>
        <v>13039.596072098535</v>
      </c>
    </row>
    <row r="13" spans="1:18" ht="17.2" customHeight="1" x14ac:dyDescent="0.5">
      <c r="B13" s="322"/>
      <c r="C13" s="183">
        <v>1</v>
      </c>
      <c r="D13" s="176"/>
      <c r="E13" s="180">
        <f t="shared" si="0"/>
        <v>16593.376910429419</v>
      </c>
      <c r="F13" s="180">
        <f t="shared" si="0"/>
        <v>18667.549024233096</v>
      </c>
      <c r="G13" s="181">
        <f t="shared" si="0"/>
        <v>20741.721138036773</v>
      </c>
      <c r="H13" s="181">
        <f t="shared" si="0"/>
        <v>22815.893251840454</v>
      </c>
      <c r="I13" s="181">
        <f t="shared" si="0"/>
        <v>24890.065365644128</v>
      </c>
      <c r="J13" s="136"/>
      <c r="K13" s="322"/>
      <c r="L13" s="183">
        <v>10</v>
      </c>
      <c r="M13" s="176"/>
      <c r="N13" s="180">
        <f t="shared" si="1"/>
        <v>13373.944689331831</v>
      </c>
      <c r="O13" s="180">
        <f t="shared" si="1"/>
        <v>15045.687775498309</v>
      </c>
      <c r="P13" s="180">
        <f t="shared" si="1"/>
        <v>16717.430861664787</v>
      </c>
      <c r="Q13" s="180">
        <f t="shared" si="1"/>
        <v>18389.17394783127</v>
      </c>
      <c r="R13" s="180">
        <f t="shared" si="1"/>
        <v>20060.91703399775</v>
      </c>
    </row>
    <row r="14" spans="1:18" ht="17.2" customHeight="1" x14ac:dyDescent="0.5">
      <c r="B14" s="322"/>
      <c r="C14" s="183">
        <v>1.4</v>
      </c>
      <c r="D14" s="182"/>
      <c r="E14" s="181">
        <f t="shared" si="0"/>
        <v>23230.727674601188</v>
      </c>
      <c r="F14" s="181">
        <f t="shared" si="0"/>
        <v>26134.56863392633</v>
      </c>
      <c r="G14" s="181">
        <f t="shared" si="0"/>
        <v>29038.409593251479</v>
      </c>
      <c r="H14" s="181">
        <f t="shared" si="0"/>
        <v>31942.250552576636</v>
      </c>
      <c r="I14" s="181">
        <f t="shared" si="0"/>
        <v>34846.091511901774</v>
      </c>
      <c r="K14" s="322"/>
      <c r="L14" s="183">
        <v>15</v>
      </c>
      <c r="M14" s="182"/>
      <c r="N14" s="181">
        <f t="shared" si="1"/>
        <v>20060.917033997746</v>
      </c>
      <c r="O14" s="181">
        <f t="shared" si="1"/>
        <v>22568.531663247464</v>
      </c>
      <c r="P14" s="181">
        <f t="shared" si="1"/>
        <v>25076.146292497182</v>
      </c>
      <c r="Q14" s="181">
        <f t="shared" si="1"/>
        <v>27583.760921746907</v>
      </c>
      <c r="R14" s="181">
        <f t="shared" si="1"/>
        <v>30091.375550996625</v>
      </c>
    </row>
    <row r="15" spans="1:18" ht="5.25" customHeight="1" x14ac:dyDescent="0.5">
      <c r="C15" s="142"/>
      <c r="E15" s="143"/>
      <c r="F15" s="143"/>
      <c r="G15" s="143"/>
      <c r="H15" s="143"/>
      <c r="I15" s="143"/>
      <c r="L15" s="142"/>
      <c r="N15" s="143"/>
      <c r="O15" s="143"/>
      <c r="P15" s="143"/>
      <c r="Q15" s="143"/>
      <c r="R15" s="143"/>
    </row>
    <row r="16" spans="1:18" ht="14.25" customHeight="1" x14ac:dyDescent="0.5">
      <c r="B16" s="198" t="str">
        <f>"  (*)  Discount Rate =  "&amp;TEXT(E24,"#,#%")&amp;"  (Based on private VC fund returns last 25 years (Source: NVCA, Cambridge Associates)"</f>
        <v xml:space="preserve">  (*)  Discount Rate =  25%  (Based on private VC fund returns last 25 years (Source: NVCA, Cambridge Associates)</v>
      </c>
      <c r="C16" s="144"/>
      <c r="D16" s="145"/>
      <c r="E16" s="146"/>
      <c r="F16" s="146"/>
      <c r="G16" s="146"/>
      <c r="H16" s="146"/>
      <c r="I16" s="147"/>
      <c r="K16" s="198" t="str">
        <f>"  (*)  Discount Rate =  "&amp;TEXT(N24,"#,#%")&amp;"  (Based on private VC fund returns last 25 years (Source: NVCA, Cambridge Associates)"</f>
        <v xml:space="preserve">  (*)  Discount Rate =  25%  (Based on private VC fund returns last 25 years (Source: NVCA, Cambridge Associates)</v>
      </c>
      <c r="L16" s="144"/>
      <c r="M16" s="145"/>
      <c r="N16" s="146"/>
      <c r="O16" s="146"/>
      <c r="P16" s="146"/>
      <c r="Q16" s="146"/>
      <c r="R16" s="147"/>
    </row>
    <row r="17" spans="2:18" ht="14.2" customHeight="1" x14ac:dyDescent="0.55000000000000004">
      <c r="B17" s="148"/>
      <c r="C17" s="142"/>
      <c r="E17" s="143"/>
      <c r="F17" s="143"/>
      <c r="G17" s="143"/>
      <c r="H17" s="143"/>
      <c r="I17" s="143"/>
      <c r="K17" s="148"/>
      <c r="L17" s="142"/>
      <c r="N17" s="143"/>
      <c r="O17" s="143"/>
      <c r="P17" s="143"/>
      <c r="Q17" s="143"/>
      <c r="R17" s="143"/>
    </row>
    <row r="18" spans="2:18" ht="14.2" customHeight="1" x14ac:dyDescent="0.5">
      <c r="B18" s="185" t="s">
        <v>137</v>
      </c>
      <c r="C18" s="185"/>
      <c r="D18" s="186"/>
      <c r="E18" s="186"/>
      <c r="F18" s="143"/>
      <c r="G18" s="143"/>
      <c r="H18" s="143"/>
      <c r="I18" s="143"/>
      <c r="K18" s="185" t="s">
        <v>142</v>
      </c>
      <c r="L18" s="185"/>
      <c r="M18" s="186"/>
      <c r="N18" s="186"/>
      <c r="O18" s="143"/>
      <c r="P18" s="143"/>
      <c r="Q18" s="143"/>
      <c r="R18" s="143"/>
    </row>
    <row r="19" spans="2:18" ht="13.5" customHeight="1" x14ac:dyDescent="0.5">
      <c r="E19" s="190" t="s">
        <v>143</v>
      </c>
      <c r="N19" s="190" t="s">
        <v>70</v>
      </c>
    </row>
    <row r="20" spans="2:18" ht="13.5" customHeight="1" x14ac:dyDescent="0.5">
      <c r="B20" s="184" t="s">
        <v>129</v>
      </c>
      <c r="C20" s="138">
        <f>'DCF - Base Case (1 WACC)'!J9</f>
        <v>8345</v>
      </c>
      <c r="K20" s="184" t="s">
        <v>129</v>
      </c>
      <c r="L20" s="138">
        <f>'DCF - Base Case (1 WACC)'!J12</f>
        <v>104</v>
      </c>
      <c r="N20" s="192">
        <f>'DCF - Base Case (1 WACC)'!J13</f>
        <v>1.2462552426602757E-2</v>
      </c>
    </row>
    <row r="21" spans="2:18" ht="13.5" customHeight="1" x14ac:dyDescent="0.5">
      <c r="B21" s="184" t="s">
        <v>128</v>
      </c>
      <c r="C21" s="138">
        <f>'DCF - Base Case (1 WACC)'!M9</f>
        <v>50026</v>
      </c>
      <c r="E21" s="191">
        <f>((C21/C20)^(1/3)-1)</f>
        <v>0.81658815998674528</v>
      </c>
      <c r="K21" s="184" t="s">
        <v>128</v>
      </c>
      <c r="L21" s="138">
        <f>'DCF - Base Case (1 WACC)'!M12</f>
        <v>4032</v>
      </c>
      <c r="N21" s="192">
        <f>'DCF - Base Case (1 WACC)'!M13</f>
        <v>8.0598088993723269E-2</v>
      </c>
    </row>
    <row r="22" spans="2:18" ht="14.2" customHeight="1" x14ac:dyDescent="0.5"/>
    <row r="23" spans="2:18" ht="14.2" customHeight="1" x14ac:dyDescent="0.5">
      <c r="B23" s="149" t="s">
        <v>127</v>
      </c>
      <c r="C23" s="149"/>
      <c r="D23" s="149"/>
      <c r="E23" s="150">
        <f>1/(1+$E$24)^4</f>
        <v>0.41461882097382907</v>
      </c>
      <c r="K23" s="149" t="s">
        <v>127</v>
      </c>
      <c r="L23" s="149"/>
      <c r="M23" s="149"/>
      <c r="N23" s="150">
        <f>1/(1+$E$24)^4</f>
        <v>0.41461882097382907</v>
      </c>
    </row>
    <row r="24" spans="2:18" ht="14.2" customHeight="1" x14ac:dyDescent="0.5">
      <c r="B24" s="149" t="s">
        <v>180</v>
      </c>
      <c r="C24" s="149"/>
      <c r="D24" s="149"/>
      <c r="E24" s="151">
        <f>'DCF - Base Case (1 WACC)'!F49</f>
        <v>0.2462</v>
      </c>
      <c r="G24" s="136"/>
      <c r="K24" s="149" t="s">
        <v>180</v>
      </c>
      <c r="L24" s="149"/>
      <c r="M24" s="149"/>
      <c r="N24" s="151">
        <f>E24</f>
        <v>0.2462</v>
      </c>
      <c r="P24" s="136"/>
    </row>
    <row r="25" spans="2:18" ht="14.2" customHeight="1" x14ac:dyDescent="0.5"/>
    <row r="26" spans="2:18" ht="14.2" customHeight="1" x14ac:dyDescent="0.5"/>
    <row r="27" spans="2:18" ht="14.2" customHeight="1" x14ac:dyDescent="0.5"/>
    <row r="28" spans="2:18" ht="14.2" customHeight="1" x14ac:dyDescent="0.5"/>
    <row r="29" spans="2:18" ht="14.2" customHeight="1" x14ac:dyDescent="0.5"/>
    <row r="30" spans="2:18" ht="14.2" customHeight="1" x14ac:dyDescent="0.5"/>
    <row r="31" spans="2:18" ht="14.2" customHeight="1" x14ac:dyDescent="0.5"/>
    <row r="32" spans="2:18" ht="14.2" customHeight="1" x14ac:dyDescent="0.5"/>
    <row r="33" ht="14.2" customHeight="1" x14ac:dyDescent="0.5"/>
    <row r="34" ht="14.2" customHeight="1" x14ac:dyDescent="0.5"/>
    <row r="35" ht="14.2" customHeight="1" x14ac:dyDescent="0.5"/>
  </sheetData>
  <mergeCells count="2">
    <mergeCell ref="B10:B14"/>
    <mergeCell ref="K10:K14"/>
  </mergeCells>
  <pageMargins left="0.75" right="0.75" top="0.55000000000000004" bottom="0.37" header="0.4" footer="0.2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53CF-18CF-408B-A21E-65A7AA80F3DD}">
  <dimension ref="A1:IV31"/>
  <sheetViews>
    <sheetView showGridLines="0" tabSelected="1" zoomScale="85" zoomScaleNormal="85" workbookViewId="0">
      <selection activeCell="I3" sqref="I3"/>
    </sheetView>
  </sheetViews>
  <sheetFormatPr baseColWidth="10" defaultColWidth="8.68359375" defaultRowHeight="12.9" x14ac:dyDescent="0.5"/>
  <cols>
    <col min="1" max="1" width="12.3125" style="61" customWidth="1"/>
    <col min="2" max="2" width="1.3671875" style="61" customWidth="1"/>
    <col min="3" max="3" width="30.9453125" style="61" customWidth="1"/>
    <col min="4" max="4" width="1.47265625" style="61" customWidth="1"/>
    <col min="5" max="5" width="13.734375" style="61" customWidth="1"/>
    <col min="6" max="6" width="1.47265625" style="119" customWidth="1"/>
    <col min="7" max="7" width="13.734375" style="61" customWidth="1"/>
    <col min="8" max="8" width="1.47265625" style="61" customWidth="1"/>
    <col min="9" max="9" width="40.9453125" style="61" customWidth="1"/>
    <col min="10" max="10" width="3" style="61" customWidth="1"/>
    <col min="11" max="256" width="8.68359375" style="61"/>
    <col min="257" max="16384" width="8.68359375" style="3"/>
  </cols>
  <sheetData>
    <row r="1" spans="1:256" ht="20.7" thickBot="1" x14ac:dyDescent="0.8">
      <c r="A1" s="4" t="s">
        <v>49</v>
      </c>
      <c r="B1" s="5"/>
      <c r="C1" s="5"/>
      <c r="D1" s="5"/>
      <c r="E1" s="5"/>
      <c r="F1" s="5"/>
      <c r="G1" s="5"/>
      <c r="H1" s="5"/>
      <c r="I1" s="5"/>
    </row>
    <row r="2" spans="1:256" ht="13.2" thickTop="1" x14ac:dyDescent="0.5"/>
    <row r="3" spans="1:256" ht="46.8" x14ac:dyDescent="0.6">
      <c r="A3" s="62"/>
      <c r="B3" s="62"/>
      <c r="C3" s="62"/>
      <c r="D3" s="62"/>
      <c r="E3" s="63" t="s">
        <v>108</v>
      </c>
      <c r="F3" s="120"/>
      <c r="G3" s="63" t="s">
        <v>107</v>
      </c>
      <c r="H3" s="62"/>
      <c r="I3" s="64" t="s">
        <v>50</v>
      </c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2"/>
      <c r="BZ3" s="62"/>
      <c r="CA3" s="62"/>
      <c r="CB3" s="62"/>
      <c r="CC3" s="62"/>
      <c r="CD3" s="62"/>
      <c r="CE3" s="62"/>
      <c r="CF3" s="62"/>
      <c r="CG3" s="62"/>
      <c r="CH3" s="62"/>
      <c r="CI3" s="62"/>
      <c r="CJ3" s="62"/>
      <c r="CK3" s="62"/>
      <c r="CL3" s="62"/>
      <c r="CM3" s="62"/>
      <c r="CN3" s="62"/>
      <c r="CO3" s="62"/>
      <c r="CP3" s="62"/>
      <c r="CQ3" s="62"/>
      <c r="CR3" s="62"/>
      <c r="CS3" s="62"/>
      <c r="CT3" s="62"/>
      <c r="CU3" s="62"/>
      <c r="CV3" s="62"/>
      <c r="CW3" s="62"/>
      <c r="CX3" s="62"/>
      <c r="CY3" s="62"/>
      <c r="CZ3" s="62"/>
      <c r="DA3" s="62"/>
      <c r="DB3" s="62"/>
      <c r="DC3" s="62"/>
      <c r="DD3" s="62"/>
      <c r="DE3" s="62"/>
      <c r="DF3" s="62"/>
      <c r="DG3" s="62"/>
      <c r="DH3" s="62"/>
      <c r="DI3" s="62"/>
      <c r="DJ3" s="62"/>
      <c r="DK3" s="62"/>
      <c r="DL3" s="62"/>
      <c r="DM3" s="62"/>
      <c r="DN3" s="62"/>
      <c r="DO3" s="62"/>
      <c r="DP3" s="62"/>
      <c r="DQ3" s="62"/>
      <c r="DR3" s="62"/>
      <c r="DS3" s="62"/>
      <c r="DT3" s="62"/>
      <c r="DU3" s="62"/>
      <c r="DV3" s="62"/>
      <c r="DW3" s="62"/>
      <c r="DX3" s="62"/>
      <c r="DY3" s="62"/>
      <c r="DZ3" s="62"/>
      <c r="EA3" s="62"/>
      <c r="EB3" s="62"/>
      <c r="EC3" s="62"/>
      <c r="ED3" s="62"/>
      <c r="EE3" s="62"/>
      <c r="EF3" s="62"/>
      <c r="EG3" s="62"/>
      <c r="EH3" s="62"/>
      <c r="EI3" s="62"/>
      <c r="EJ3" s="62"/>
      <c r="EK3" s="62"/>
      <c r="EL3" s="62"/>
      <c r="EM3" s="62"/>
      <c r="EN3" s="62"/>
      <c r="EO3" s="62"/>
      <c r="EP3" s="62"/>
      <c r="EQ3" s="62"/>
      <c r="ER3" s="62"/>
      <c r="ES3" s="62"/>
      <c r="ET3" s="62"/>
      <c r="EU3" s="62"/>
      <c r="EV3" s="62"/>
      <c r="EW3" s="62"/>
      <c r="EX3" s="62"/>
      <c r="EY3" s="62"/>
      <c r="EZ3" s="62"/>
      <c r="FA3" s="62"/>
      <c r="FB3" s="62"/>
      <c r="FC3" s="62"/>
      <c r="FD3" s="62"/>
      <c r="FE3" s="62"/>
      <c r="FF3" s="62"/>
      <c r="FG3" s="62"/>
      <c r="FH3" s="62"/>
      <c r="FI3" s="62"/>
      <c r="FJ3" s="62"/>
      <c r="FK3" s="62"/>
      <c r="FL3" s="62"/>
      <c r="FM3" s="62"/>
      <c r="FN3" s="62"/>
      <c r="FO3" s="62"/>
      <c r="FP3" s="62"/>
      <c r="FQ3" s="62"/>
      <c r="FR3" s="62"/>
      <c r="FS3" s="62"/>
      <c r="FT3" s="62"/>
      <c r="FU3" s="62"/>
      <c r="FV3" s="62"/>
      <c r="FW3" s="62"/>
      <c r="FX3" s="62"/>
      <c r="FY3" s="62"/>
      <c r="FZ3" s="62"/>
      <c r="GA3" s="62"/>
      <c r="GB3" s="62"/>
      <c r="GC3" s="62"/>
      <c r="GD3" s="62"/>
      <c r="GE3" s="62"/>
      <c r="GF3" s="62"/>
      <c r="GG3" s="62"/>
      <c r="GH3" s="62"/>
      <c r="GI3" s="62"/>
      <c r="GJ3" s="62"/>
      <c r="GK3" s="62"/>
      <c r="GL3" s="62"/>
      <c r="GM3" s="62"/>
      <c r="GN3" s="62"/>
      <c r="GO3" s="62"/>
      <c r="GP3" s="62"/>
      <c r="GQ3" s="62"/>
      <c r="GR3" s="62"/>
      <c r="GS3" s="62"/>
      <c r="GT3" s="62"/>
      <c r="GU3" s="62"/>
      <c r="GV3" s="62"/>
      <c r="GW3" s="62"/>
      <c r="GX3" s="62"/>
      <c r="GY3" s="62"/>
      <c r="GZ3" s="62"/>
      <c r="HA3" s="62"/>
      <c r="HB3" s="62"/>
      <c r="HC3" s="62"/>
      <c r="HD3" s="62"/>
      <c r="HE3" s="62"/>
      <c r="HF3" s="62"/>
      <c r="HG3" s="62"/>
      <c r="HH3" s="62"/>
      <c r="HI3" s="62"/>
      <c r="HJ3" s="62"/>
      <c r="HK3" s="62"/>
      <c r="HL3" s="62"/>
      <c r="HM3" s="62"/>
      <c r="HN3" s="62"/>
      <c r="HO3" s="62"/>
      <c r="HP3" s="62"/>
      <c r="HQ3" s="62"/>
      <c r="HR3" s="62"/>
      <c r="HS3" s="62"/>
      <c r="HT3" s="62"/>
      <c r="HU3" s="62"/>
      <c r="HV3" s="62"/>
      <c r="HW3" s="62"/>
      <c r="HX3" s="62"/>
      <c r="HY3" s="62"/>
      <c r="HZ3" s="62"/>
      <c r="IA3" s="62"/>
      <c r="IB3" s="62"/>
      <c r="IC3" s="62"/>
      <c r="ID3" s="62"/>
      <c r="IE3" s="62"/>
      <c r="IF3" s="62"/>
      <c r="IG3" s="62"/>
      <c r="IH3" s="62"/>
      <c r="II3" s="62"/>
      <c r="IJ3" s="62"/>
      <c r="IK3" s="62"/>
      <c r="IL3" s="62"/>
      <c r="IM3" s="62"/>
      <c r="IN3" s="62"/>
      <c r="IO3" s="62"/>
      <c r="IP3" s="62"/>
      <c r="IQ3" s="62"/>
      <c r="IR3" s="62"/>
      <c r="IS3" s="62"/>
      <c r="IT3" s="62"/>
      <c r="IU3" s="62"/>
      <c r="IV3" s="62"/>
    </row>
    <row r="4" spans="1:256" x14ac:dyDescent="0.4">
      <c r="A4" s="65"/>
      <c r="B4" s="65"/>
      <c r="C4" s="65"/>
      <c r="D4" s="65"/>
      <c r="E4" s="65"/>
      <c r="F4" s="121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5"/>
      <c r="GG4" s="65"/>
      <c r="GH4" s="65"/>
      <c r="GI4" s="65"/>
      <c r="GJ4" s="65"/>
      <c r="GK4" s="65"/>
      <c r="GL4" s="65"/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</row>
    <row r="5" spans="1:256" ht="16.8" x14ac:dyDescent="0.65">
      <c r="A5" s="323" t="s">
        <v>51</v>
      </c>
      <c r="C5" s="66" t="s">
        <v>52</v>
      </c>
      <c r="D5" s="67"/>
      <c r="E5" s="68">
        <f>E6/E7</f>
        <v>0</v>
      </c>
      <c r="F5" s="122"/>
      <c r="G5" s="68">
        <f>G6/G7</f>
        <v>1</v>
      </c>
      <c r="H5" s="70"/>
      <c r="I5" s="71"/>
      <c r="K5" s="65"/>
    </row>
    <row r="6" spans="1:256" ht="16.8" x14ac:dyDescent="0.65">
      <c r="A6" s="324"/>
      <c r="C6" s="67" t="s">
        <v>1</v>
      </c>
      <c r="D6" s="67"/>
      <c r="E6" s="72">
        <v>0</v>
      </c>
      <c r="F6" s="122"/>
      <c r="G6" s="72">
        <v>0.5</v>
      </c>
      <c r="H6" s="70"/>
      <c r="I6" s="71" t="s">
        <v>53</v>
      </c>
      <c r="J6" s="73"/>
    </row>
    <row r="7" spans="1:256" ht="16.8" x14ac:dyDescent="0.65">
      <c r="A7" s="324"/>
      <c r="C7" s="67" t="s">
        <v>2</v>
      </c>
      <c r="D7" s="67"/>
      <c r="E7" s="74">
        <f>1-E6</f>
        <v>1</v>
      </c>
      <c r="F7" s="122"/>
      <c r="G7" s="74">
        <f>1-G6</f>
        <v>0.5</v>
      </c>
      <c r="H7" s="70"/>
      <c r="I7" s="71" t="s">
        <v>53</v>
      </c>
      <c r="J7" s="73"/>
    </row>
    <row r="8" spans="1:256" x14ac:dyDescent="0.5">
      <c r="J8" s="75"/>
    </row>
    <row r="9" spans="1:256" ht="16.8" x14ac:dyDescent="0.65">
      <c r="A9" s="323" t="s">
        <v>54</v>
      </c>
      <c r="B9" s="70"/>
      <c r="C9" s="76" t="s">
        <v>55</v>
      </c>
      <c r="D9" s="70"/>
      <c r="E9" s="99">
        <f>0.04+0.005</f>
        <v>4.4999999999999998E-2</v>
      </c>
      <c r="F9" s="123"/>
      <c r="G9" s="99">
        <f>E9</f>
        <v>4.4999999999999998E-2</v>
      </c>
      <c r="H9" s="70"/>
      <c r="I9" s="71" t="s">
        <v>110</v>
      </c>
      <c r="J9" s="75"/>
      <c r="K9" s="107"/>
    </row>
    <row r="10" spans="1:256" ht="16.8" x14ac:dyDescent="0.65">
      <c r="A10" s="323"/>
      <c r="B10" s="70"/>
      <c r="C10" s="70" t="s">
        <v>56</v>
      </c>
      <c r="D10" s="70"/>
      <c r="E10" s="77">
        <f>'DCF - Base Case (1 WACC)'!N79</f>
        <v>0.34002976190476192</v>
      </c>
      <c r="F10" s="124"/>
      <c r="G10" s="77">
        <f>E10</f>
        <v>0.34002976190476192</v>
      </c>
      <c r="H10" s="70"/>
      <c r="I10" s="71" t="s">
        <v>71</v>
      </c>
      <c r="J10" s="75"/>
    </row>
    <row r="11" spans="1:256" ht="16.8" x14ac:dyDescent="0.65">
      <c r="A11" s="323"/>
      <c r="B11" s="70"/>
      <c r="C11" s="66" t="s">
        <v>57</v>
      </c>
      <c r="D11" s="67"/>
      <c r="E11" s="78">
        <f>E9*(1-E10)</f>
        <v>2.9698660714285716E-2</v>
      </c>
      <c r="F11" s="122"/>
      <c r="G11" s="78">
        <f>G9*(1-G10)</f>
        <v>2.9698660714285716E-2</v>
      </c>
      <c r="H11" s="70"/>
      <c r="I11" s="70"/>
      <c r="J11" s="75"/>
    </row>
    <row r="12" spans="1:256" ht="15.6" x14ac:dyDescent="0.6">
      <c r="A12" s="70"/>
      <c r="B12" s="70"/>
      <c r="C12" s="70"/>
      <c r="D12" s="70"/>
      <c r="E12" s="79"/>
      <c r="F12" s="124"/>
      <c r="G12" s="79"/>
      <c r="H12" s="70"/>
      <c r="J12" s="75"/>
    </row>
    <row r="13" spans="1:256" ht="16.8" x14ac:dyDescent="0.65">
      <c r="A13" s="323" t="s">
        <v>58</v>
      </c>
      <c r="C13" s="70" t="s">
        <v>59</v>
      </c>
      <c r="D13" s="70"/>
      <c r="E13" s="83">
        <v>1.7600000000000001E-2</v>
      </c>
      <c r="F13" s="124"/>
      <c r="G13" s="84">
        <f>E13</f>
        <v>1.7600000000000001E-2</v>
      </c>
      <c r="H13" s="70"/>
      <c r="I13" s="71" t="s">
        <v>149</v>
      </c>
      <c r="J13" s="75"/>
    </row>
    <row r="14" spans="1:256" ht="16.8" x14ac:dyDescent="0.65">
      <c r="A14" s="324"/>
      <c r="C14" s="70" t="s">
        <v>0</v>
      </c>
      <c r="D14" s="70"/>
      <c r="E14" s="81">
        <f>E25</f>
        <v>1.5</v>
      </c>
      <c r="F14" s="124"/>
      <c r="G14" s="81">
        <f>G25</f>
        <v>2.4899553571428572</v>
      </c>
      <c r="H14" s="70"/>
      <c r="I14" s="71" t="s">
        <v>60</v>
      </c>
      <c r="J14" s="75"/>
    </row>
    <row r="15" spans="1:256" ht="16.8" x14ac:dyDescent="0.65">
      <c r="A15" s="324"/>
      <c r="C15" s="82" t="s">
        <v>146</v>
      </c>
      <c r="D15" s="82"/>
      <c r="E15" s="83">
        <v>7.0000000000000007E-2</v>
      </c>
      <c r="F15" s="125"/>
      <c r="G15" s="84">
        <f>E15</f>
        <v>7.0000000000000007E-2</v>
      </c>
      <c r="H15" s="82"/>
      <c r="I15" s="71" t="s">
        <v>236</v>
      </c>
      <c r="J15" s="75"/>
    </row>
    <row r="16" spans="1:256" ht="16.8" x14ac:dyDescent="0.65">
      <c r="A16" s="324"/>
      <c r="C16" s="82" t="s">
        <v>147</v>
      </c>
      <c r="D16" s="82"/>
      <c r="E16" s="83">
        <f>0.17-E15-E13</f>
        <v>8.2400000000000001E-2</v>
      </c>
      <c r="F16" s="125"/>
      <c r="G16" s="84">
        <f>E16</f>
        <v>8.2400000000000001E-2</v>
      </c>
      <c r="H16" s="82"/>
      <c r="I16" s="71" t="s">
        <v>148</v>
      </c>
      <c r="J16" s="75"/>
      <c r="K16" s="193" t="s">
        <v>229</v>
      </c>
    </row>
    <row r="17" spans="1:256" ht="16.8" x14ac:dyDescent="0.65">
      <c r="A17" s="324"/>
      <c r="C17" s="82"/>
      <c r="D17" s="82"/>
      <c r="E17" s="80"/>
      <c r="F17" s="125"/>
      <c r="G17" s="80"/>
      <c r="H17" s="82"/>
      <c r="I17" s="71"/>
      <c r="J17" s="75"/>
      <c r="L17" s="197"/>
      <c r="M17" s="197"/>
      <c r="N17" s="197"/>
    </row>
    <row r="18" spans="1:256" ht="16.8" x14ac:dyDescent="0.55000000000000004">
      <c r="A18" s="324"/>
      <c r="B18" s="65"/>
      <c r="C18" s="85" t="s">
        <v>61</v>
      </c>
      <c r="D18" s="69"/>
      <c r="E18" s="86">
        <f>E13+E14*(E15+E16)</f>
        <v>0.24620000000000003</v>
      </c>
      <c r="F18" s="126"/>
      <c r="G18" s="86">
        <f>G13+G14*(G15+G16)</f>
        <v>0.39706919642857147</v>
      </c>
      <c r="H18" s="70"/>
      <c r="I18" s="70"/>
      <c r="J18" s="73"/>
      <c r="K18" s="65"/>
      <c r="L18" s="196"/>
      <c r="M18" s="195"/>
      <c r="N18" s="19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65"/>
      <c r="DH18" s="65"/>
      <c r="DI18" s="65"/>
      <c r="DJ18" s="65"/>
      <c r="DK18" s="65"/>
      <c r="DL18" s="65"/>
      <c r="DM18" s="65"/>
      <c r="DN18" s="65"/>
      <c r="DO18" s="65"/>
      <c r="DP18" s="65"/>
      <c r="DQ18" s="65"/>
      <c r="DR18" s="65"/>
      <c r="DS18" s="65"/>
      <c r="DT18" s="65"/>
      <c r="DU18" s="65"/>
      <c r="DV18" s="65"/>
      <c r="DW18" s="65"/>
      <c r="DX18" s="65"/>
      <c r="DY18" s="65"/>
      <c r="DZ18" s="65"/>
      <c r="EA18" s="65"/>
      <c r="EB18" s="65"/>
      <c r="EC18" s="65"/>
      <c r="ED18" s="65"/>
      <c r="EE18" s="65"/>
      <c r="EF18" s="65"/>
      <c r="EG18" s="65"/>
      <c r="EH18" s="65"/>
      <c r="EI18" s="65"/>
      <c r="EJ18" s="65"/>
      <c r="EK18" s="65"/>
      <c r="EL18" s="65"/>
      <c r="EM18" s="65"/>
      <c r="EN18" s="65"/>
      <c r="EO18" s="65"/>
      <c r="EP18" s="65"/>
      <c r="EQ18" s="65"/>
      <c r="ER18" s="65"/>
      <c r="ES18" s="65"/>
      <c r="ET18" s="65"/>
      <c r="EU18" s="65"/>
      <c r="EV18" s="65"/>
      <c r="EW18" s="65"/>
      <c r="EX18" s="65"/>
      <c r="EY18" s="65"/>
      <c r="EZ18" s="65"/>
      <c r="FA18" s="65"/>
      <c r="FB18" s="65"/>
      <c r="FC18" s="65"/>
      <c r="FD18" s="65"/>
      <c r="FE18" s="65"/>
      <c r="FF18" s="65"/>
      <c r="FG18" s="65"/>
      <c r="FH18" s="65"/>
      <c r="FI18" s="65"/>
      <c r="FJ18" s="65"/>
      <c r="FK18" s="65"/>
      <c r="FL18" s="65"/>
      <c r="FM18" s="65"/>
      <c r="FN18" s="65"/>
      <c r="FO18" s="65"/>
      <c r="FP18" s="65"/>
      <c r="FQ18" s="65"/>
      <c r="FR18" s="65"/>
      <c r="FS18" s="65"/>
      <c r="FT18" s="65"/>
      <c r="FU18" s="65"/>
      <c r="FV18" s="65"/>
      <c r="FW18" s="65"/>
      <c r="FX18" s="65"/>
      <c r="FY18" s="65"/>
      <c r="FZ18" s="65"/>
      <c r="GA18" s="65"/>
      <c r="GB18" s="65"/>
      <c r="GC18" s="65"/>
      <c r="GD18" s="65"/>
      <c r="GE18" s="65"/>
      <c r="GF18" s="65"/>
      <c r="GG18" s="65"/>
      <c r="GH18" s="65"/>
      <c r="GI18" s="65"/>
      <c r="GJ18" s="65"/>
      <c r="GK18" s="65"/>
      <c r="GL18" s="65"/>
      <c r="GM18" s="65"/>
      <c r="GN18" s="65"/>
      <c r="GO18" s="65"/>
      <c r="GP18" s="65"/>
      <c r="GQ18" s="65"/>
      <c r="GR18" s="65"/>
      <c r="GS18" s="65"/>
      <c r="GT18" s="65"/>
      <c r="GU18" s="65"/>
      <c r="GV18" s="65"/>
      <c r="GW18" s="65"/>
      <c r="GX18" s="65"/>
      <c r="GY18" s="65"/>
      <c r="GZ18" s="65"/>
      <c r="HA18" s="65"/>
      <c r="HB18" s="65"/>
      <c r="HC18" s="65"/>
      <c r="HD18" s="65"/>
      <c r="HE18" s="65"/>
      <c r="HF18" s="65"/>
      <c r="HG18" s="65"/>
      <c r="HH18" s="65"/>
      <c r="HI18" s="65"/>
      <c r="HJ18" s="65"/>
      <c r="HK18" s="65"/>
      <c r="HL18" s="65"/>
      <c r="HM18" s="65"/>
      <c r="HN18" s="65"/>
      <c r="HO18" s="65"/>
      <c r="HP18" s="65"/>
      <c r="HQ18" s="65"/>
      <c r="HR18" s="65"/>
      <c r="HS18" s="65"/>
      <c r="HT18" s="65"/>
      <c r="HU18" s="65"/>
      <c r="HV18" s="65"/>
      <c r="HW18" s="65"/>
      <c r="HX18" s="65"/>
      <c r="HY18" s="65"/>
      <c r="HZ18" s="65"/>
      <c r="IA18" s="65"/>
      <c r="IB18" s="65"/>
      <c r="IC18" s="65"/>
      <c r="ID18" s="65"/>
      <c r="IE18" s="65"/>
      <c r="IF18" s="65"/>
      <c r="IG18" s="65"/>
      <c r="IH18" s="65"/>
      <c r="II18" s="65"/>
      <c r="IJ18" s="65"/>
      <c r="IK18" s="65"/>
      <c r="IL18" s="65"/>
      <c r="IM18" s="65"/>
      <c r="IN18" s="65"/>
      <c r="IO18" s="65"/>
      <c r="IP18" s="65"/>
      <c r="IQ18" s="65"/>
      <c r="IR18" s="65"/>
      <c r="IS18" s="65"/>
      <c r="IT18" s="65"/>
      <c r="IU18" s="65"/>
      <c r="IV18" s="65"/>
    </row>
    <row r="19" spans="1:256" ht="14.4" x14ac:dyDescent="0.5">
      <c r="A19" s="325"/>
      <c r="B19" s="65"/>
      <c r="C19" s="87"/>
      <c r="D19" s="82"/>
      <c r="E19" s="88"/>
      <c r="F19" s="125"/>
      <c r="G19" s="88"/>
      <c r="H19" s="82"/>
      <c r="I19" s="88"/>
      <c r="J19" s="65"/>
      <c r="K19" s="65"/>
      <c r="L19" s="65"/>
      <c r="M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E19" s="65"/>
      <c r="DF19" s="65"/>
      <c r="DG19" s="65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  <c r="DW19" s="65"/>
      <c r="DX19" s="65"/>
      <c r="DY19" s="65"/>
      <c r="DZ19" s="65"/>
      <c r="EA19" s="65"/>
      <c r="EB19" s="65"/>
      <c r="EC19" s="65"/>
      <c r="ED19" s="65"/>
      <c r="EE19" s="65"/>
      <c r="EF19" s="65"/>
      <c r="EG19" s="65"/>
      <c r="EH19" s="65"/>
      <c r="EI19" s="65"/>
      <c r="EJ19" s="65"/>
      <c r="EK19" s="65"/>
      <c r="EL19" s="65"/>
      <c r="EM19" s="65"/>
      <c r="EN19" s="65"/>
      <c r="EO19" s="65"/>
      <c r="EP19" s="65"/>
      <c r="EQ19" s="65"/>
      <c r="ER19" s="65"/>
      <c r="ES19" s="65"/>
      <c r="ET19" s="65"/>
      <c r="EU19" s="65"/>
      <c r="EV19" s="65"/>
      <c r="EW19" s="65"/>
      <c r="EX19" s="65"/>
      <c r="EY19" s="65"/>
      <c r="EZ19" s="65"/>
      <c r="FA19" s="65"/>
      <c r="FB19" s="65"/>
      <c r="FC19" s="65"/>
      <c r="FD19" s="65"/>
      <c r="FE19" s="65"/>
      <c r="FF19" s="65"/>
      <c r="FG19" s="65"/>
      <c r="FH19" s="65"/>
      <c r="FI19" s="65"/>
      <c r="FJ19" s="65"/>
      <c r="FK19" s="65"/>
      <c r="FL19" s="65"/>
      <c r="FM19" s="65"/>
      <c r="FN19" s="65"/>
      <c r="FO19" s="65"/>
      <c r="FP19" s="65"/>
      <c r="FQ19" s="65"/>
      <c r="FR19" s="65"/>
      <c r="FS19" s="65"/>
      <c r="FT19" s="65"/>
      <c r="FU19" s="65"/>
      <c r="FV19" s="65"/>
      <c r="FW19" s="65"/>
      <c r="FX19" s="65"/>
      <c r="FY19" s="65"/>
      <c r="FZ19" s="65"/>
      <c r="GA19" s="65"/>
      <c r="GB19" s="65"/>
      <c r="GC19" s="65"/>
      <c r="GD19" s="65"/>
      <c r="GE19" s="65"/>
      <c r="GF19" s="65"/>
      <c r="GG19" s="65"/>
      <c r="GH19" s="65"/>
      <c r="GI19" s="65"/>
      <c r="GJ19" s="65"/>
      <c r="GK19" s="65"/>
      <c r="GL19" s="65"/>
      <c r="GM19" s="65"/>
      <c r="GN19" s="65"/>
      <c r="GO19" s="65"/>
      <c r="GP19" s="65"/>
      <c r="GQ19" s="65"/>
      <c r="GR19" s="65"/>
      <c r="GS19" s="65"/>
      <c r="GT19" s="65"/>
      <c r="GU19" s="65"/>
      <c r="GV19" s="65"/>
      <c r="GW19" s="65"/>
      <c r="GX19" s="65"/>
      <c r="GY19" s="65"/>
      <c r="GZ19" s="65"/>
      <c r="HA19" s="65"/>
      <c r="HB19" s="65"/>
      <c r="HC19" s="65"/>
      <c r="HD19" s="65"/>
      <c r="HE19" s="65"/>
      <c r="HF19" s="65"/>
      <c r="HG19" s="65"/>
      <c r="HH19" s="65"/>
      <c r="HI19" s="65"/>
      <c r="HJ19" s="65"/>
      <c r="HK19" s="65"/>
      <c r="HL19" s="65"/>
      <c r="HM19" s="65"/>
      <c r="HN19" s="65"/>
      <c r="HO19" s="65"/>
      <c r="HP19" s="65"/>
      <c r="HQ19" s="65"/>
      <c r="HR19" s="65"/>
      <c r="HS19" s="65"/>
      <c r="HT19" s="65"/>
      <c r="HU19" s="65"/>
      <c r="HV19" s="65"/>
      <c r="HW19" s="65"/>
      <c r="HX19" s="65"/>
      <c r="HY19" s="65"/>
      <c r="HZ19" s="65"/>
      <c r="IA19" s="65"/>
      <c r="IB19" s="65"/>
      <c r="IC19" s="65"/>
      <c r="ID19" s="65"/>
      <c r="IE19" s="65"/>
      <c r="IF19" s="65"/>
      <c r="IG19" s="65"/>
      <c r="IH19" s="65"/>
      <c r="II19" s="65"/>
      <c r="IJ19" s="65"/>
      <c r="IK19" s="65"/>
      <c r="IL19" s="65"/>
      <c r="IM19" s="65"/>
      <c r="IN19" s="65"/>
      <c r="IO19" s="65"/>
      <c r="IP19" s="65"/>
      <c r="IQ19" s="65"/>
      <c r="IR19" s="65"/>
      <c r="IS19" s="65"/>
      <c r="IT19" s="65"/>
      <c r="IU19" s="65"/>
      <c r="IV19" s="65"/>
    </row>
    <row r="20" spans="1:256" ht="14.4" x14ac:dyDescent="0.5">
      <c r="A20" s="325"/>
      <c r="B20" s="65"/>
      <c r="C20" s="89" t="s">
        <v>62</v>
      </c>
      <c r="D20" s="82"/>
      <c r="E20" s="88"/>
      <c r="F20" s="125"/>
      <c r="G20" s="88"/>
      <c r="H20" s="82"/>
      <c r="I20" s="88"/>
      <c r="J20" s="65"/>
      <c r="K20" s="65"/>
      <c r="L20" s="65"/>
      <c r="N20" s="65"/>
      <c r="O20" s="194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65"/>
      <c r="DH20" s="65"/>
      <c r="DI20" s="65"/>
      <c r="DJ20" s="65"/>
      <c r="DK20" s="65"/>
      <c r="DL20" s="65"/>
      <c r="DM20" s="65"/>
      <c r="DN20" s="65"/>
      <c r="DO20" s="65"/>
      <c r="DP20" s="65"/>
      <c r="DQ20" s="65"/>
      <c r="DR20" s="65"/>
      <c r="DS20" s="65"/>
      <c r="DT20" s="65"/>
      <c r="DU20" s="65"/>
      <c r="DV20" s="65"/>
      <c r="DW20" s="65"/>
      <c r="DX20" s="65"/>
      <c r="DY20" s="65"/>
      <c r="DZ20" s="65"/>
      <c r="EA20" s="65"/>
      <c r="EB20" s="65"/>
      <c r="EC20" s="65"/>
      <c r="ED20" s="65"/>
      <c r="EE20" s="65"/>
      <c r="EF20" s="65"/>
      <c r="EG20" s="65"/>
      <c r="EH20" s="65"/>
      <c r="EI20" s="65"/>
      <c r="EJ20" s="65"/>
      <c r="EK20" s="65"/>
      <c r="EL20" s="65"/>
      <c r="EM20" s="65"/>
      <c r="EN20" s="65"/>
      <c r="EO20" s="65"/>
      <c r="EP20" s="65"/>
      <c r="EQ20" s="65"/>
      <c r="ER20" s="65"/>
      <c r="ES20" s="65"/>
      <c r="ET20" s="65"/>
      <c r="EU20" s="65"/>
      <c r="EV20" s="65"/>
      <c r="EW20" s="65"/>
      <c r="EX20" s="65"/>
      <c r="EY20" s="65"/>
      <c r="EZ20" s="65"/>
      <c r="FA20" s="65"/>
      <c r="FB20" s="65"/>
      <c r="FC20" s="65"/>
      <c r="FD20" s="65"/>
      <c r="FE20" s="65"/>
      <c r="FF20" s="65"/>
      <c r="FG20" s="65"/>
      <c r="FH20" s="65"/>
      <c r="FI20" s="65"/>
      <c r="FJ20" s="65"/>
      <c r="FK20" s="65"/>
      <c r="FL20" s="65"/>
      <c r="FM20" s="65"/>
      <c r="FN20" s="65"/>
      <c r="FO20" s="65"/>
      <c r="FP20" s="65"/>
      <c r="FQ20" s="65"/>
      <c r="FR20" s="65"/>
      <c r="FS20" s="65"/>
      <c r="FT20" s="65"/>
      <c r="FU20" s="65"/>
      <c r="FV20" s="65"/>
      <c r="FW20" s="65"/>
      <c r="FX20" s="65"/>
      <c r="FY20" s="65"/>
      <c r="FZ20" s="65"/>
      <c r="GA20" s="65"/>
      <c r="GB20" s="65"/>
      <c r="GC20" s="65"/>
      <c r="GD20" s="65"/>
      <c r="GE20" s="65"/>
      <c r="GF20" s="65"/>
      <c r="GG20" s="65"/>
      <c r="GH20" s="65"/>
      <c r="GI20" s="65"/>
      <c r="GJ20" s="65"/>
      <c r="GK20" s="65"/>
      <c r="GL20" s="65"/>
      <c r="GM20" s="65"/>
      <c r="GN20" s="65"/>
      <c r="GO20" s="65"/>
      <c r="GP20" s="65"/>
      <c r="GQ20" s="65"/>
      <c r="GR20" s="65"/>
      <c r="GS20" s="65"/>
      <c r="GT20" s="65"/>
      <c r="GU20" s="65"/>
      <c r="GV20" s="65"/>
      <c r="GW20" s="65"/>
      <c r="GX20" s="65"/>
      <c r="GY20" s="65"/>
      <c r="GZ20" s="65"/>
      <c r="HA20" s="65"/>
      <c r="HB20" s="65"/>
      <c r="HC20" s="65"/>
      <c r="HD20" s="65"/>
      <c r="HE20" s="65"/>
      <c r="HF20" s="65"/>
      <c r="HG20" s="65"/>
      <c r="HH20" s="65"/>
      <c r="HI20" s="65"/>
      <c r="HJ20" s="65"/>
      <c r="HK20" s="65"/>
      <c r="HL20" s="65"/>
      <c r="HM20" s="65"/>
      <c r="HN20" s="65"/>
      <c r="HO20" s="65"/>
      <c r="HP20" s="65"/>
      <c r="HQ20" s="65"/>
      <c r="HR20" s="65"/>
      <c r="HS20" s="65"/>
      <c r="HT20" s="65"/>
      <c r="HU20" s="65"/>
      <c r="HV20" s="65"/>
      <c r="HW20" s="65"/>
      <c r="HX20" s="65"/>
      <c r="HY20" s="65"/>
      <c r="HZ20" s="65"/>
      <c r="IA20" s="65"/>
      <c r="IB20" s="65"/>
      <c r="IC20" s="65"/>
      <c r="ID20" s="65"/>
      <c r="IE20" s="65"/>
      <c r="IF20" s="65"/>
      <c r="IG20" s="65"/>
      <c r="IH20" s="65"/>
      <c r="II20" s="65"/>
      <c r="IJ20" s="65"/>
      <c r="IK20" s="65"/>
      <c r="IL20" s="65"/>
      <c r="IM20" s="65"/>
      <c r="IN20" s="65"/>
      <c r="IO20" s="65"/>
      <c r="IP20" s="65"/>
      <c r="IQ20" s="65"/>
      <c r="IR20" s="65"/>
      <c r="IS20" s="65"/>
      <c r="IT20" s="65"/>
      <c r="IU20" s="65"/>
      <c r="IV20" s="65"/>
    </row>
    <row r="21" spans="1:256" ht="14.4" x14ac:dyDescent="0.55000000000000004">
      <c r="A21" s="325"/>
      <c r="B21" s="65"/>
      <c r="C21" s="65" t="s">
        <v>63</v>
      </c>
      <c r="D21" s="65"/>
      <c r="E21" s="90">
        <v>1.5</v>
      </c>
      <c r="F21" s="121"/>
      <c r="G21" s="93">
        <f>E21</f>
        <v>1.5</v>
      </c>
      <c r="H21" s="82"/>
      <c r="I21" s="71" t="s">
        <v>150</v>
      </c>
      <c r="J21" s="65"/>
      <c r="K21" s="106"/>
      <c r="L21" s="65"/>
      <c r="M21" s="65"/>
      <c r="N21" s="65"/>
      <c r="O21" s="194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  <c r="CR21" s="65"/>
      <c r="CS21" s="65"/>
      <c r="CT21" s="65"/>
      <c r="CU21" s="65"/>
      <c r="CV21" s="65"/>
      <c r="CW21" s="65"/>
      <c r="CX21" s="65"/>
      <c r="CY21" s="65"/>
      <c r="CZ21" s="65"/>
      <c r="DA21" s="65"/>
      <c r="DB21" s="65"/>
      <c r="DC21" s="65"/>
      <c r="DD21" s="65"/>
      <c r="DE21" s="65"/>
      <c r="DF21" s="65"/>
      <c r="DG21" s="65"/>
      <c r="DH21" s="65"/>
      <c r="DI21" s="65"/>
      <c r="DJ21" s="65"/>
      <c r="DK21" s="65"/>
      <c r="DL21" s="65"/>
      <c r="DM21" s="65"/>
      <c r="DN21" s="65"/>
      <c r="DO21" s="65"/>
      <c r="DP21" s="65"/>
      <c r="DQ21" s="65"/>
      <c r="DR21" s="65"/>
      <c r="DS21" s="65"/>
      <c r="DT21" s="65"/>
      <c r="DU21" s="65"/>
      <c r="DV21" s="65"/>
      <c r="DW21" s="65"/>
      <c r="DX21" s="65"/>
      <c r="DY21" s="65"/>
      <c r="DZ21" s="65"/>
      <c r="EA21" s="65"/>
      <c r="EB21" s="65"/>
      <c r="EC21" s="65"/>
      <c r="ED21" s="65"/>
      <c r="EE21" s="65"/>
      <c r="EF21" s="65"/>
      <c r="EG21" s="65"/>
      <c r="EH21" s="65"/>
      <c r="EI21" s="65"/>
      <c r="EJ21" s="65"/>
      <c r="EK21" s="65"/>
      <c r="EL21" s="65"/>
      <c r="EM21" s="65"/>
      <c r="EN21" s="65"/>
      <c r="EO21" s="65"/>
      <c r="EP21" s="65"/>
      <c r="EQ21" s="65"/>
      <c r="ER21" s="65"/>
      <c r="ES21" s="65"/>
      <c r="ET21" s="65"/>
      <c r="EU21" s="65"/>
      <c r="EV21" s="65"/>
      <c r="EW21" s="65"/>
      <c r="EX21" s="65"/>
      <c r="EY21" s="65"/>
      <c r="EZ21" s="65"/>
      <c r="FA21" s="65"/>
      <c r="FB21" s="65"/>
      <c r="FC21" s="65"/>
      <c r="FD21" s="65"/>
      <c r="FE21" s="65"/>
      <c r="FF21" s="65"/>
      <c r="FG21" s="65"/>
      <c r="FH21" s="65"/>
      <c r="FI21" s="65"/>
      <c r="FJ21" s="65"/>
      <c r="FK21" s="65"/>
      <c r="FL21" s="65"/>
      <c r="FM21" s="65"/>
      <c r="FN21" s="65"/>
      <c r="FO21" s="65"/>
      <c r="FP21" s="65"/>
      <c r="FQ21" s="65"/>
      <c r="FR21" s="65"/>
      <c r="FS21" s="65"/>
      <c r="FT21" s="65"/>
      <c r="FU21" s="65"/>
      <c r="FV21" s="65"/>
      <c r="FW21" s="65"/>
      <c r="FX21" s="65"/>
      <c r="FY21" s="65"/>
      <c r="FZ21" s="65"/>
      <c r="GA21" s="65"/>
      <c r="GB21" s="65"/>
      <c r="GC21" s="65"/>
      <c r="GD21" s="65"/>
      <c r="GE21" s="65"/>
      <c r="GF21" s="65"/>
      <c r="GG21" s="65"/>
      <c r="GH21" s="65"/>
      <c r="GI21" s="65"/>
      <c r="GJ21" s="65"/>
      <c r="GK21" s="65"/>
      <c r="GL21" s="65"/>
      <c r="GM21" s="65"/>
      <c r="GN21" s="65"/>
      <c r="GO21" s="65"/>
      <c r="GP21" s="65"/>
      <c r="GQ21" s="65"/>
      <c r="GR21" s="65"/>
      <c r="GS21" s="65"/>
      <c r="GT21" s="65"/>
      <c r="GU21" s="65"/>
      <c r="GV21" s="65"/>
      <c r="GW21" s="65"/>
      <c r="GX21" s="65"/>
      <c r="GY21" s="65"/>
      <c r="GZ21" s="65"/>
      <c r="HA21" s="65"/>
      <c r="HB21" s="65"/>
      <c r="HC21" s="65"/>
      <c r="HD21" s="65"/>
      <c r="HE21" s="65"/>
      <c r="HF21" s="65"/>
      <c r="HG21" s="65"/>
      <c r="HH21" s="65"/>
      <c r="HI21" s="65"/>
      <c r="HJ21" s="65"/>
      <c r="HK21" s="65"/>
      <c r="HL21" s="65"/>
      <c r="HM21" s="65"/>
      <c r="HN21" s="65"/>
      <c r="HO21" s="65"/>
      <c r="HP21" s="65"/>
      <c r="HQ21" s="65"/>
      <c r="HR21" s="65"/>
      <c r="HS21" s="65"/>
      <c r="HT21" s="65"/>
      <c r="HU21" s="65"/>
      <c r="HV21" s="65"/>
      <c r="HW21" s="65"/>
      <c r="HX21" s="65"/>
      <c r="HY21" s="65"/>
      <c r="HZ21" s="65"/>
      <c r="IA21" s="65"/>
      <c r="IB21" s="65"/>
      <c r="IC21" s="65"/>
      <c r="ID21" s="65"/>
      <c r="IE21" s="65"/>
      <c r="IF21" s="65"/>
      <c r="IG21" s="65"/>
      <c r="IH21" s="65"/>
      <c r="II21" s="65"/>
      <c r="IJ21" s="65"/>
      <c r="IK21" s="65"/>
      <c r="IL21" s="65"/>
      <c r="IM21" s="65"/>
      <c r="IN21" s="65"/>
      <c r="IO21" s="65"/>
      <c r="IP21" s="65"/>
      <c r="IQ21" s="65"/>
      <c r="IR21" s="65"/>
      <c r="IS21" s="65"/>
      <c r="IT21" s="65"/>
      <c r="IU21" s="65"/>
      <c r="IV21" s="65"/>
    </row>
    <row r="22" spans="1:256" ht="14.4" x14ac:dyDescent="0.55000000000000004">
      <c r="A22" s="325"/>
      <c r="B22" s="65"/>
      <c r="C22" s="65" t="s">
        <v>64</v>
      </c>
      <c r="D22" s="65"/>
      <c r="E22" s="92">
        <f>E5</f>
        <v>0</v>
      </c>
      <c r="F22" s="121"/>
      <c r="G22" s="92">
        <f>E22</f>
        <v>0</v>
      </c>
      <c r="H22" s="82"/>
      <c r="I22" s="71" t="s">
        <v>150</v>
      </c>
      <c r="J22" s="65"/>
      <c r="K22" s="91"/>
      <c r="L22" s="65"/>
      <c r="M22" s="65"/>
      <c r="N22" s="65"/>
      <c r="O22" s="194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  <c r="CF22" s="65"/>
      <c r="CG22" s="65"/>
      <c r="CH22" s="65"/>
      <c r="CI22" s="65"/>
      <c r="CJ22" s="65"/>
      <c r="CK22" s="65"/>
      <c r="CL22" s="65"/>
      <c r="CM22" s="65"/>
      <c r="CN22" s="65"/>
      <c r="CO22" s="65"/>
      <c r="CP22" s="65"/>
      <c r="CQ22" s="65"/>
      <c r="CR22" s="65"/>
      <c r="CS22" s="65"/>
      <c r="CT22" s="65"/>
      <c r="CU22" s="65"/>
      <c r="CV22" s="65"/>
      <c r="CW22" s="65"/>
      <c r="CX22" s="65"/>
      <c r="CY22" s="65"/>
      <c r="CZ22" s="65"/>
      <c r="DA22" s="65"/>
      <c r="DB22" s="65"/>
      <c r="DC22" s="65"/>
      <c r="DD22" s="65"/>
      <c r="DE22" s="65"/>
      <c r="DF22" s="65"/>
      <c r="DG22" s="65"/>
      <c r="DH22" s="65"/>
      <c r="DI22" s="65"/>
      <c r="DJ22" s="65"/>
      <c r="DK22" s="65"/>
      <c r="DL22" s="65"/>
      <c r="DM22" s="65"/>
      <c r="DN22" s="65"/>
      <c r="DO22" s="65"/>
      <c r="DP22" s="65"/>
      <c r="DQ22" s="65"/>
      <c r="DR22" s="65"/>
      <c r="DS22" s="65"/>
      <c r="DT22" s="65"/>
      <c r="DU22" s="65"/>
      <c r="DV22" s="65"/>
      <c r="DW22" s="65"/>
      <c r="DX22" s="65"/>
      <c r="DY22" s="65"/>
      <c r="DZ22" s="65"/>
      <c r="EA22" s="65"/>
      <c r="EB22" s="65"/>
      <c r="EC22" s="65"/>
      <c r="ED22" s="65"/>
      <c r="EE22" s="65"/>
      <c r="EF22" s="65"/>
      <c r="EG22" s="65"/>
      <c r="EH22" s="65"/>
      <c r="EI22" s="65"/>
      <c r="EJ22" s="65"/>
      <c r="EK22" s="65"/>
      <c r="EL22" s="65"/>
      <c r="EM22" s="65"/>
      <c r="EN22" s="65"/>
      <c r="EO22" s="65"/>
      <c r="EP22" s="65"/>
      <c r="EQ22" s="65"/>
      <c r="ER22" s="65"/>
      <c r="ES22" s="65"/>
      <c r="ET22" s="65"/>
      <c r="EU22" s="65"/>
      <c r="EV22" s="65"/>
      <c r="EW22" s="65"/>
      <c r="EX22" s="65"/>
      <c r="EY22" s="65"/>
      <c r="EZ22" s="65"/>
      <c r="FA22" s="65"/>
      <c r="FB22" s="65"/>
      <c r="FC22" s="65"/>
      <c r="FD22" s="65"/>
      <c r="FE22" s="65"/>
      <c r="FF22" s="65"/>
      <c r="FG22" s="65"/>
      <c r="FH22" s="65"/>
      <c r="FI22" s="65"/>
      <c r="FJ22" s="65"/>
      <c r="FK22" s="65"/>
      <c r="FL22" s="65"/>
      <c r="FM22" s="65"/>
      <c r="FN22" s="65"/>
      <c r="FO22" s="65"/>
      <c r="FP22" s="65"/>
      <c r="FQ22" s="65"/>
      <c r="FR22" s="65"/>
      <c r="FS22" s="65"/>
      <c r="FT22" s="65"/>
      <c r="FU22" s="65"/>
      <c r="FV22" s="65"/>
      <c r="FW22" s="65"/>
      <c r="FX22" s="65"/>
      <c r="FY22" s="65"/>
      <c r="FZ22" s="65"/>
      <c r="GA22" s="65"/>
      <c r="GB22" s="65"/>
      <c r="GC22" s="65"/>
      <c r="GD22" s="65"/>
      <c r="GE22" s="65"/>
      <c r="GF22" s="65"/>
      <c r="GG22" s="65"/>
      <c r="GH22" s="65"/>
      <c r="GI22" s="65"/>
      <c r="GJ22" s="65"/>
      <c r="GK22" s="65"/>
      <c r="GL22" s="65"/>
      <c r="GM22" s="65"/>
      <c r="GN22" s="65"/>
      <c r="GO22" s="65"/>
      <c r="GP22" s="65"/>
      <c r="GQ22" s="65"/>
      <c r="GR22" s="65"/>
      <c r="GS22" s="65"/>
      <c r="GT22" s="65"/>
      <c r="GU22" s="65"/>
      <c r="GV22" s="65"/>
      <c r="GW22" s="65"/>
      <c r="GX22" s="65"/>
      <c r="GY22" s="65"/>
      <c r="GZ22" s="65"/>
      <c r="HA22" s="65"/>
      <c r="HB22" s="65"/>
      <c r="HC22" s="65"/>
      <c r="HD22" s="65"/>
      <c r="HE22" s="65"/>
      <c r="HF22" s="65"/>
      <c r="HG22" s="65"/>
      <c r="HH22" s="65"/>
      <c r="HI22" s="65"/>
      <c r="HJ22" s="65"/>
      <c r="HK22" s="65"/>
      <c r="HL22" s="65"/>
      <c r="HM22" s="65"/>
      <c r="HN22" s="65"/>
      <c r="HO22" s="65"/>
      <c r="HP22" s="65"/>
      <c r="HQ22" s="65"/>
      <c r="HR22" s="65"/>
      <c r="HS22" s="65"/>
      <c r="HT22" s="65"/>
      <c r="HU22" s="65"/>
      <c r="HV22" s="65"/>
      <c r="HW22" s="65"/>
      <c r="HX22" s="65"/>
      <c r="HY22" s="65"/>
      <c r="HZ22" s="65"/>
      <c r="IA22" s="65"/>
      <c r="IB22" s="65"/>
      <c r="IC22" s="65"/>
      <c r="ID22" s="65"/>
      <c r="IE22" s="65"/>
      <c r="IF22" s="65"/>
      <c r="IG22" s="65"/>
      <c r="IH22" s="65"/>
      <c r="II22" s="65"/>
      <c r="IJ22" s="65"/>
      <c r="IK22" s="65"/>
      <c r="IL22" s="65"/>
      <c r="IM22" s="65"/>
      <c r="IN22" s="65"/>
      <c r="IO22" s="65"/>
      <c r="IP22" s="65"/>
      <c r="IQ22" s="65"/>
      <c r="IR22" s="65"/>
      <c r="IS22" s="65"/>
      <c r="IT22" s="65"/>
      <c r="IU22" s="65"/>
      <c r="IV22" s="65"/>
    </row>
    <row r="23" spans="1:256" ht="14.4" x14ac:dyDescent="0.55000000000000004">
      <c r="A23" s="325"/>
      <c r="B23" s="65"/>
      <c r="C23" s="65" t="s">
        <v>65</v>
      </c>
      <c r="D23" s="65"/>
      <c r="E23" s="93">
        <f>E21/(1+((1-E10)*E22))</f>
        <v>1.5</v>
      </c>
      <c r="F23" s="121"/>
      <c r="G23" s="93">
        <f>G21/(1+((1-G10)*G22))</f>
        <v>1.5</v>
      </c>
      <c r="H23" s="82"/>
      <c r="I23" s="94" t="s">
        <v>66</v>
      </c>
      <c r="J23" s="94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5"/>
      <c r="DI23" s="65"/>
      <c r="DJ23" s="65"/>
      <c r="DK23" s="65"/>
      <c r="DL23" s="65"/>
      <c r="DM23" s="65"/>
      <c r="DN23" s="65"/>
      <c r="DO23" s="65"/>
      <c r="DP23" s="65"/>
      <c r="DQ23" s="65"/>
      <c r="DR23" s="65"/>
      <c r="DS23" s="65"/>
      <c r="DT23" s="65"/>
      <c r="DU23" s="65"/>
      <c r="DV23" s="65"/>
      <c r="DW23" s="65"/>
      <c r="DX23" s="65"/>
      <c r="DY23" s="65"/>
      <c r="DZ23" s="65"/>
      <c r="EA23" s="65"/>
      <c r="EB23" s="65"/>
      <c r="EC23" s="65"/>
      <c r="ED23" s="65"/>
      <c r="EE23" s="65"/>
      <c r="EF23" s="65"/>
      <c r="EG23" s="65"/>
      <c r="EH23" s="65"/>
      <c r="EI23" s="65"/>
      <c r="EJ23" s="65"/>
      <c r="EK23" s="65"/>
      <c r="EL23" s="65"/>
      <c r="EM23" s="65"/>
      <c r="EN23" s="65"/>
      <c r="EO23" s="65"/>
      <c r="EP23" s="65"/>
      <c r="EQ23" s="65"/>
      <c r="ER23" s="65"/>
      <c r="ES23" s="65"/>
      <c r="ET23" s="65"/>
      <c r="EU23" s="65"/>
      <c r="EV23" s="65"/>
      <c r="EW23" s="65"/>
      <c r="EX23" s="65"/>
      <c r="EY23" s="65"/>
      <c r="EZ23" s="65"/>
      <c r="FA23" s="65"/>
      <c r="FB23" s="65"/>
      <c r="FC23" s="65"/>
      <c r="FD23" s="65"/>
      <c r="FE23" s="65"/>
      <c r="FF23" s="65"/>
      <c r="FG23" s="65"/>
      <c r="FH23" s="65"/>
      <c r="FI23" s="65"/>
      <c r="FJ23" s="65"/>
      <c r="FK23" s="65"/>
      <c r="FL23" s="65"/>
      <c r="FM23" s="65"/>
      <c r="FN23" s="65"/>
      <c r="FO23" s="65"/>
      <c r="FP23" s="65"/>
      <c r="FQ23" s="65"/>
      <c r="FR23" s="65"/>
      <c r="FS23" s="65"/>
      <c r="FT23" s="65"/>
      <c r="FU23" s="65"/>
      <c r="FV23" s="65"/>
      <c r="FW23" s="65"/>
      <c r="FX23" s="65"/>
      <c r="FY23" s="65"/>
      <c r="FZ23" s="65"/>
      <c r="GA23" s="65"/>
      <c r="GB23" s="65"/>
      <c r="GC23" s="65"/>
      <c r="GD23" s="65"/>
      <c r="GE23" s="65"/>
      <c r="GF23" s="65"/>
      <c r="GG23" s="65"/>
      <c r="GH23" s="65"/>
      <c r="GI23" s="65"/>
      <c r="GJ23" s="65"/>
      <c r="GK23" s="65"/>
      <c r="GL23" s="65"/>
      <c r="GM23" s="65"/>
      <c r="GN23" s="65"/>
      <c r="GO23" s="65"/>
      <c r="GP23" s="65"/>
      <c r="GQ23" s="65"/>
      <c r="GR23" s="65"/>
      <c r="GS23" s="65"/>
      <c r="GT23" s="65"/>
      <c r="GU23" s="65"/>
      <c r="GV23" s="65"/>
      <c r="GW23" s="65"/>
      <c r="GX23" s="65"/>
      <c r="GY23" s="65"/>
      <c r="GZ23" s="65"/>
      <c r="HA23" s="65"/>
      <c r="HB23" s="65"/>
      <c r="HC23" s="65"/>
      <c r="HD23" s="65"/>
      <c r="HE23" s="65"/>
      <c r="HF23" s="65"/>
      <c r="HG23" s="65"/>
      <c r="HH23" s="65"/>
      <c r="HI23" s="65"/>
      <c r="HJ23" s="65"/>
      <c r="HK23" s="65"/>
      <c r="HL23" s="65"/>
      <c r="HM23" s="65"/>
      <c r="HN23" s="65"/>
      <c r="HO23" s="65"/>
      <c r="HP23" s="65"/>
      <c r="HQ23" s="65"/>
      <c r="HR23" s="65"/>
      <c r="HS23" s="65"/>
      <c r="HT23" s="65"/>
      <c r="HU23" s="65"/>
      <c r="HV23" s="65"/>
      <c r="HW23" s="65"/>
      <c r="HX23" s="65"/>
      <c r="HY23" s="65"/>
      <c r="HZ23" s="65"/>
      <c r="IA23" s="65"/>
      <c r="IB23" s="65"/>
      <c r="IC23" s="65"/>
      <c r="ID23" s="65"/>
      <c r="IE23" s="65"/>
      <c r="IF23" s="65"/>
      <c r="IG23" s="65"/>
      <c r="IH23" s="65"/>
      <c r="II23" s="65"/>
      <c r="IJ23" s="65"/>
      <c r="IK23" s="65"/>
      <c r="IL23" s="65"/>
      <c r="IM23" s="65"/>
      <c r="IN23" s="65"/>
      <c r="IO23" s="65"/>
      <c r="IP23" s="65"/>
      <c r="IQ23" s="65"/>
      <c r="IR23" s="65"/>
      <c r="IS23" s="65"/>
      <c r="IT23" s="65"/>
      <c r="IU23" s="65"/>
      <c r="IV23" s="65"/>
    </row>
    <row r="24" spans="1:256" ht="14.4" x14ac:dyDescent="0.55000000000000004">
      <c r="A24" s="325"/>
      <c r="B24" s="65"/>
      <c r="C24" s="65" t="s">
        <v>67</v>
      </c>
      <c r="D24" s="65"/>
      <c r="E24" s="92">
        <f>E22</f>
        <v>0</v>
      </c>
      <c r="F24" s="121"/>
      <c r="G24" s="92">
        <f>G5</f>
        <v>1</v>
      </c>
      <c r="H24" s="82"/>
      <c r="I24" s="95" t="s">
        <v>68</v>
      </c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5"/>
      <c r="CT24" s="65"/>
      <c r="CU24" s="65"/>
      <c r="CV24" s="65"/>
      <c r="CW24" s="65"/>
      <c r="CX24" s="65"/>
      <c r="CY24" s="65"/>
      <c r="CZ24" s="65"/>
      <c r="DA24" s="65"/>
      <c r="DB24" s="65"/>
      <c r="DC24" s="65"/>
      <c r="DD24" s="65"/>
      <c r="DE24" s="65"/>
      <c r="DF24" s="65"/>
      <c r="DG24" s="65"/>
      <c r="DH24" s="65"/>
      <c r="DI24" s="65"/>
      <c r="DJ24" s="65"/>
      <c r="DK24" s="65"/>
      <c r="DL24" s="65"/>
      <c r="DM24" s="65"/>
      <c r="DN24" s="65"/>
      <c r="DO24" s="65"/>
      <c r="DP24" s="65"/>
      <c r="DQ24" s="65"/>
      <c r="DR24" s="65"/>
      <c r="DS24" s="65"/>
      <c r="DT24" s="65"/>
      <c r="DU24" s="65"/>
      <c r="DV24" s="65"/>
      <c r="DW24" s="65"/>
      <c r="DX24" s="65"/>
      <c r="DY24" s="65"/>
      <c r="DZ24" s="65"/>
      <c r="EA24" s="65"/>
      <c r="EB24" s="65"/>
      <c r="EC24" s="65"/>
      <c r="ED24" s="65"/>
      <c r="EE24" s="65"/>
      <c r="EF24" s="65"/>
      <c r="EG24" s="65"/>
      <c r="EH24" s="65"/>
      <c r="EI24" s="65"/>
      <c r="EJ24" s="65"/>
      <c r="EK24" s="65"/>
      <c r="EL24" s="65"/>
      <c r="EM24" s="65"/>
      <c r="EN24" s="65"/>
      <c r="EO24" s="65"/>
      <c r="EP24" s="65"/>
      <c r="EQ24" s="65"/>
      <c r="ER24" s="65"/>
      <c r="ES24" s="65"/>
      <c r="ET24" s="65"/>
      <c r="EU24" s="65"/>
      <c r="EV24" s="65"/>
      <c r="EW24" s="65"/>
      <c r="EX24" s="65"/>
      <c r="EY24" s="65"/>
      <c r="EZ24" s="65"/>
      <c r="FA24" s="65"/>
      <c r="FB24" s="65"/>
      <c r="FC24" s="65"/>
      <c r="FD24" s="65"/>
      <c r="FE24" s="65"/>
      <c r="FF24" s="65"/>
      <c r="FG24" s="65"/>
      <c r="FH24" s="65"/>
      <c r="FI24" s="65"/>
      <c r="FJ24" s="65"/>
      <c r="FK24" s="65"/>
      <c r="FL24" s="65"/>
      <c r="FM24" s="65"/>
      <c r="FN24" s="65"/>
      <c r="FO24" s="65"/>
      <c r="FP24" s="65"/>
      <c r="FQ24" s="65"/>
      <c r="FR24" s="65"/>
      <c r="FS24" s="65"/>
      <c r="FT24" s="65"/>
      <c r="FU24" s="65"/>
      <c r="FV24" s="65"/>
      <c r="FW24" s="65"/>
      <c r="FX24" s="65"/>
      <c r="FY24" s="65"/>
      <c r="FZ24" s="65"/>
      <c r="GA24" s="65"/>
      <c r="GB24" s="65"/>
      <c r="GC24" s="65"/>
      <c r="GD24" s="65"/>
      <c r="GE24" s="65"/>
      <c r="GF24" s="65"/>
      <c r="GG24" s="65"/>
      <c r="GH24" s="65"/>
      <c r="GI24" s="65"/>
      <c r="GJ24" s="65"/>
      <c r="GK24" s="65"/>
      <c r="GL24" s="65"/>
      <c r="GM24" s="65"/>
      <c r="GN24" s="65"/>
      <c r="GO24" s="65"/>
      <c r="GP24" s="65"/>
      <c r="GQ24" s="65"/>
      <c r="GR24" s="65"/>
      <c r="GS24" s="65"/>
      <c r="GT24" s="65"/>
      <c r="GU24" s="65"/>
      <c r="GV24" s="65"/>
      <c r="GW24" s="65"/>
      <c r="GX24" s="65"/>
      <c r="GY24" s="65"/>
      <c r="GZ24" s="65"/>
      <c r="HA24" s="65"/>
      <c r="HB24" s="65"/>
      <c r="HC24" s="65"/>
      <c r="HD24" s="65"/>
      <c r="HE24" s="65"/>
      <c r="HF24" s="65"/>
      <c r="HG24" s="65"/>
      <c r="HH24" s="65"/>
      <c r="HI24" s="65"/>
      <c r="HJ24" s="65"/>
      <c r="HK24" s="65"/>
      <c r="HL24" s="65"/>
      <c r="HM24" s="65"/>
      <c r="HN24" s="65"/>
      <c r="HO24" s="65"/>
      <c r="HP24" s="65"/>
      <c r="HQ24" s="65"/>
      <c r="HR24" s="65"/>
      <c r="HS24" s="65"/>
      <c r="HT24" s="65"/>
      <c r="HU24" s="65"/>
      <c r="HV24" s="65"/>
      <c r="HW24" s="65"/>
      <c r="HX24" s="65"/>
      <c r="HY24" s="65"/>
      <c r="HZ24" s="65"/>
      <c r="IA24" s="65"/>
      <c r="IB24" s="65"/>
      <c r="IC24" s="65"/>
      <c r="ID24" s="65"/>
      <c r="IE24" s="65"/>
      <c r="IF24" s="65"/>
      <c r="IG24" s="65"/>
      <c r="IH24" s="65"/>
      <c r="II24" s="65"/>
      <c r="IJ24" s="65"/>
      <c r="IK24" s="65"/>
      <c r="IL24" s="65"/>
      <c r="IM24" s="65"/>
      <c r="IN24" s="65"/>
      <c r="IO24" s="65"/>
      <c r="IP24" s="65"/>
      <c r="IQ24" s="65"/>
      <c r="IR24" s="65"/>
      <c r="IS24" s="65"/>
      <c r="IT24" s="65"/>
      <c r="IU24" s="65"/>
      <c r="IV24" s="65"/>
    </row>
    <row r="25" spans="1:256" ht="14.4" x14ac:dyDescent="0.55000000000000004">
      <c r="A25" s="325"/>
      <c r="B25" s="65"/>
      <c r="C25" s="91" t="s">
        <v>74</v>
      </c>
      <c r="D25" s="91"/>
      <c r="E25" s="108">
        <f>E23*(1+((1-E10)*E24))</f>
        <v>1.5</v>
      </c>
      <c r="F25" s="127"/>
      <c r="G25" s="108">
        <f>G23*(1+((1-G10)*G24))</f>
        <v>2.4899553571428572</v>
      </c>
      <c r="H25" s="65"/>
      <c r="I25" s="94" t="s">
        <v>69</v>
      </c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5"/>
      <c r="CF25" s="65"/>
      <c r="CG25" s="65"/>
      <c r="CH25" s="65"/>
      <c r="CI25" s="65"/>
      <c r="CJ25" s="65"/>
      <c r="CK25" s="65"/>
      <c r="CL25" s="65"/>
      <c r="CM25" s="65"/>
      <c r="CN25" s="65"/>
      <c r="CO25" s="65"/>
      <c r="CP25" s="65"/>
      <c r="CQ25" s="65"/>
      <c r="CR25" s="65"/>
      <c r="CS25" s="65"/>
      <c r="CT25" s="65"/>
      <c r="CU25" s="65"/>
      <c r="CV25" s="65"/>
      <c r="CW25" s="65"/>
      <c r="CX25" s="65"/>
      <c r="CY25" s="65"/>
      <c r="CZ25" s="65"/>
      <c r="DA25" s="65"/>
      <c r="DB25" s="65"/>
      <c r="DC25" s="65"/>
      <c r="DD25" s="65"/>
      <c r="DE25" s="65"/>
      <c r="DF25" s="65"/>
      <c r="DG25" s="65"/>
      <c r="DH25" s="65"/>
      <c r="DI25" s="65"/>
      <c r="DJ25" s="65"/>
      <c r="DK25" s="65"/>
      <c r="DL25" s="65"/>
      <c r="DM25" s="65"/>
      <c r="DN25" s="65"/>
      <c r="DO25" s="65"/>
      <c r="DP25" s="65"/>
      <c r="DQ25" s="65"/>
      <c r="DR25" s="65"/>
      <c r="DS25" s="65"/>
      <c r="DT25" s="65"/>
      <c r="DU25" s="65"/>
      <c r="DV25" s="65"/>
      <c r="DW25" s="65"/>
      <c r="DX25" s="65"/>
      <c r="DY25" s="65"/>
      <c r="DZ25" s="65"/>
      <c r="EA25" s="65"/>
      <c r="EB25" s="65"/>
      <c r="EC25" s="65"/>
      <c r="ED25" s="65"/>
      <c r="EE25" s="65"/>
      <c r="EF25" s="65"/>
      <c r="EG25" s="65"/>
      <c r="EH25" s="65"/>
      <c r="EI25" s="65"/>
      <c r="EJ25" s="65"/>
      <c r="EK25" s="65"/>
      <c r="EL25" s="65"/>
      <c r="EM25" s="65"/>
      <c r="EN25" s="65"/>
      <c r="EO25" s="65"/>
      <c r="EP25" s="65"/>
      <c r="EQ25" s="65"/>
      <c r="ER25" s="65"/>
      <c r="ES25" s="65"/>
      <c r="ET25" s="65"/>
      <c r="EU25" s="65"/>
      <c r="EV25" s="65"/>
      <c r="EW25" s="65"/>
      <c r="EX25" s="65"/>
      <c r="EY25" s="65"/>
      <c r="EZ25" s="65"/>
      <c r="FA25" s="65"/>
      <c r="FB25" s="65"/>
      <c r="FC25" s="65"/>
      <c r="FD25" s="65"/>
      <c r="FE25" s="65"/>
      <c r="FF25" s="65"/>
      <c r="FG25" s="65"/>
      <c r="FH25" s="65"/>
      <c r="FI25" s="65"/>
      <c r="FJ25" s="65"/>
      <c r="FK25" s="65"/>
      <c r="FL25" s="65"/>
      <c r="FM25" s="65"/>
      <c r="FN25" s="65"/>
      <c r="FO25" s="65"/>
      <c r="FP25" s="65"/>
      <c r="FQ25" s="65"/>
      <c r="FR25" s="65"/>
      <c r="FS25" s="65"/>
      <c r="FT25" s="65"/>
      <c r="FU25" s="65"/>
      <c r="FV25" s="65"/>
      <c r="FW25" s="65"/>
      <c r="FX25" s="65"/>
      <c r="FY25" s="65"/>
      <c r="FZ25" s="65"/>
      <c r="GA25" s="65"/>
      <c r="GB25" s="65"/>
      <c r="GC25" s="65"/>
      <c r="GD25" s="65"/>
      <c r="GE25" s="65"/>
      <c r="GF25" s="65"/>
      <c r="GG25" s="65"/>
      <c r="GH25" s="65"/>
      <c r="GI25" s="65"/>
      <c r="GJ25" s="65"/>
      <c r="GK25" s="65"/>
      <c r="GL25" s="65"/>
      <c r="GM25" s="65"/>
      <c r="GN25" s="65"/>
      <c r="GO25" s="65"/>
      <c r="GP25" s="65"/>
      <c r="GQ25" s="65"/>
      <c r="GR25" s="65"/>
      <c r="GS25" s="65"/>
      <c r="GT25" s="65"/>
      <c r="GU25" s="65"/>
      <c r="GV25" s="65"/>
      <c r="GW25" s="65"/>
      <c r="GX25" s="65"/>
      <c r="GY25" s="65"/>
      <c r="GZ25" s="65"/>
      <c r="HA25" s="65"/>
      <c r="HB25" s="65"/>
      <c r="HC25" s="65"/>
      <c r="HD25" s="65"/>
      <c r="HE25" s="65"/>
      <c r="HF25" s="65"/>
      <c r="HG25" s="65"/>
      <c r="HH25" s="65"/>
      <c r="HI25" s="65"/>
      <c r="HJ25" s="65"/>
      <c r="HK25" s="65"/>
      <c r="HL25" s="65"/>
      <c r="HM25" s="65"/>
      <c r="HN25" s="65"/>
      <c r="HO25" s="65"/>
      <c r="HP25" s="65"/>
      <c r="HQ25" s="65"/>
      <c r="HR25" s="65"/>
      <c r="HS25" s="65"/>
      <c r="HT25" s="65"/>
      <c r="HU25" s="65"/>
      <c r="HV25" s="65"/>
      <c r="HW25" s="65"/>
      <c r="HX25" s="65"/>
      <c r="HY25" s="65"/>
      <c r="HZ25" s="65"/>
      <c r="IA25" s="65"/>
      <c r="IB25" s="65"/>
      <c r="IC25" s="65"/>
      <c r="ID25" s="65"/>
      <c r="IE25" s="65"/>
      <c r="IF25" s="65"/>
      <c r="IG25" s="65"/>
      <c r="IH25" s="65"/>
      <c r="II25" s="65"/>
      <c r="IJ25" s="65"/>
      <c r="IK25" s="65"/>
      <c r="IL25" s="65"/>
      <c r="IM25" s="65"/>
      <c r="IN25" s="65"/>
      <c r="IO25" s="65"/>
      <c r="IP25" s="65"/>
      <c r="IQ25" s="65"/>
      <c r="IR25" s="65"/>
      <c r="IS25" s="65"/>
      <c r="IT25" s="65"/>
      <c r="IU25" s="65"/>
      <c r="IV25" s="65"/>
    </row>
    <row r="27" spans="1:256" ht="18.3" x14ac:dyDescent="0.55000000000000004">
      <c r="A27" s="96" t="s">
        <v>3</v>
      </c>
      <c r="B27" s="65"/>
      <c r="C27" s="97" t="s">
        <v>34</v>
      </c>
      <c r="D27" s="97"/>
      <c r="E27" s="98">
        <f>E11*E6+E18*E7</f>
        <v>0.24620000000000003</v>
      </c>
      <c r="F27" s="128"/>
      <c r="G27" s="98">
        <f>G11*G6+G18*G7</f>
        <v>0.2133839285714286</v>
      </c>
      <c r="H27" s="70"/>
      <c r="I27" s="70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65"/>
      <c r="CJ27" s="65"/>
      <c r="CK27" s="65"/>
      <c r="CL27" s="65"/>
      <c r="CM27" s="65"/>
      <c r="CN27" s="65"/>
      <c r="CO27" s="65"/>
      <c r="CP27" s="65"/>
      <c r="CQ27" s="65"/>
      <c r="CR27" s="65"/>
      <c r="CS27" s="65"/>
      <c r="CT27" s="65"/>
      <c r="CU27" s="65"/>
      <c r="CV27" s="65"/>
      <c r="CW27" s="65"/>
      <c r="CX27" s="65"/>
      <c r="CY27" s="65"/>
      <c r="CZ27" s="65"/>
      <c r="DA27" s="65"/>
      <c r="DB27" s="65"/>
      <c r="DC27" s="65"/>
      <c r="DD27" s="65"/>
      <c r="DE27" s="65"/>
      <c r="DF27" s="65"/>
      <c r="DG27" s="65"/>
      <c r="DH27" s="65"/>
      <c r="DI27" s="65"/>
      <c r="DJ27" s="65"/>
      <c r="DK27" s="65"/>
      <c r="DL27" s="65"/>
      <c r="DM27" s="65"/>
      <c r="DN27" s="65"/>
      <c r="DO27" s="65"/>
      <c r="DP27" s="65"/>
      <c r="DQ27" s="65"/>
      <c r="DR27" s="65"/>
      <c r="DS27" s="65"/>
      <c r="DT27" s="65"/>
      <c r="DU27" s="65"/>
      <c r="DV27" s="65"/>
      <c r="DW27" s="65"/>
      <c r="DX27" s="65"/>
      <c r="DY27" s="65"/>
      <c r="DZ27" s="65"/>
      <c r="EA27" s="65"/>
      <c r="EB27" s="65"/>
      <c r="EC27" s="65"/>
      <c r="ED27" s="65"/>
      <c r="EE27" s="65"/>
      <c r="EF27" s="65"/>
      <c r="EG27" s="65"/>
      <c r="EH27" s="65"/>
      <c r="EI27" s="65"/>
      <c r="EJ27" s="65"/>
      <c r="EK27" s="65"/>
      <c r="EL27" s="65"/>
      <c r="EM27" s="65"/>
      <c r="EN27" s="65"/>
      <c r="EO27" s="65"/>
      <c r="EP27" s="65"/>
      <c r="EQ27" s="65"/>
      <c r="ER27" s="65"/>
      <c r="ES27" s="65"/>
      <c r="ET27" s="65"/>
      <c r="EU27" s="65"/>
      <c r="EV27" s="65"/>
      <c r="EW27" s="65"/>
      <c r="EX27" s="65"/>
      <c r="EY27" s="65"/>
      <c r="EZ27" s="65"/>
      <c r="FA27" s="65"/>
      <c r="FB27" s="65"/>
      <c r="FC27" s="65"/>
      <c r="FD27" s="65"/>
      <c r="FE27" s="65"/>
      <c r="FF27" s="65"/>
      <c r="FG27" s="65"/>
      <c r="FH27" s="65"/>
      <c r="FI27" s="65"/>
      <c r="FJ27" s="65"/>
      <c r="FK27" s="65"/>
      <c r="FL27" s="65"/>
      <c r="FM27" s="65"/>
      <c r="FN27" s="65"/>
      <c r="FO27" s="65"/>
      <c r="FP27" s="65"/>
      <c r="FQ27" s="65"/>
      <c r="FR27" s="65"/>
      <c r="FS27" s="65"/>
      <c r="FT27" s="65"/>
      <c r="FU27" s="65"/>
      <c r="FV27" s="65"/>
      <c r="FW27" s="65"/>
      <c r="FX27" s="65"/>
      <c r="FY27" s="65"/>
      <c r="FZ27" s="65"/>
      <c r="GA27" s="65"/>
      <c r="GB27" s="65"/>
      <c r="GC27" s="65"/>
      <c r="GD27" s="65"/>
      <c r="GE27" s="65"/>
      <c r="GF27" s="65"/>
      <c r="GG27" s="65"/>
      <c r="GH27" s="65"/>
      <c r="GI27" s="65"/>
      <c r="GJ27" s="65"/>
      <c r="GK27" s="65"/>
      <c r="GL27" s="65"/>
      <c r="GM27" s="65"/>
      <c r="GN27" s="65"/>
      <c r="GO27" s="65"/>
      <c r="GP27" s="65"/>
      <c r="GQ27" s="65"/>
      <c r="GR27" s="65"/>
      <c r="GS27" s="65"/>
      <c r="GT27" s="65"/>
      <c r="GU27" s="65"/>
      <c r="GV27" s="65"/>
      <c r="GW27" s="65"/>
      <c r="GX27" s="65"/>
      <c r="GY27" s="65"/>
      <c r="GZ27" s="65"/>
      <c r="HA27" s="65"/>
      <c r="HB27" s="65"/>
      <c r="HC27" s="65"/>
      <c r="HD27" s="65"/>
      <c r="HE27" s="65"/>
      <c r="HF27" s="65"/>
      <c r="HG27" s="65"/>
      <c r="HH27" s="65"/>
      <c r="HI27" s="65"/>
      <c r="HJ27" s="65"/>
      <c r="HK27" s="65"/>
      <c r="HL27" s="65"/>
      <c r="HM27" s="65"/>
      <c r="HN27" s="65"/>
      <c r="HO27" s="65"/>
      <c r="HP27" s="65"/>
      <c r="HQ27" s="65"/>
      <c r="HR27" s="65"/>
      <c r="HS27" s="65"/>
      <c r="HT27" s="65"/>
      <c r="HU27" s="65"/>
      <c r="HV27" s="65"/>
      <c r="HW27" s="65"/>
      <c r="HX27" s="65"/>
      <c r="HY27" s="65"/>
      <c r="HZ27" s="65"/>
      <c r="IA27" s="65"/>
      <c r="IB27" s="65"/>
      <c r="IC27" s="65"/>
      <c r="ID27" s="65"/>
      <c r="IE27" s="65"/>
      <c r="IF27" s="65"/>
      <c r="IG27" s="65"/>
      <c r="IH27" s="65"/>
      <c r="II27" s="65"/>
      <c r="IJ27" s="65"/>
      <c r="IK27" s="65"/>
      <c r="IL27" s="65"/>
      <c r="IM27" s="65"/>
      <c r="IN27" s="65"/>
      <c r="IO27" s="65"/>
      <c r="IP27" s="65"/>
      <c r="IQ27" s="65"/>
      <c r="IR27" s="65"/>
      <c r="IS27" s="65"/>
      <c r="IT27" s="65"/>
      <c r="IU27" s="65"/>
      <c r="IV27" s="65"/>
    </row>
    <row r="29" spans="1:256" ht="14.4" x14ac:dyDescent="0.55000000000000004">
      <c r="E29" s="118"/>
      <c r="F29" s="124"/>
      <c r="G29" s="118"/>
    </row>
    <row r="30" spans="1:256" ht="6.6" customHeight="1" x14ac:dyDescent="0.5"/>
    <row r="31" spans="1:256" x14ac:dyDescent="0.5">
      <c r="G31" s="309"/>
    </row>
  </sheetData>
  <mergeCells count="3">
    <mergeCell ref="A5:A7"/>
    <mergeCell ref="A9:A11"/>
    <mergeCell ref="A13:A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A1D7-A6B2-48BD-9DD8-35B88AFFAF79}">
  <dimension ref="A1:V39"/>
  <sheetViews>
    <sheetView showGridLines="0" zoomScale="105" zoomScaleNormal="105" workbookViewId="0">
      <selection activeCell="I12" sqref="I12"/>
    </sheetView>
  </sheetViews>
  <sheetFormatPr baseColWidth="10" defaultRowHeight="14.4" x14ac:dyDescent="0.55000000000000004"/>
  <cols>
    <col min="1" max="1" width="13.734375" customWidth="1"/>
    <col min="2" max="2" width="4.41796875" customWidth="1"/>
    <col min="3" max="4" width="9" customWidth="1"/>
    <col min="5" max="15" width="9.26171875" customWidth="1"/>
  </cols>
  <sheetData>
    <row r="1" spans="1:15" ht="18.600000000000001" thickBot="1" x14ac:dyDescent="0.75">
      <c r="A1" s="4" t="s">
        <v>235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</row>
    <row r="2" spans="1:15" ht="15.9" thickTop="1" x14ac:dyDescent="0.6">
      <c r="A2" s="8" t="s">
        <v>158</v>
      </c>
    </row>
    <row r="3" spans="1:15" ht="15.6" x14ac:dyDescent="0.6">
      <c r="A3" s="8"/>
      <c r="F3" s="209"/>
      <c r="G3" s="209"/>
      <c r="H3" s="209"/>
      <c r="I3" s="209"/>
    </row>
    <row r="4" spans="1:15" ht="15.6" x14ac:dyDescent="0.6">
      <c r="F4" s="212">
        <v>2012</v>
      </c>
      <c r="G4" s="212">
        <f>F4+1</f>
        <v>2013</v>
      </c>
      <c r="H4" s="212">
        <f>G4+1</f>
        <v>2014</v>
      </c>
      <c r="I4" s="212">
        <f>H4+1</f>
        <v>2015</v>
      </c>
    </row>
    <row r="5" spans="1:15" ht="15.6" x14ac:dyDescent="0.6">
      <c r="A5" s="105" t="s">
        <v>166</v>
      </c>
    </row>
    <row r="6" spans="1:15" x14ac:dyDescent="0.55000000000000004">
      <c r="A6" s="152" t="s">
        <v>125</v>
      </c>
      <c r="B6" s="155"/>
      <c r="C6" s="155"/>
      <c r="D6" s="155"/>
      <c r="E6" s="155"/>
      <c r="F6" s="200">
        <v>-3</v>
      </c>
      <c r="G6" s="201"/>
      <c r="H6" s="201"/>
    </row>
    <row r="7" spans="1:15" x14ac:dyDescent="0.55000000000000004">
      <c r="A7" s="152" t="s">
        <v>170</v>
      </c>
      <c r="B7" s="205">
        <v>7.5</v>
      </c>
      <c r="C7" s="1" t="s">
        <v>171</v>
      </c>
      <c r="D7" s="1"/>
      <c r="E7" s="1"/>
      <c r="F7" s="156"/>
      <c r="G7" s="157"/>
      <c r="H7" s="157"/>
      <c r="I7" s="157">
        <f>-F6*B7</f>
        <v>22.5</v>
      </c>
    </row>
    <row r="8" spans="1:15" x14ac:dyDescent="0.55000000000000004">
      <c r="A8" s="152" t="s">
        <v>161</v>
      </c>
      <c r="B8" s="155"/>
      <c r="C8" s="155"/>
      <c r="D8" s="155"/>
      <c r="E8" s="155"/>
      <c r="F8" s="201">
        <f>F6+F7</f>
        <v>-3</v>
      </c>
      <c r="G8" s="201">
        <f>G6+G7</f>
        <v>0</v>
      </c>
      <c r="H8" s="201">
        <f>H6+H7</f>
        <v>0</v>
      </c>
      <c r="I8" s="201">
        <f>I6+I7</f>
        <v>22.5</v>
      </c>
      <c r="K8" s="200"/>
    </row>
    <row r="9" spans="1:15" ht="5.7" customHeight="1" x14ac:dyDescent="0.6">
      <c r="A9" s="9"/>
      <c r="G9" s="100"/>
    </row>
    <row r="10" spans="1:15" x14ac:dyDescent="0.55000000000000004">
      <c r="A10" s="223" t="s">
        <v>167</v>
      </c>
      <c r="B10" s="224"/>
      <c r="C10" s="224"/>
      <c r="D10" s="224"/>
      <c r="E10" s="224"/>
      <c r="F10" s="319">
        <f>IRR(F8:I8,0.25)</f>
        <v>0.95743382058437021</v>
      </c>
      <c r="G10" s="201"/>
      <c r="H10" s="201"/>
      <c r="I10" s="201"/>
      <c r="K10" s="200"/>
    </row>
    <row r="11" spans="1:15" ht="8.6999999999999993" customHeight="1" x14ac:dyDescent="0.6">
      <c r="A11" s="9"/>
      <c r="G11" s="100"/>
    </row>
    <row r="12" spans="1:15" ht="15.6" x14ac:dyDescent="0.6">
      <c r="A12" s="105" t="s">
        <v>168</v>
      </c>
      <c r="B12" s="159"/>
      <c r="C12" s="159"/>
      <c r="D12" s="159"/>
      <c r="E12" s="159"/>
      <c r="G12" s="159"/>
      <c r="H12" s="159"/>
    </row>
    <row r="13" spans="1:15" x14ac:dyDescent="0.55000000000000004">
      <c r="A13" s="152" t="s">
        <v>162</v>
      </c>
      <c r="B13" s="1"/>
      <c r="C13" s="1"/>
      <c r="D13" s="1"/>
      <c r="E13" s="1"/>
      <c r="F13" s="160"/>
      <c r="G13" s="160"/>
      <c r="H13" s="160"/>
      <c r="I13" s="201">
        <f>'DCF - Base Case (1 WACC)'!M9/1000</f>
        <v>50.026000000000003</v>
      </c>
    </row>
    <row r="14" spans="1:15" x14ac:dyDescent="0.55000000000000004">
      <c r="A14" s="152" t="s">
        <v>163</v>
      </c>
      <c r="B14" s="1"/>
      <c r="C14" s="1"/>
      <c r="D14" s="1"/>
      <c r="E14" s="1"/>
      <c r="F14" s="160"/>
      <c r="G14" s="160"/>
      <c r="H14" s="160"/>
      <c r="I14" s="204">
        <v>1.4</v>
      </c>
    </row>
    <row r="15" spans="1:15" x14ac:dyDescent="0.55000000000000004">
      <c r="A15" s="152" t="s">
        <v>160</v>
      </c>
      <c r="B15" s="1"/>
      <c r="C15" s="1"/>
      <c r="D15" s="1"/>
      <c r="E15" s="1"/>
      <c r="F15" s="203"/>
      <c r="G15" s="203"/>
      <c r="H15" s="203"/>
      <c r="I15" s="201">
        <f>I13*I14</f>
        <v>70.0364</v>
      </c>
    </row>
    <row r="16" spans="1:15" ht="5.7" customHeight="1" x14ac:dyDescent="0.55000000000000004">
      <c r="A16" s="162"/>
      <c r="B16" s="1"/>
      <c r="C16" s="1"/>
      <c r="D16" s="1"/>
      <c r="E16" s="1"/>
      <c r="F16" s="160"/>
      <c r="G16" s="160"/>
      <c r="H16" s="160"/>
    </row>
    <row r="17" spans="1:22" x14ac:dyDescent="0.55000000000000004">
      <c r="A17" s="152" t="s">
        <v>159</v>
      </c>
      <c r="B17" s="1"/>
      <c r="C17" s="1"/>
      <c r="D17" s="1"/>
      <c r="E17" s="1"/>
      <c r="F17" s="160"/>
      <c r="G17" s="160"/>
      <c r="H17" s="160"/>
      <c r="I17" s="160">
        <f>I7/I15</f>
        <v>0.32126151544054232</v>
      </c>
    </row>
    <row r="18" spans="1:22" ht="9.9" customHeight="1" x14ac:dyDescent="0.55000000000000004">
      <c r="A18" s="152"/>
      <c r="B18" s="159"/>
      <c r="C18" s="159"/>
      <c r="D18" s="159"/>
      <c r="E18" s="159"/>
      <c r="F18" s="153"/>
      <c r="G18" s="153"/>
      <c r="H18" s="153"/>
    </row>
    <row r="19" spans="1:22" ht="15.6" x14ac:dyDescent="0.6">
      <c r="A19" s="105" t="s">
        <v>169</v>
      </c>
    </row>
    <row r="20" spans="1:22" x14ac:dyDescent="0.55000000000000004">
      <c r="A20" s="213" t="s">
        <v>165</v>
      </c>
      <c r="B20" s="214"/>
      <c r="C20" s="214"/>
      <c r="D20" s="214"/>
      <c r="E20" s="214"/>
      <c r="F20" s="215">
        <f>I17</f>
        <v>0.32126151544054232</v>
      </c>
      <c r="G20" s="201"/>
      <c r="H20" s="201"/>
    </row>
    <row r="21" spans="1:22" x14ac:dyDescent="0.55000000000000004">
      <c r="A21" s="219" t="s">
        <v>164</v>
      </c>
      <c r="B21" s="220"/>
      <c r="C21" s="220"/>
      <c r="D21" s="220"/>
      <c r="E21" s="220"/>
      <c r="F21" s="221">
        <f>-F6/F20</f>
        <v>9.3381866666666671</v>
      </c>
      <c r="G21" s="153"/>
      <c r="H21" s="153"/>
    </row>
    <row r="22" spans="1:22" ht="8.6999999999999993" customHeight="1" x14ac:dyDescent="0.6">
      <c r="A22" s="9"/>
      <c r="G22" s="100"/>
    </row>
    <row r="24" spans="1:22" ht="14.7" thickBot="1" x14ac:dyDescent="0.6">
      <c r="E24" s="216" t="s">
        <v>176</v>
      </c>
      <c r="F24" s="216"/>
      <c r="G24" s="216"/>
      <c r="H24" s="216"/>
      <c r="I24" s="216"/>
      <c r="K24" s="217" t="s">
        <v>174</v>
      </c>
      <c r="L24" s="218"/>
      <c r="M24" s="218"/>
      <c r="N24" s="218"/>
      <c r="O24" s="218"/>
      <c r="R24" s="217" t="s">
        <v>174</v>
      </c>
      <c r="S24" s="218"/>
      <c r="T24" s="218"/>
      <c r="U24" s="218"/>
      <c r="V24" s="218"/>
    </row>
    <row r="25" spans="1:22" ht="4.2" customHeight="1" thickTop="1" x14ac:dyDescent="0.55000000000000004"/>
    <row r="26" spans="1:22" ht="14.7" thickBot="1" x14ac:dyDescent="0.6">
      <c r="E26" s="210" t="s">
        <v>172</v>
      </c>
      <c r="F26" s="211"/>
      <c r="G26" s="211"/>
      <c r="H26" s="211"/>
      <c r="I26" s="211"/>
      <c r="K26" s="210" t="s">
        <v>172</v>
      </c>
      <c r="L26" s="211"/>
      <c r="M26" s="211"/>
      <c r="N26" s="211"/>
      <c r="O26" s="211"/>
      <c r="R26" s="210" t="s">
        <v>172</v>
      </c>
      <c r="S26" s="211"/>
      <c r="T26" s="211"/>
      <c r="U26" s="211"/>
      <c r="V26" s="211"/>
    </row>
    <row r="27" spans="1:22" ht="14.7" thickTop="1" x14ac:dyDescent="0.55000000000000004">
      <c r="D27" s="208">
        <f>F20</f>
        <v>0.32126151544054232</v>
      </c>
      <c r="E27" s="207">
        <v>5</v>
      </c>
      <c r="F27" s="207">
        <v>6</v>
      </c>
      <c r="G27" s="207">
        <v>7.5</v>
      </c>
      <c r="H27" s="207">
        <v>9</v>
      </c>
      <c r="I27" s="207">
        <v>10</v>
      </c>
      <c r="K27" s="297">
        <f>R27</f>
        <v>5</v>
      </c>
      <c r="L27" s="297">
        <f>S27</f>
        <v>6</v>
      </c>
      <c r="M27" s="297">
        <f>T27</f>
        <v>7.5</v>
      </c>
      <c r="N27" s="297">
        <f>U27</f>
        <v>9</v>
      </c>
      <c r="O27" s="297">
        <f>V27</f>
        <v>10</v>
      </c>
      <c r="Q27" s="208">
        <f>F21</f>
        <v>9.3381866666666671</v>
      </c>
      <c r="R27" s="207">
        <v>5</v>
      </c>
      <c r="S27" s="207">
        <v>6</v>
      </c>
      <c r="T27" s="207">
        <v>7.5</v>
      </c>
      <c r="U27" s="207">
        <v>9</v>
      </c>
      <c r="V27" s="207">
        <v>10</v>
      </c>
    </row>
    <row r="28" spans="1:22" ht="14.4" customHeight="1" x14ac:dyDescent="0.55000000000000004">
      <c r="C28" s="326" t="s">
        <v>173</v>
      </c>
      <c r="D28" s="206">
        <v>1.2</v>
      </c>
      <c r="E28" s="222">
        <f t="dataTable" ref="E28:I32" dt2D="1" dtr="1" r1="B7" r2="I14" ca="1"/>
        <v>0.24987006756486627</v>
      </c>
      <c r="F28" s="222">
        <v>0.29984408107783955</v>
      </c>
      <c r="G28" s="222">
        <v>0.37480510134729944</v>
      </c>
      <c r="H28" s="222">
        <v>0.44976612161675927</v>
      </c>
      <c r="I28" s="222">
        <v>0.49974013512973253</v>
      </c>
      <c r="K28" s="229">
        <f>R28</f>
        <v>12.00624</v>
      </c>
      <c r="L28" s="229">
        <f t="shared" ref="L28:L32" si="0">S28</f>
        <v>10.005199999999999</v>
      </c>
      <c r="M28" s="229">
        <f t="shared" ref="M28:M32" si="1">T28</f>
        <v>8.0041599999999988</v>
      </c>
      <c r="N28" s="229">
        <f t="shared" ref="N28:N32" si="2">U28</f>
        <v>6.6701333333333332</v>
      </c>
      <c r="O28" s="229">
        <f t="shared" ref="O28:O32" si="3">V28</f>
        <v>6.00312</v>
      </c>
      <c r="Q28" s="206">
        <v>1.2</v>
      </c>
      <c r="R28" s="230">
        <f t="dataTable" ref="R28:V32" dt2D="1" dtr="1" r1="B7" r2="I14"/>
        <v>12.00624</v>
      </c>
      <c r="S28" s="230">
        <v>10.005199999999999</v>
      </c>
      <c r="T28" s="230">
        <v>8.0041599999999988</v>
      </c>
      <c r="U28" s="230">
        <v>6.6701333333333332</v>
      </c>
      <c r="V28" s="230">
        <v>6.00312</v>
      </c>
    </row>
    <row r="29" spans="1:22" ht="14.7" thickBot="1" x14ac:dyDescent="0.6">
      <c r="C29" s="327"/>
      <c r="D29" s="206">
        <v>1.3</v>
      </c>
      <c r="E29" s="222">
        <v>0.23064929313679958</v>
      </c>
      <c r="F29" s="222">
        <v>0.27677915176415951</v>
      </c>
      <c r="G29" s="222">
        <v>0.34597393970519935</v>
      </c>
      <c r="H29" s="222">
        <v>0.41516872764623924</v>
      </c>
      <c r="I29" s="222">
        <v>0.46129858627359915</v>
      </c>
      <c r="K29" s="229">
        <f t="shared" ref="K29:K32" si="4">R29</f>
        <v>13.006760000000003</v>
      </c>
      <c r="L29" s="229">
        <f t="shared" si="0"/>
        <v>10.838966666666668</v>
      </c>
      <c r="M29" s="229">
        <f t="shared" si="1"/>
        <v>8.6711733333333356</v>
      </c>
      <c r="N29" s="229">
        <f t="shared" si="2"/>
        <v>7.2259777777777794</v>
      </c>
      <c r="O29" s="229">
        <f t="shared" si="3"/>
        <v>6.5033800000000017</v>
      </c>
      <c r="Q29" s="206">
        <v>1.3</v>
      </c>
      <c r="R29" s="230">
        <v>13.006760000000003</v>
      </c>
      <c r="S29" s="230">
        <v>10.838966666666668</v>
      </c>
      <c r="T29" s="230">
        <v>8.6711733333333356</v>
      </c>
      <c r="U29" s="230">
        <v>7.2259777777777794</v>
      </c>
      <c r="V29" s="230">
        <v>6.5033800000000017</v>
      </c>
    </row>
    <row r="30" spans="1:22" ht="14.7" thickBot="1" x14ac:dyDescent="0.6">
      <c r="C30" s="327"/>
      <c r="D30" s="206">
        <v>1.4</v>
      </c>
      <c r="E30" s="222">
        <v>0.21417434362702822</v>
      </c>
      <c r="F30" s="222">
        <v>0.2570092123524339</v>
      </c>
      <c r="G30" s="222">
        <v>0.32126151544054232</v>
      </c>
      <c r="H30" s="222">
        <v>0.3855138185286508</v>
      </c>
      <c r="I30" s="222">
        <v>0.42834868725405645</v>
      </c>
      <c r="K30" s="229">
        <f t="shared" si="4"/>
        <v>14.00728</v>
      </c>
      <c r="L30" s="229">
        <f t="shared" si="0"/>
        <v>11.672733333333332</v>
      </c>
      <c r="M30" s="305">
        <f t="shared" si="1"/>
        <v>9.3381866666666671</v>
      </c>
      <c r="N30" s="229">
        <f t="shared" si="2"/>
        <v>7.7818222222222229</v>
      </c>
      <c r="O30" s="229">
        <f t="shared" si="3"/>
        <v>7.0036399999999999</v>
      </c>
      <c r="Q30" s="206">
        <v>1.4</v>
      </c>
      <c r="R30" s="230">
        <v>14.00728</v>
      </c>
      <c r="S30" s="230">
        <v>11.672733333333332</v>
      </c>
      <c r="T30" s="231">
        <v>9.3381866666666671</v>
      </c>
      <c r="U30" s="230">
        <v>7.7818222222222229</v>
      </c>
      <c r="V30" s="230">
        <v>7.0036399999999999</v>
      </c>
    </row>
    <row r="31" spans="1:22" x14ac:dyDescent="0.55000000000000004">
      <c r="C31" s="327"/>
      <c r="D31" s="206">
        <v>1.5</v>
      </c>
      <c r="E31" s="222">
        <v>0.19989605405189301</v>
      </c>
      <c r="F31" s="222">
        <v>0.23987526486227162</v>
      </c>
      <c r="G31" s="222">
        <v>0.2998440810778395</v>
      </c>
      <c r="H31" s="222">
        <v>0.35981289729340743</v>
      </c>
      <c r="I31" s="222">
        <v>0.39979210810378601</v>
      </c>
      <c r="K31" s="229">
        <f t="shared" si="4"/>
        <v>15.007800000000001</v>
      </c>
      <c r="L31" s="229">
        <f t="shared" si="0"/>
        <v>12.506499999999999</v>
      </c>
      <c r="M31" s="229">
        <f t="shared" si="1"/>
        <v>10.0052</v>
      </c>
      <c r="N31" s="229">
        <f t="shared" si="2"/>
        <v>8.3376666666666672</v>
      </c>
      <c r="O31" s="229">
        <f t="shared" si="3"/>
        <v>7.5039000000000007</v>
      </c>
      <c r="Q31" s="206">
        <v>1.5</v>
      </c>
      <c r="R31" s="230">
        <v>15.007800000000001</v>
      </c>
      <c r="S31" s="230">
        <v>12.506499999999999</v>
      </c>
      <c r="T31" s="230">
        <v>10.0052</v>
      </c>
      <c r="U31" s="230">
        <v>8.3376666666666672</v>
      </c>
      <c r="V31" s="230">
        <v>7.5039000000000007</v>
      </c>
    </row>
    <row r="32" spans="1:22" x14ac:dyDescent="0.55000000000000004">
      <c r="C32" s="327"/>
      <c r="D32" s="206">
        <v>1.6</v>
      </c>
      <c r="E32" s="222">
        <v>0.18740255067364966</v>
      </c>
      <c r="F32" s="222">
        <v>0.22488306080837961</v>
      </c>
      <c r="G32" s="222">
        <v>0.28110382601047451</v>
      </c>
      <c r="H32" s="222">
        <v>0.33732459121256941</v>
      </c>
      <c r="I32" s="222">
        <v>0.37480510134729933</v>
      </c>
      <c r="K32" s="229">
        <f t="shared" si="4"/>
        <v>16.008320000000005</v>
      </c>
      <c r="L32" s="229">
        <f t="shared" si="0"/>
        <v>13.340266666666668</v>
      </c>
      <c r="M32" s="229">
        <f t="shared" si="1"/>
        <v>10.672213333333335</v>
      </c>
      <c r="N32" s="229">
        <f t="shared" si="2"/>
        <v>8.8935111111111116</v>
      </c>
      <c r="O32" s="229">
        <f t="shared" si="3"/>
        <v>8.0041600000000024</v>
      </c>
      <c r="Q32" s="206">
        <v>1.6</v>
      </c>
      <c r="R32" s="230">
        <v>16.008320000000005</v>
      </c>
      <c r="S32" s="230">
        <v>13.340266666666668</v>
      </c>
      <c r="T32" s="230">
        <v>10.672213333333335</v>
      </c>
      <c r="U32" s="230">
        <v>8.8935111111111116</v>
      </c>
      <c r="V32" s="230">
        <v>8.0041600000000024</v>
      </c>
    </row>
    <row r="34" spans="4:15" ht="14.7" thickBot="1" x14ac:dyDescent="0.6">
      <c r="E34" s="226" t="s">
        <v>175</v>
      </c>
      <c r="F34" s="227"/>
      <c r="G34" s="227"/>
      <c r="H34" s="227"/>
      <c r="I34" s="227"/>
      <c r="J34" s="227"/>
      <c r="K34" s="227"/>
      <c r="L34" s="227"/>
      <c r="M34" s="227"/>
      <c r="N34" s="227"/>
      <c r="O34" s="227"/>
    </row>
    <row r="35" spans="4:15" ht="4.2" customHeight="1" thickTop="1" x14ac:dyDescent="0.55000000000000004"/>
    <row r="36" spans="4:15" ht="14.7" thickBot="1" x14ac:dyDescent="0.6">
      <c r="E36" s="210" t="s">
        <v>172</v>
      </c>
      <c r="F36" s="211"/>
      <c r="G36" s="211"/>
      <c r="H36" s="211"/>
      <c r="I36" s="211"/>
      <c r="J36" s="211"/>
      <c r="K36" s="211"/>
      <c r="L36" s="211"/>
      <c r="M36" s="211"/>
      <c r="N36" s="211"/>
      <c r="O36" s="211"/>
    </row>
    <row r="37" spans="4:15" ht="14.7" thickTop="1" x14ac:dyDescent="0.55000000000000004">
      <c r="D37" s="208">
        <f>F10</f>
        <v>0.95743382058437021</v>
      </c>
      <c r="E37" s="207">
        <v>5</v>
      </c>
      <c r="F37" s="207">
        <v>5.5</v>
      </c>
      <c r="G37" s="207">
        <v>6</v>
      </c>
      <c r="H37" s="207">
        <v>6.5</v>
      </c>
      <c r="I37" s="207">
        <v>7</v>
      </c>
      <c r="J37" s="207">
        <v>7.5</v>
      </c>
      <c r="K37" s="207">
        <v>8</v>
      </c>
      <c r="L37" s="207">
        <v>8.5</v>
      </c>
      <c r="M37" s="207">
        <v>9</v>
      </c>
      <c r="N37" s="207">
        <v>9.5</v>
      </c>
      <c r="O37" s="207">
        <v>10</v>
      </c>
    </row>
    <row r="38" spans="4:15" ht="17.399999999999999" customHeight="1" x14ac:dyDescent="0.55000000000000004">
      <c r="D38" s="228">
        <v>1.4</v>
      </c>
      <c r="E38" s="222">
        <f t="dataTable" ref="E38:O38" dt2D="1" dtr="1" r1="B7" r2="I14" ca="1"/>
        <v>0.70997594666644726</v>
      </c>
      <c r="F38" s="222">
        <v>0.7651741676630317</v>
      </c>
      <c r="G38" s="222">
        <v>0.81712059283213923</v>
      </c>
      <c r="H38" s="222">
        <v>0.86625557840862166</v>
      </c>
      <c r="I38" s="222">
        <v>0.91293118277237628</v>
      </c>
      <c r="J38" s="222">
        <v>0.95743382058437021</v>
      </c>
      <c r="K38" s="222">
        <v>0.99999999999975842</v>
      </c>
      <c r="L38" s="222">
        <v>1.0408275509578573</v>
      </c>
      <c r="M38" s="222">
        <v>1.0800838230494705</v>
      </c>
      <c r="N38" s="222">
        <v>1.1179117921209247</v>
      </c>
      <c r="O38" s="222">
        <v>1.1544346900159028</v>
      </c>
    </row>
    <row r="39" spans="4:15" ht="6" customHeight="1" x14ac:dyDescent="0.55000000000000004"/>
  </sheetData>
  <mergeCells count="1">
    <mergeCell ref="C28:C3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F511-E2C8-45E6-B8F8-90A1FAFE14A1}">
  <dimension ref="A1:V40"/>
  <sheetViews>
    <sheetView showGridLines="0" zoomScale="105" zoomScaleNormal="105" workbookViewId="0">
      <selection activeCell="G4" sqref="G4"/>
    </sheetView>
  </sheetViews>
  <sheetFormatPr baseColWidth="10" defaultRowHeight="14.4" x14ac:dyDescent="0.55000000000000004"/>
  <cols>
    <col min="1" max="1" width="13.734375" customWidth="1"/>
    <col min="2" max="2" width="4.41796875" customWidth="1"/>
    <col min="3" max="4" width="9" customWidth="1"/>
    <col min="5" max="15" width="9.26171875" customWidth="1"/>
  </cols>
  <sheetData>
    <row r="1" spans="1:15" ht="18.600000000000001" thickBot="1" x14ac:dyDescent="0.75">
      <c r="A1" s="4" t="s">
        <v>235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</row>
    <row r="2" spans="1:15" ht="15.9" thickTop="1" x14ac:dyDescent="0.6">
      <c r="A2" s="8" t="s">
        <v>158</v>
      </c>
    </row>
    <row r="3" spans="1:15" ht="15.6" x14ac:dyDescent="0.6">
      <c r="A3" s="8"/>
      <c r="F3" s="209"/>
      <c r="G3" s="209"/>
      <c r="H3" s="209"/>
      <c r="I3" s="209"/>
    </row>
    <row r="4" spans="1:15" ht="15.6" x14ac:dyDescent="0.6">
      <c r="F4" s="212">
        <v>2012</v>
      </c>
      <c r="G4" s="212">
        <f>F4+1</f>
        <v>2013</v>
      </c>
      <c r="H4" s="212">
        <f>G4+1</f>
        <v>2014</v>
      </c>
      <c r="I4" s="212">
        <f>H4+1</f>
        <v>2015</v>
      </c>
    </row>
    <row r="5" spans="1:15" ht="15.6" x14ac:dyDescent="0.6">
      <c r="A5" s="105" t="s">
        <v>166</v>
      </c>
    </row>
    <row r="6" spans="1:15" x14ac:dyDescent="0.55000000000000004">
      <c r="A6" s="152" t="s">
        <v>125</v>
      </c>
      <c r="B6" s="155"/>
      <c r="C6" s="155"/>
      <c r="D6" s="155"/>
      <c r="E6" s="155"/>
      <c r="F6" s="200">
        <v>-3</v>
      </c>
      <c r="G6" s="201"/>
      <c r="H6" s="201"/>
    </row>
    <row r="7" spans="1:15" x14ac:dyDescent="0.55000000000000004">
      <c r="A7" s="152" t="s">
        <v>170</v>
      </c>
      <c r="B7" s="205">
        <v>1.9549000000000001</v>
      </c>
      <c r="C7" s="1" t="s">
        <v>171</v>
      </c>
      <c r="D7" s="1"/>
      <c r="E7" s="1"/>
      <c r="F7" s="156"/>
      <c r="G7" s="157"/>
      <c r="H7" s="157"/>
      <c r="I7" s="298">
        <f>-F6*B7</f>
        <v>5.8647</v>
      </c>
    </row>
    <row r="8" spans="1:15" x14ac:dyDescent="0.55000000000000004">
      <c r="A8" s="152" t="s">
        <v>161</v>
      </c>
      <c r="B8" s="155"/>
      <c r="C8" s="155"/>
      <c r="D8" s="155"/>
      <c r="E8" s="155"/>
      <c r="F8" s="201">
        <f>F6+F7</f>
        <v>-3</v>
      </c>
      <c r="G8" s="201">
        <f>G6+G7</f>
        <v>0</v>
      </c>
      <c r="H8" s="201">
        <f>H6+H7</f>
        <v>0</v>
      </c>
      <c r="I8" s="306">
        <f>I6+I7</f>
        <v>5.8647</v>
      </c>
      <c r="K8" s="200"/>
    </row>
    <row r="9" spans="1:15" ht="5.7" customHeight="1" x14ac:dyDescent="0.6">
      <c r="A9" s="9"/>
      <c r="G9" s="100"/>
    </row>
    <row r="10" spans="1:15" x14ac:dyDescent="0.55000000000000004">
      <c r="A10" s="223" t="s">
        <v>167</v>
      </c>
      <c r="B10" s="224"/>
      <c r="C10" s="224"/>
      <c r="D10" s="224"/>
      <c r="E10" s="224"/>
      <c r="F10" s="225">
        <f>IRR(F8:I8,0.25)</f>
        <v>0.25037855201379178</v>
      </c>
      <c r="G10" s="201"/>
      <c r="H10" s="201"/>
      <c r="I10" s="201"/>
      <c r="K10" s="200"/>
    </row>
    <row r="11" spans="1:15" ht="8.6999999999999993" customHeight="1" x14ac:dyDescent="0.6">
      <c r="A11" s="9"/>
      <c r="G11" s="100"/>
    </row>
    <row r="12" spans="1:15" ht="15.6" x14ac:dyDescent="0.6">
      <c r="A12" s="105" t="s">
        <v>168</v>
      </c>
      <c r="B12" s="159"/>
      <c r="C12" s="159"/>
      <c r="D12" s="159"/>
      <c r="E12" s="159"/>
      <c r="F12" s="318"/>
      <c r="G12" s="159"/>
      <c r="H12" s="159"/>
    </row>
    <row r="13" spans="1:15" x14ac:dyDescent="0.55000000000000004">
      <c r="A13" s="152" t="s">
        <v>162</v>
      </c>
      <c r="B13" s="1"/>
      <c r="C13" s="1"/>
      <c r="D13" s="1"/>
      <c r="E13" s="1"/>
      <c r="F13" s="160"/>
      <c r="G13" s="160"/>
      <c r="H13" s="160"/>
      <c r="I13" s="201">
        <f>'DCF - Base Case (1 WACC)'!M9/1000</f>
        <v>50.026000000000003</v>
      </c>
    </row>
    <row r="14" spans="1:15" x14ac:dyDescent="0.55000000000000004">
      <c r="A14" s="152" t="s">
        <v>163</v>
      </c>
      <c r="B14" s="1"/>
      <c r="C14" s="1"/>
      <c r="D14" s="1"/>
      <c r="E14" s="1"/>
      <c r="F14" s="160"/>
      <c r="G14" s="160"/>
      <c r="H14" s="160"/>
      <c r="I14" s="204">
        <v>1.399</v>
      </c>
    </row>
    <row r="15" spans="1:15" x14ac:dyDescent="0.55000000000000004">
      <c r="A15" s="152" t="s">
        <v>160</v>
      </c>
      <c r="B15" s="1"/>
      <c r="C15" s="1"/>
      <c r="D15" s="1"/>
      <c r="E15" s="1"/>
      <c r="F15" s="203"/>
      <c r="G15" s="203"/>
      <c r="H15" s="203"/>
      <c r="I15" s="201">
        <f>I13*I14</f>
        <v>69.986374000000012</v>
      </c>
    </row>
    <row r="16" spans="1:15" x14ac:dyDescent="0.55000000000000004">
      <c r="A16" s="300" t="s">
        <v>228</v>
      </c>
      <c r="B16" s="301"/>
      <c r="C16" s="301"/>
      <c r="D16" s="301"/>
      <c r="E16" s="301"/>
      <c r="F16" s="302"/>
      <c r="G16" s="302"/>
      <c r="H16" s="302"/>
      <c r="I16" s="303">
        <f>I15*0.292</f>
        <v>20.436021208000003</v>
      </c>
    </row>
    <row r="17" spans="1:22" ht="5.7" customHeight="1" x14ac:dyDescent="0.55000000000000004">
      <c r="A17" s="162"/>
      <c r="B17" s="1"/>
      <c r="C17" s="1"/>
      <c r="D17" s="1"/>
      <c r="E17" s="1"/>
      <c r="F17" s="160"/>
      <c r="G17" s="160"/>
      <c r="H17" s="160"/>
    </row>
    <row r="18" spans="1:22" x14ac:dyDescent="0.55000000000000004">
      <c r="A18" s="152" t="s">
        <v>159</v>
      </c>
      <c r="B18" s="1"/>
      <c r="C18" s="1"/>
      <c r="D18" s="1"/>
      <c r="E18" s="1"/>
      <c r="F18" s="160"/>
      <c r="G18" s="160"/>
      <c r="H18" s="160"/>
      <c r="I18" s="160">
        <f>I7/I16</f>
        <v>0.2869785630142217</v>
      </c>
    </row>
    <row r="19" spans="1:22" ht="9.9" customHeight="1" x14ac:dyDescent="0.55000000000000004">
      <c r="A19" s="152"/>
      <c r="B19" s="159"/>
      <c r="C19" s="159"/>
      <c r="D19" s="159"/>
      <c r="E19" s="159"/>
      <c r="F19" s="153"/>
      <c r="G19" s="153"/>
      <c r="H19" s="153"/>
    </row>
    <row r="20" spans="1:22" ht="15.6" x14ac:dyDescent="0.6">
      <c r="A20" s="105" t="s">
        <v>169</v>
      </c>
    </row>
    <row r="21" spans="1:22" x14ac:dyDescent="0.55000000000000004">
      <c r="A21" s="213" t="s">
        <v>165</v>
      </c>
      <c r="B21" s="214"/>
      <c r="C21" s="214"/>
      <c r="D21" s="214"/>
      <c r="E21" s="214"/>
      <c r="F21" s="215">
        <f>I18</f>
        <v>0.2869785630142217</v>
      </c>
      <c r="G21" s="201"/>
      <c r="H21" s="201"/>
    </row>
    <row r="22" spans="1:22" x14ac:dyDescent="0.55000000000000004">
      <c r="A22" s="219" t="s">
        <v>164</v>
      </c>
      <c r="B22" s="220"/>
      <c r="C22" s="220"/>
      <c r="D22" s="220"/>
      <c r="E22" s="220"/>
      <c r="F22" s="299">
        <f>-F6/F21</f>
        <v>10.453742497314442</v>
      </c>
      <c r="G22" s="153"/>
      <c r="H22" s="153"/>
    </row>
    <row r="23" spans="1:22" ht="8.6999999999999993" customHeight="1" x14ac:dyDescent="0.6">
      <c r="A23" s="9"/>
      <c r="G23" s="100"/>
    </row>
    <row r="25" spans="1:22" ht="14.7" thickBot="1" x14ac:dyDescent="0.6">
      <c r="E25" s="216" t="s">
        <v>176</v>
      </c>
      <c r="F25" s="216"/>
      <c r="G25" s="216"/>
      <c r="H25" s="216"/>
      <c r="I25" s="216"/>
      <c r="K25" s="217" t="s">
        <v>174</v>
      </c>
      <c r="L25" s="218"/>
      <c r="M25" s="218"/>
      <c r="N25" s="218"/>
      <c r="O25" s="218"/>
      <c r="R25" s="217" t="s">
        <v>174</v>
      </c>
      <c r="S25" s="218"/>
      <c r="T25" s="218"/>
      <c r="U25" s="218"/>
      <c r="V25" s="218"/>
    </row>
    <row r="26" spans="1:22" ht="4.2" customHeight="1" thickTop="1" x14ac:dyDescent="0.55000000000000004"/>
    <row r="27" spans="1:22" ht="14.7" thickBot="1" x14ac:dyDescent="0.6">
      <c r="E27" s="210" t="s">
        <v>172</v>
      </c>
      <c r="F27" s="211"/>
      <c r="G27" s="211"/>
      <c r="H27" s="211"/>
      <c r="I27" s="211"/>
      <c r="K27" s="210" t="s">
        <v>172</v>
      </c>
      <c r="L27" s="211"/>
      <c r="M27" s="211"/>
      <c r="N27" s="211"/>
      <c r="O27" s="211"/>
      <c r="R27" s="210" t="s">
        <v>172</v>
      </c>
      <c r="S27" s="211"/>
      <c r="T27" s="211"/>
      <c r="U27" s="211"/>
      <c r="V27" s="211"/>
    </row>
    <row r="28" spans="1:22" ht="14.7" thickTop="1" x14ac:dyDescent="0.55000000000000004">
      <c r="D28" s="208">
        <f>F21</f>
        <v>0.2869785630142217</v>
      </c>
      <c r="E28" s="207">
        <v>1.9549000000000001</v>
      </c>
      <c r="F28" s="304">
        <v>2.25</v>
      </c>
      <c r="G28" s="207">
        <v>2.5</v>
      </c>
      <c r="H28" s="304">
        <v>2.75</v>
      </c>
      <c r="I28" s="207">
        <v>3</v>
      </c>
      <c r="K28" s="297">
        <f>R28</f>
        <v>1.9549000000000001</v>
      </c>
      <c r="L28" s="308">
        <f>S28</f>
        <v>2.25</v>
      </c>
      <c r="M28" s="297">
        <f>T28</f>
        <v>2.5</v>
      </c>
      <c r="N28" s="308">
        <f>U28</f>
        <v>2.75</v>
      </c>
      <c r="O28" s="297">
        <f>V28</f>
        <v>3</v>
      </c>
      <c r="Q28" s="208">
        <f>F22</f>
        <v>10.453742497314442</v>
      </c>
      <c r="R28" s="207">
        <v>1.9549000000000001</v>
      </c>
      <c r="S28" s="304">
        <v>2.25</v>
      </c>
      <c r="T28" s="207">
        <v>2.5</v>
      </c>
      <c r="U28" s="304">
        <v>2.75</v>
      </c>
      <c r="V28" s="207">
        <v>3</v>
      </c>
    </row>
    <row r="29" spans="1:22" ht="14.4" customHeight="1" x14ac:dyDescent="0.55000000000000004">
      <c r="C29" s="326" t="s">
        <v>173</v>
      </c>
      <c r="D29" s="206">
        <v>1.2</v>
      </c>
      <c r="E29" s="222">
        <f t="dataTable" ref="E29:I33" dt2D="1" dtr="1" r1="B7" r2="I14" ca="1"/>
        <v>0.33456917471408026</v>
      </c>
      <c r="F29" s="222">
        <v>0.38507373426092412</v>
      </c>
      <c r="G29" s="222">
        <v>0.42785970473436014</v>
      </c>
      <c r="H29" s="222">
        <v>0.47064567520779615</v>
      </c>
      <c r="I29" s="222">
        <v>0.51343164568123212</v>
      </c>
      <c r="K29" s="229">
        <f>R29</f>
        <v>8.9667555373676375</v>
      </c>
      <c r="L29" s="229">
        <f t="shared" ref="L29:O33" si="0">S29</f>
        <v>7.7907157333333323</v>
      </c>
      <c r="M29" s="229">
        <f t="shared" si="0"/>
        <v>7.0116441599999986</v>
      </c>
      <c r="N29" s="229">
        <f t="shared" si="0"/>
        <v>6.3742219636363622</v>
      </c>
      <c r="O29" s="229">
        <f t="shared" si="0"/>
        <v>5.8430367999999993</v>
      </c>
      <c r="Q29" s="206">
        <v>1.2</v>
      </c>
      <c r="R29" s="230">
        <f t="dataTable" ref="R29:V33" dt2D="1" dtr="1" r1="B7" r2="I14" ca="1"/>
        <v>8.9667555373676375</v>
      </c>
      <c r="S29" s="230">
        <v>7.7907157333333323</v>
      </c>
      <c r="T29" s="230">
        <v>7.0116441599999986</v>
      </c>
      <c r="U29" s="230">
        <v>6.3742219636363622</v>
      </c>
      <c r="V29" s="230">
        <v>5.8430367999999993</v>
      </c>
    </row>
    <row r="30" spans="1:22" ht="14.7" thickBot="1" x14ac:dyDescent="0.6">
      <c r="C30" s="327"/>
      <c r="D30" s="206">
        <v>1.3</v>
      </c>
      <c r="E30" s="222">
        <v>0.30883308435145862</v>
      </c>
      <c r="F30" s="222">
        <v>0.35545267777931444</v>
      </c>
      <c r="G30" s="222">
        <v>0.39494741975479386</v>
      </c>
      <c r="H30" s="222">
        <v>0.43444216173027322</v>
      </c>
      <c r="I30" s="222">
        <v>0.47393690370575259</v>
      </c>
      <c r="K30" s="229">
        <f t="shared" ref="K30:K33" si="1">R30</f>
        <v>9.7139851654816098</v>
      </c>
      <c r="L30" s="229">
        <f t="shared" si="0"/>
        <v>8.4399420444444466</v>
      </c>
      <c r="M30" s="229">
        <f t="shared" si="0"/>
        <v>7.5959478400000009</v>
      </c>
      <c r="N30" s="229">
        <f t="shared" si="0"/>
        <v>6.9054071272727278</v>
      </c>
      <c r="O30" s="229">
        <f t="shared" si="0"/>
        <v>6.3299565333333341</v>
      </c>
      <c r="Q30" s="206">
        <v>1.3</v>
      </c>
      <c r="R30" s="230">
        <v>9.7139851654816098</v>
      </c>
      <c r="S30" s="230">
        <v>8.4399420444444466</v>
      </c>
      <c r="T30" s="230">
        <v>7.5959478400000009</v>
      </c>
      <c r="U30" s="230">
        <v>6.9054071272727278</v>
      </c>
      <c r="V30" s="230">
        <v>6.3299565333333341</v>
      </c>
    </row>
    <row r="31" spans="1:22" ht="14.7" thickBot="1" x14ac:dyDescent="0.6">
      <c r="C31" s="327"/>
      <c r="D31" s="206">
        <v>1.399</v>
      </c>
      <c r="E31" s="222">
        <v>0.2869785630142217</v>
      </c>
      <c r="F31" s="222">
        <v>0.33029912874418071</v>
      </c>
      <c r="G31" s="222">
        <v>0.36699903193797856</v>
      </c>
      <c r="H31" s="222">
        <v>0.4036989351317764</v>
      </c>
      <c r="I31" s="222">
        <v>0.44039883832557425</v>
      </c>
      <c r="K31" s="307">
        <f t="shared" si="1"/>
        <v>10.453742497314442</v>
      </c>
      <c r="L31" s="229">
        <f t="shared" si="0"/>
        <v>9.0826760924444443</v>
      </c>
      <c r="M31" s="305">
        <f t="shared" si="0"/>
        <v>8.1744084832000006</v>
      </c>
      <c r="N31" s="229">
        <f t="shared" si="0"/>
        <v>7.4312804392727285</v>
      </c>
      <c r="O31" s="229">
        <f t="shared" si="0"/>
        <v>6.8120070693333341</v>
      </c>
      <c r="Q31" s="206">
        <v>1.399</v>
      </c>
      <c r="R31" s="230">
        <v>10.453742497314442</v>
      </c>
      <c r="S31" s="230">
        <v>9.0826760924444443</v>
      </c>
      <c r="T31" s="231">
        <v>8.1744084832000006</v>
      </c>
      <c r="U31" s="230">
        <v>7.4312804392727285</v>
      </c>
      <c r="V31" s="230">
        <v>6.8120070693333341</v>
      </c>
    </row>
    <row r="32" spans="1:22" x14ac:dyDescent="0.55000000000000004">
      <c r="C32" s="327"/>
      <c r="D32" s="206">
        <v>1.5</v>
      </c>
      <c r="E32" s="222">
        <v>0.26765533977126416</v>
      </c>
      <c r="F32" s="222">
        <v>0.30805898740873927</v>
      </c>
      <c r="G32" s="222">
        <v>0.34228776378748804</v>
      </c>
      <c r="H32" s="222">
        <v>0.37651654016623687</v>
      </c>
      <c r="I32" s="222">
        <v>0.41074531654498569</v>
      </c>
      <c r="K32" s="229">
        <f t="shared" si="1"/>
        <v>11.208444421709551</v>
      </c>
      <c r="L32" s="229">
        <f t="shared" si="0"/>
        <v>9.7383946666666663</v>
      </c>
      <c r="M32" s="229">
        <f t="shared" si="0"/>
        <v>8.7645552000000002</v>
      </c>
      <c r="N32" s="229">
        <f t="shared" si="0"/>
        <v>7.9677774545454536</v>
      </c>
      <c r="O32" s="229">
        <f t="shared" si="0"/>
        <v>7.3037959999999993</v>
      </c>
      <c r="Q32" s="206">
        <v>1.5</v>
      </c>
      <c r="R32" s="230">
        <v>11.208444421709551</v>
      </c>
      <c r="S32" s="230">
        <v>9.7383946666666663</v>
      </c>
      <c r="T32" s="230">
        <v>8.7645552000000002</v>
      </c>
      <c r="U32" s="230">
        <v>7.9677774545454536</v>
      </c>
      <c r="V32" s="230">
        <v>7.3037959999999993</v>
      </c>
    </row>
    <row r="33" spans="3:22" x14ac:dyDescent="0.55000000000000004">
      <c r="C33" s="327"/>
      <c r="D33" s="206">
        <v>1.6</v>
      </c>
      <c r="E33" s="222">
        <v>0.2509268810355601</v>
      </c>
      <c r="F33" s="222">
        <v>0.28880530069569299</v>
      </c>
      <c r="G33" s="222">
        <v>0.32089477855076998</v>
      </c>
      <c r="H33" s="222">
        <v>0.35298425640584696</v>
      </c>
      <c r="I33" s="222">
        <v>0.38507373426092395</v>
      </c>
      <c r="K33" s="229">
        <f t="shared" si="1"/>
        <v>11.955674049823521</v>
      </c>
      <c r="L33" s="229">
        <f t="shared" si="0"/>
        <v>10.387620977777779</v>
      </c>
      <c r="M33" s="229">
        <f t="shared" si="0"/>
        <v>9.3488588800000016</v>
      </c>
      <c r="N33" s="229">
        <f t="shared" si="0"/>
        <v>8.4989626181818192</v>
      </c>
      <c r="O33" s="229">
        <f t="shared" si="0"/>
        <v>7.790715733333335</v>
      </c>
      <c r="Q33" s="206">
        <v>1.6</v>
      </c>
      <c r="R33" s="230">
        <v>11.955674049823521</v>
      </c>
      <c r="S33" s="230">
        <v>10.387620977777779</v>
      </c>
      <c r="T33" s="230">
        <v>9.3488588800000016</v>
      </c>
      <c r="U33" s="230">
        <v>8.4989626181818192</v>
      </c>
      <c r="V33" s="230">
        <v>7.790715733333335</v>
      </c>
    </row>
    <row r="35" spans="3:22" ht="14.7" thickBot="1" x14ac:dyDescent="0.6">
      <c r="E35" s="226" t="s">
        <v>175</v>
      </c>
      <c r="F35" s="227"/>
      <c r="G35" s="227"/>
      <c r="H35" s="227"/>
      <c r="I35" s="227"/>
      <c r="J35" s="227"/>
      <c r="K35" s="227"/>
      <c r="L35" s="227"/>
      <c r="M35" s="227"/>
      <c r="N35" s="227"/>
      <c r="O35" s="227"/>
    </row>
    <row r="36" spans="3:22" ht="4.2" customHeight="1" thickTop="1" x14ac:dyDescent="0.55000000000000004"/>
    <row r="37" spans="3:22" ht="14.7" thickBot="1" x14ac:dyDescent="0.6">
      <c r="E37" s="210" t="s">
        <v>172</v>
      </c>
      <c r="F37" s="211"/>
      <c r="G37" s="211"/>
      <c r="H37" s="211"/>
      <c r="I37" s="211"/>
      <c r="J37" s="211"/>
      <c r="K37" s="211"/>
      <c r="L37" s="211"/>
      <c r="M37" s="211"/>
      <c r="N37" s="211"/>
      <c r="O37" s="211"/>
    </row>
    <row r="38" spans="3:22" ht="14.7" thickTop="1" x14ac:dyDescent="0.55000000000000004">
      <c r="D38" s="208">
        <f>F10</f>
        <v>0.25037855201379178</v>
      </c>
      <c r="E38" s="207">
        <v>1.954</v>
      </c>
      <c r="F38" s="207">
        <v>2.2000000000000002</v>
      </c>
      <c r="G38" s="207">
        <v>2.5</v>
      </c>
      <c r="H38" s="207">
        <v>2.6</v>
      </c>
      <c r="I38" s="207">
        <v>2.8</v>
      </c>
      <c r="J38" s="207">
        <v>3</v>
      </c>
      <c r="K38" s="207">
        <v>3.2</v>
      </c>
      <c r="L38" s="207">
        <v>3.6</v>
      </c>
      <c r="M38" s="207">
        <v>4</v>
      </c>
      <c r="N38" s="207">
        <v>4.5</v>
      </c>
      <c r="O38" s="207">
        <v>5</v>
      </c>
    </row>
    <row r="39" spans="3:22" ht="17.399999999999999" customHeight="1" x14ac:dyDescent="0.55000000000000004">
      <c r="D39" s="228">
        <v>1.4</v>
      </c>
      <c r="E39" s="222">
        <f t="dataTable" ref="E39:O39" dt2D="1" dtr="1" r1="B7" r2="I14"/>
        <v>0.25018663879804692</v>
      </c>
      <c r="F39" s="222">
        <v>0.30059144684257699</v>
      </c>
      <c r="G39" s="222">
        <v>0.35720880829744339</v>
      </c>
      <c r="H39" s="222">
        <v>0.37506886707407583</v>
      </c>
      <c r="I39" s="222">
        <v>0.40945974641175997</v>
      </c>
      <c r="J39" s="222">
        <v>0.4422495703074083</v>
      </c>
      <c r="K39" s="222">
        <v>0.47361259945615508</v>
      </c>
      <c r="L39" s="222">
        <v>0.53261886478710418</v>
      </c>
      <c r="M39" s="222">
        <v>0.5874010519681494</v>
      </c>
      <c r="N39" s="222">
        <v>0.65096362444630262</v>
      </c>
      <c r="O39" s="222">
        <v>0.70997594666644726</v>
      </c>
    </row>
    <row r="40" spans="3:22" ht="6" customHeight="1" x14ac:dyDescent="0.55000000000000004"/>
  </sheetData>
  <mergeCells count="1">
    <mergeCell ref="C29:C3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48B5-B225-41BB-AE42-382A3F0D766B}">
  <dimension ref="A1:V40"/>
  <sheetViews>
    <sheetView showGridLines="0" topLeftCell="A14" zoomScale="105" zoomScaleNormal="105" workbookViewId="0">
      <selection activeCell="K41" sqref="K41"/>
    </sheetView>
  </sheetViews>
  <sheetFormatPr baseColWidth="10" defaultRowHeight="14.4" x14ac:dyDescent="0.55000000000000004"/>
  <cols>
    <col min="1" max="1" width="13.734375" customWidth="1"/>
    <col min="2" max="2" width="4.41796875" customWidth="1"/>
    <col min="3" max="4" width="9" customWidth="1"/>
    <col min="5" max="15" width="9.26171875" customWidth="1"/>
  </cols>
  <sheetData>
    <row r="1" spans="1:15" ht="18.600000000000001" thickBot="1" x14ac:dyDescent="0.75">
      <c r="A1" s="4" t="s">
        <v>156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</row>
    <row r="2" spans="1:15" ht="15.9" thickTop="1" x14ac:dyDescent="0.6">
      <c r="A2" s="8" t="s">
        <v>158</v>
      </c>
    </row>
    <row r="3" spans="1:15" ht="15.6" x14ac:dyDescent="0.6">
      <c r="A3" s="8"/>
      <c r="F3" s="209"/>
      <c r="G3" s="209"/>
      <c r="H3" s="209"/>
      <c r="I3" s="209"/>
    </row>
    <row r="4" spans="1:15" ht="15.6" x14ac:dyDescent="0.6">
      <c r="F4" s="212">
        <v>2012</v>
      </c>
      <c r="G4" s="212">
        <f>F4+1</f>
        <v>2013</v>
      </c>
      <c r="H4" s="212">
        <f>G4+1</f>
        <v>2014</v>
      </c>
      <c r="I4" s="212">
        <f>H4+1</f>
        <v>2015</v>
      </c>
    </row>
    <row r="5" spans="1:15" ht="15.6" x14ac:dyDescent="0.6">
      <c r="A5" s="105" t="s">
        <v>166</v>
      </c>
    </row>
    <row r="6" spans="1:15" x14ac:dyDescent="0.55000000000000004">
      <c r="A6" s="152" t="s">
        <v>125</v>
      </c>
      <c r="B6" s="155"/>
      <c r="C6" s="155"/>
      <c r="D6" s="155"/>
      <c r="E6" s="155"/>
      <c r="F6" s="320">
        <f>-2.5*1.1</f>
        <v>-2.75</v>
      </c>
      <c r="G6" s="201"/>
      <c r="H6" s="201"/>
    </row>
    <row r="7" spans="1:15" x14ac:dyDescent="0.55000000000000004">
      <c r="A7" s="152" t="s">
        <v>170</v>
      </c>
      <c r="B7" s="205">
        <v>1.9549000000000001</v>
      </c>
      <c r="C7" s="1" t="s">
        <v>171</v>
      </c>
      <c r="D7" s="1"/>
      <c r="E7" s="1"/>
      <c r="F7" s="156"/>
      <c r="G7" s="157"/>
      <c r="H7" s="157"/>
      <c r="I7" s="298">
        <f>-F6*B7</f>
        <v>5.3759750000000004</v>
      </c>
    </row>
    <row r="8" spans="1:15" x14ac:dyDescent="0.55000000000000004">
      <c r="A8" s="152" t="s">
        <v>161</v>
      </c>
      <c r="B8" s="155"/>
      <c r="C8" s="155"/>
      <c r="D8" s="155"/>
      <c r="E8" s="155"/>
      <c r="F8" s="201">
        <f>F6+F7</f>
        <v>-2.75</v>
      </c>
      <c r="G8" s="201">
        <f>G6+G7</f>
        <v>0</v>
      </c>
      <c r="H8" s="201">
        <f>H6+H7</f>
        <v>0</v>
      </c>
      <c r="I8" s="306">
        <f>I6+I7</f>
        <v>5.3759750000000004</v>
      </c>
      <c r="K8" s="200"/>
    </row>
    <row r="9" spans="1:15" ht="5.7" customHeight="1" x14ac:dyDescent="0.6">
      <c r="A9" s="9"/>
      <c r="G9" s="100"/>
    </row>
    <row r="10" spans="1:15" x14ac:dyDescent="0.55000000000000004">
      <c r="A10" s="223" t="s">
        <v>167</v>
      </c>
      <c r="B10" s="224"/>
      <c r="C10" s="224"/>
      <c r="D10" s="224"/>
      <c r="E10" s="224"/>
      <c r="F10" s="225">
        <f>IRR(F8:I8,0.25)</f>
        <v>0.25037855201379178</v>
      </c>
      <c r="G10" s="201"/>
      <c r="H10" s="201"/>
      <c r="I10" s="201"/>
      <c r="K10" s="200"/>
    </row>
    <row r="11" spans="1:15" ht="8.6999999999999993" customHeight="1" x14ac:dyDescent="0.6">
      <c r="A11" s="9"/>
      <c r="G11" s="100"/>
    </row>
    <row r="12" spans="1:15" ht="15.6" x14ac:dyDescent="0.6">
      <c r="A12" s="105" t="s">
        <v>168</v>
      </c>
      <c r="B12" s="159"/>
      <c r="C12" s="159"/>
      <c r="D12" s="159"/>
      <c r="E12" s="159"/>
      <c r="F12" s="318"/>
      <c r="G12" s="159"/>
      <c r="H12" s="159"/>
    </row>
    <row r="13" spans="1:15" x14ac:dyDescent="0.55000000000000004">
      <c r="A13" s="152" t="s">
        <v>162</v>
      </c>
      <c r="B13" s="1"/>
      <c r="C13" s="1"/>
      <c r="D13" s="1"/>
      <c r="E13" s="1"/>
      <c r="F13" s="160"/>
      <c r="G13" s="160"/>
      <c r="H13" s="160"/>
      <c r="I13" s="201">
        <f>'DCF - Base Case (1 WACC)'!M9/1000</f>
        <v>50.026000000000003</v>
      </c>
    </row>
    <row r="14" spans="1:15" x14ac:dyDescent="0.55000000000000004">
      <c r="A14" s="152" t="s">
        <v>163</v>
      </c>
      <c r="B14" s="1"/>
      <c r="C14" s="1"/>
      <c r="D14" s="1"/>
      <c r="E14" s="1"/>
      <c r="F14" s="160"/>
      <c r="G14" s="160"/>
      <c r="H14" s="160"/>
      <c r="I14" s="204">
        <v>1.399</v>
      </c>
    </row>
    <row r="15" spans="1:15" x14ac:dyDescent="0.55000000000000004">
      <c r="A15" s="152" t="s">
        <v>160</v>
      </c>
      <c r="B15" s="1"/>
      <c r="C15" s="1"/>
      <c r="D15" s="1"/>
      <c r="E15" s="1"/>
      <c r="F15" s="203"/>
      <c r="G15" s="203"/>
      <c r="H15" s="203"/>
      <c r="I15" s="201">
        <f>I13*I14</f>
        <v>69.986374000000012</v>
      </c>
    </row>
    <row r="16" spans="1:15" x14ac:dyDescent="0.55000000000000004">
      <c r="A16" s="300" t="s">
        <v>228</v>
      </c>
      <c r="B16" s="301"/>
      <c r="C16" s="301"/>
      <c r="D16" s="301"/>
      <c r="E16" s="301"/>
      <c r="F16" s="302"/>
      <c r="G16" s="302"/>
      <c r="H16" s="302"/>
      <c r="I16" s="303">
        <f>I15*0.292</f>
        <v>20.436021208000003</v>
      </c>
    </row>
    <row r="17" spans="1:22" ht="5.7" customHeight="1" x14ac:dyDescent="0.55000000000000004">
      <c r="A17" s="162"/>
      <c r="B17" s="1"/>
      <c r="C17" s="1"/>
      <c r="D17" s="1"/>
      <c r="E17" s="1"/>
      <c r="F17" s="160"/>
      <c r="G17" s="160"/>
      <c r="H17" s="160"/>
    </row>
    <row r="18" spans="1:22" x14ac:dyDescent="0.55000000000000004">
      <c r="A18" s="152" t="s">
        <v>159</v>
      </c>
      <c r="B18" s="1"/>
      <c r="C18" s="1"/>
      <c r="D18" s="1"/>
      <c r="E18" s="1"/>
      <c r="F18" s="160"/>
      <c r="G18" s="160"/>
      <c r="H18" s="160"/>
      <c r="I18" s="160">
        <f>I7/I16</f>
        <v>0.2630636827630366</v>
      </c>
    </row>
    <row r="19" spans="1:22" ht="9.9" customHeight="1" x14ac:dyDescent="0.55000000000000004">
      <c r="A19" s="152"/>
      <c r="B19" s="159"/>
      <c r="C19" s="159"/>
      <c r="D19" s="159"/>
      <c r="E19" s="159"/>
      <c r="F19" s="153"/>
      <c r="G19" s="153"/>
      <c r="H19" s="153"/>
    </row>
    <row r="20" spans="1:22" ht="15.6" x14ac:dyDescent="0.6">
      <c r="A20" s="105" t="s">
        <v>169</v>
      </c>
    </row>
    <row r="21" spans="1:22" x14ac:dyDescent="0.55000000000000004">
      <c r="A21" s="213" t="s">
        <v>165</v>
      </c>
      <c r="B21" s="214"/>
      <c r="C21" s="214"/>
      <c r="D21" s="214"/>
      <c r="E21" s="214"/>
      <c r="F21" s="215">
        <f>I18</f>
        <v>0.2630636827630366</v>
      </c>
      <c r="G21" s="201"/>
      <c r="H21" s="201"/>
    </row>
    <row r="22" spans="1:22" x14ac:dyDescent="0.55000000000000004">
      <c r="A22" s="219" t="s">
        <v>164</v>
      </c>
      <c r="B22" s="220"/>
      <c r="C22" s="220"/>
      <c r="D22" s="220"/>
      <c r="E22" s="220"/>
      <c r="F22" s="299">
        <f>-F6/F21</f>
        <v>10.45374249731444</v>
      </c>
      <c r="G22" s="153"/>
      <c r="H22" s="153"/>
    </row>
    <row r="23" spans="1:22" ht="8.6999999999999993" customHeight="1" x14ac:dyDescent="0.6">
      <c r="A23" s="9"/>
      <c r="G23" s="100"/>
    </row>
    <row r="25" spans="1:22" ht="14.7" thickBot="1" x14ac:dyDescent="0.6">
      <c r="E25" s="216" t="s">
        <v>176</v>
      </c>
      <c r="F25" s="216"/>
      <c r="G25" s="216"/>
      <c r="H25" s="216"/>
      <c r="I25" s="216"/>
      <c r="K25" s="217" t="s">
        <v>174</v>
      </c>
      <c r="L25" s="218"/>
      <c r="M25" s="218"/>
      <c r="N25" s="218"/>
      <c r="O25" s="218"/>
      <c r="R25" s="217" t="s">
        <v>174</v>
      </c>
      <c r="S25" s="218"/>
      <c r="T25" s="218"/>
      <c r="U25" s="218"/>
      <c r="V25" s="218"/>
    </row>
    <row r="26" spans="1:22" ht="4.2" customHeight="1" thickTop="1" x14ac:dyDescent="0.55000000000000004"/>
    <row r="27" spans="1:22" ht="14.7" thickBot="1" x14ac:dyDescent="0.6">
      <c r="E27" s="210" t="s">
        <v>172</v>
      </c>
      <c r="F27" s="211"/>
      <c r="G27" s="211"/>
      <c r="H27" s="211"/>
      <c r="I27" s="211"/>
      <c r="K27" s="210" t="s">
        <v>172</v>
      </c>
      <c r="L27" s="211"/>
      <c r="M27" s="211"/>
      <c r="N27" s="211"/>
      <c r="O27" s="211"/>
      <c r="R27" s="210" t="s">
        <v>172</v>
      </c>
      <c r="S27" s="211"/>
      <c r="T27" s="211"/>
      <c r="U27" s="211"/>
      <c r="V27" s="211"/>
    </row>
    <row r="28" spans="1:22" ht="14.7" thickTop="1" x14ac:dyDescent="0.55000000000000004">
      <c r="D28" s="208">
        <f>F21</f>
        <v>0.2630636827630366</v>
      </c>
      <c r="E28" s="207">
        <v>1.9549000000000001</v>
      </c>
      <c r="F28" s="304">
        <v>2.25</v>
      </c>
      <c r="G28" s="207">
        <v>2.5</v>
      </c>
      <c r="H28" s="304">
        <v>2.75</v>
      </c>
      <c r="I28" s="207">
        <v>3</v>
      </c>
      <c r="K28" s="297">
        <f>R28</f>
        <v>1.9549000000000001</v>
      </c>
      <c r="L28" s="308">
        <f>S28</f>
        <v>2.25</v>
      </c>
      <c r="M28" s="297">
        <f>T28</f>
        <v>2.5</v>
      </c>
      <c r="N28" s="308">
        <f>U28</f>
        <v>2.75</v>
      </c>
      <c r="O28" s="297">
        <f>V28</f>
        <v>3</v>
      </c>
      <c r="Q28" s="208">
        <f>F22</f>
        <v>10.45374249731444</v>
      </c>
      <c r="R28" s="207">
        <v>1.9549000000000001</v>
      </c>
      <c r="S28" s="304">
        <v>2.25</v>
      </c>
      <c r="T28" s="207">
        <v>2.5</v>
      </c>
      <c r="U28" s="304">
        <v>2.75</v>
      </c>
      <c r="V28" s="207">
        <v>3</v>
      </c>
    </row>
    <row r="29" spans="1:22" ht="14.4" customHeight="1" x14ac:dyDescent="0.55000000000000004">
      <c r="C29" s="326" t="s">
        <v>173</v>
      </c>
      <c r="D29" s="206">
        <v>1.2</v>
      </c>
      <c r="E29" s="222">
        <f t="dataTable" ref="E29:I33" dt2D="1" dtr="1" r1="B7" r2="I14" ca="1"/>
        <v>0.3066884101545736</v>
      </c>
      <c r="F29" s="222">
        <v>0.35298425640584713</v>
      </c>
      <c r="G29" s="222">
        <v>0.39220472933983014</v>
      </c>
      <c r="H29" s="222">
        <v>0.43142520227381315</v>
      </c>
      <c r="I29" s="222">
        <v>0.47064567520779615</v>
      </c>
      <c r="K29" s="229">
        <f>R29</f>
        <v>8.9667555373676375</v>
      </c>
      <c r="L29" s="229">
        <f t="shared" ref="L29:O33" si="0">S29</f>
        <v>7.7907157333333314</v>
      </c>
      <c r="M29" s="229">
        <f t="shared" si="0"/>
        <v>7.0116441599999986</v>
      </c>
      <c r="N29" s="229">
        <f t="shared" si="0"/>
        <v>6.3742219636363622</v>
      </c>
      <c r="O29" s="229">
        <f t="shared" si="0"/>
        <v>5.8430367999999984</v>
      </c>
      <c r="Q29" s="206">
        <v>1.2</v>
      </c>
      <c r="R29" s="230">
        <f t="dataTable" ref="R29:V33" dt2D="1" dtr="1" r1="B7" r2="I14"/>
        <v>8.9667555373676375</v>
      </c>
      <c r="S29" s="230">
        <v>7.7907157333333314</v>
      </c>
      <c r="T29" s="230">
        <v>7.0116441599999986</v>
      </c>
      <c r="U29" s="230">
        <v>6.3742219636363622</v>
      </c>
      <c r="V29" s="230">
        <v>5.8430367999999984</v>
      </c>
    </row>
    <row r="30" spans="1:22" ht="14.7" thickBot="1" x14ac:dyDescent="0.6">
      <c r="C30" s="327"/>
      <c r="D30" s="206">
        <v>1.3</v>
      </c>
      <c r="E30" s="222">
        <v>0.28309699398883709</v>
      </c>
      <c r="F30" s="222">
        <v>0.32583162129770493</v>
      </c>
      <c r="G30" s="222">
        <v>0.3620351347752277</v>
      </c>
      <c r="H30" s="222">
        <v>0.39823864825275046</v>
      </c>
      <c r="I30" s="222">
        <v>0.43444216173027322</v>
      </c>
      <c r="K30" s="229">
        <f t="shared" ref="K30:K33" si="1">R30</f>
        <v>9.7139851654816098</v>
      </c>
      <c r="L30" s="229">
        <f t="shared" si="0"/>
        <v>8.4399420444444448</v>
      </c>
      <c r="M30" s="229">
        <f t="shared" si="0"/>
        <v>7.5959478400000009</v>
      </c>
      <c r="N30" s="229">
        <f t="shared" si="0"/>
        <v>6.9054071272727278</v>
      </c>
      <c r="O30" s="229">
        <f t="shared" si="0"/>
        <v>6.3299565333333341</v>
      </c>
      <c r="Q30" s="206">
        <v>1.3</v>
      </c>
      <c r="R30" s="230">
        <v>9.7139851654816098</v>
      </c>
      <c r="S30" s="230">
        <v>8.4399420444444448</v>
      </c>
      <c r="T30" s="230">
        <v>7.5959478400000009</v>
      </c>
      <c r="U30" s="230">
        <v>6.9054071272727278</v>
      </c>
      <c r="V30" s="230">
        <v>6.3299565333333341</v>
      </c>
    </row>
    <row r="31" spans="1:22" ht="14.7" thickBot="1" x14ac:dyDescent="0.6">
      <c r="C31" s="327"/>
      <c r="D31" s="206">
        <v>1.399</v>
      </c>
      <c r="E31" s="222">
        <v>0.2630636827630366</v>
      </c>
      <c r="F31" s="222">
        <v>0.30277420134883232</v>
      </c>
      <c r="G31" s="222">
        <v>0.33641577927648031</v>
      </c>
      <c r="H31" s="222">
        <v>0.37005735720412836</v>
      </c>
      <c r="I31" s="222">
        <v>0.4036989351317764</v>
      </c>
      <c r="K31" s="307">
        <f t="shared" si="1"/>
        <v>10.45374249731444</v>
      </c>
      <c r="L31" s="229">
        <f t="shared" si="0"/>
        <v>9.0826760924444461</v>
      </c>
      <c r="M31" s="305">
        <f t="shared" si="0"/>
        <v>8.1744084832000024</v>
      </c>
      <c r="N31" s="229">
        <f t="shared" si="0"/>
        <v>7.4312804392727285</v>
      </c>
      <c r="O31" s="229">
        <f t="shared" si="0"/>
        <v>6.8120070693333341</v>
      </c>
      <c r="Q31" s="206">
        <v>1.399</v>
      </c>
      <c r="R31" s="230">
        <v>10.45374249731444</v>
      </c>
      <c r="S31" s="230">
        <v>9.0826760924444461</v>
      </c>
      <c r="T31" s="231">
        <v>8.1744084832000024</v>
      </c>
      <c r="U31" s="230">
        <v>7.4312804392727285</v>
      </c>
      <c r="V31" s="230">
        <v>6.8120070693333341</v>
      </c>
    </row>
    <row r="32" spans="1:22" x14ac:dyDescent="0.55000000000000004">
      <c r="C32" s="327"/>
      <c r="D32" s="206">
        <v>1.5</v>
      </c>
      <c r="E32" s="222">
        <v>0.24535072812365882</v>
      </c>
      <c r="F32" s="222">
        <v>0.28238740512467764</v>
      </c>
      <c r="G32" s="222">
        <v>0.31376378347186407</v>
      </c>
      <c r="H32" s="222">
        <v>0.34514016181905044</v>
      </c>
      <c r="I32" s="222">
        <v>0.37651654016623687</v>
      </c>
      <c r="K32" s="229">
        <f t="shared" si="1"/>
        <v>11.208444421709549</v>
      </c>
      <c r="L32" s="229">
        <f t="shared" si="0"/>
        <v>9.7383946666666663</v>
      </c>
      <c r="M32" s="229">
        <f t="shared" si="0"/>
        <v>8.7645551999999984</v>
      </c>
      <c r="N32" s="229">
        <f t="shared" si="0"/>
        <v>7.9677774545454545</v>
      </c>
      <c r="O32" s="229">
        <f t="shared" si="0"/>
        <v>7.3037959999999993</v>
      </c>
      <c r="Q32" s="206">
        <v>1.5</v>
      </c>
      <c r="R32" s="230">
        <v>11.208444421709549</v>
      </c>
      <c r="S32" s="230">
        <v>9.7383946666666663</v>
      </c>
      <c r="T32" s="230">
        <v>8.7645551999999984</v>
      </c>
      <c r="U32" s="230">
        <v>7.9677774545454545</v>
      </c>
      <c r="V32" s="230">
        <v>7.3037959999999993</v>
      </c>
    </row>
    <row r="33" spans="3:22" x14ac:dyDescent="0.55000000000000004">
      <c r="C33" s="327"/>
      <c r="D33" s="206">
        <v>1.6</v>
      </c>
      <c r="E33" s="222">
        <v>0.23001630761593012</v>
      </c>
      <c r="F33" s="222">
        <v>0.26473819230438522</v>
      </c>
      <c r="G33" s="222">
        <v>0.29415354700487251</v>
      </c>
      <c r="H33" s="222">
        <v>0.32356890170535973</v>
      </c>
      <c r="I33" s="222">
        <v>0.35298425640584696</v>
      </c>
      <c r="K33" s="229">
        <f t="shared" si="1"/>
        <v>11.955674049823521</v>
      </c>
      <c r="L33" s="229">
        <f t="shared" si="0"/>
        <v>10.387620977777781</v>
      </c>
      <c r="M33" s="229">
        <f t="shared" si="0"/>
        <v>9.3488588800000016</v>
      </c>
      <c r="N33" s="229">
        <f t="shared" si="0"/>
        <v>8.4989626181818192</v>
      </c>
      <c r="O33" s="229">
        <f t="shared" si="0"/>
        <v>7.790715733333335</v>
      </c>
      <c r="Q33" s="206">
        <v>1.6</v>
      </c>
      <c r="R33" s="230">
        <v>11.955674049823521</v>
      </c>
      <c r="S33" s="230">
        <v>10.387620977777781</v>
      </c>
      <c r="T33" s="230">
        <v>9.3488588800000016</v>
      </c>
      <c r="U33" s="230">
        <v>8.4989626181818192</v>
      </c>
      <c r="V33" s="230">
        <v>7.790715733333335</v>
      </c>
    </row>
    <row r="35" spans="3:22" ht="14.7" thickBot="1" x14ac:dyDescent="0.6">
      <c r="E35" s="226" t="s">
        <v>175</v>
      </c>
      <c r="F35" s="227"/>
      <c r="G35" s="227"/>
      <c r="H35" s="227"/>
      <c r="I35" s="227"/>
      <c r="J35" s="227"/>
      <c r="K35" s="227"/>
      <c r="L35" s="227"/>
      <c r="M35" s="227"/>
      <c r="N35" s="227"/>
      <c r="O35" s="227"/>
    </row>
    <row r="36" spans="3:22" ht="4.2" customHeight="1" thickTop="1" x14ac:dyDescent="0.55000000000000004"/>
    <row r="37" spans="3:22" ht="14.7" thickBot="1" x14ac:dyDescent="0.6">
      <c r="E37" s="210" t="s">
        <v>172</v>
      </c>
      <c r="F37" s="211"/>
      <c r="G37" s="211"/>
      <c r="H37" s="211"/>
      <c r="I37" s="211"/>
      <c r="J37" s="211"/>
      <c r="K37" s="211"/>
      <c r="L37" s="211"/>
      <c r="M37" s="211"/>
      <c r="N37" s="211"/>
      <c r="O37" s="211"/>
    </row>
    <row r="38" spans="3:22" ht="14.7" thickTop="1" x14ac:dyDescent="0.55000000000000004">
      <c r="D38" s="208">
        <f>F10</f>
        <v>0.25037855201379178</v>
      </c>
      <c r="E38" s="207">
        <v>1.954</v>
      </c>
      <c r="F38" s="207">
        <v>2.2000000000000002</v>
      </c>
      <c r="G38" s="207">
        <v>2.5</v>
      </c>
      <c r="H38" s="207">
        <v>2.6</v>
      </c>
      <c r="I38" s="207">
        <v>2.8</v>
      </c>
      <c r="J38" s="207">
        <v>3</v>
      </c>
      <c r="K38" s="207">
        <v>3.2</v>
      </c>
      <c r="L38" s="207">
        <v>3.6</v>
      </c>
      <c r="M38" s="207">
        <v>4</v>
      </c>
      <c r="N38" s="207">
        <v>4.5</v>
      </c>
      <c r="O38" s="207">
        <v>5</v>
      </c>
    </row>
    <row r="39" spans="3:22" ht="17.399999999999999" customHeight="1" x14ac:dyDescent="0.55000000000000004">
      <c r="D39" s="228">
        <v>1.4</v>
      </c>
      <c r="E39" s="222">
        <f t="dataTable" ref="E39:O39" dt2D="1" dtr="1" r1="B7" r2="I14" ca="1"/>
        <v>0.25018663879804692</v>
      </c>
      <c r="F39" s="222">
        <v>0.30059144684257699</v>
      </c>
      <c r="G39" s="222">
        <v>0.35720880829744317</v>
      </c>
      <c r="H39" s="222">
        <v>0.37506886707407583</v>
      </c>
      <c r="I39" s="222">
        <v>0.40945974641175975</v>
      </c>
      <c r="J39" s="222">
        <v>0.4422495703074083</v>
      </c>
      <c r="K39" s="222">
        <v>0.47361259945615508</v>
      </c>
      <c r="L39" s="222">
        <v>0.53261886478710418</v>
      </c>
      <c r="M39" s="222">
        <v>0.5874010519681494</v>
      </c>
      <c r="N39" s="222">
        <v>0.65096362444630262</v>
      </c>
      <c r="O39" s="222">
        <v>0.7099759466664477</v>
      </c>
    </row>
    <row r="40" spans="3:22" ht="6" customHeight="1" x14ac:dyDescent="0.55000000000000004"/>
  </sheetData>
  <mergeCells count="1">
    <mergeCell ref="C29:C3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134F-2ADC-40B7-B8BC-2FAB1BEB61BC}">
  <dimension ref="A1:Q32"/>
  <sheetViews>
    <sheetView showGridLines="0" zoomScale="94" zoomScaleNormal="94" workbookViewId="0">
      <selection activeCell="O1" sqref="O1"/>
    </sheetView>
  </sheetViews>
  <sheetFormatPr baseColWidth="10" defaultRowHeight="14.4" x14ac:dyDescent="0.55000000000000004"/>
  <cols>
    <col min="1" max="1" width="19.62890625" customWidth="1"/>
    <col min="2" max="2" width="1.89453125" customWidth="1"/>
    <col min="3" max="3" width="7.5234375" customWidth="1"/>
    <col min="4" max="4" width="7.734375" customWidth="1"/>
    <col min="5" max="5" width="1.89453125" customWidth="1"/>
    <col min="6" max="6" width="12.05078125" customWidth="1"/>
    <col min="7" max="7" width="2.83984375" customWidth="1"/>
    <col min="8" max="8" width="12.05078125" customWidth="1"/>
    <col min="9" max="9" width="1.89453125" customWidth="1"/>
    <col min="10" max="10" width="12.05078125" customWidth="1"/>
    <col min="11" max="11" width="2.83984375" customWidth="1"/>
    <col min="12" max="12" width="12.05078125" customWidth="1"/>
    <col min="13" max="13" width="1.89453125" customWidth="1"/>
    <col min="14" max="14" width="12.05078125" customWidth="1"/>
    <col min="15" max="15" width="2.83984375" customWidth="1"/>
    <col min="16" max="16" width="12.05078125" customWidth="1"/>
    <col min="17" max="17" width="4" customWidth="1"/>
  </cols>
  <sheetData>
    <row r="1" spans="1:17" ht="18.600000000000001" thickBot="1" x14ac:dyDescent="0.75">
      <c r="A1" s="4" t="s">
        <v>121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</row>
    <row r="2" spans="1:17" ht="12.6" customHeight="1" thickTop="1" x14ac:dyDescent="0.6">
      <c r="A2" s="8" t="s">
        <v>158</v>
      </c>
    </row>
    <row r="3" spans="1:17" ht="16.2" customHeight="1" x14ac:dyDescent="0.7">
      <c r="A3" s="8"/>
      <c r="F3" s="232" t="s">
        <v>177</v>
      </c>
      <c r="G3" s="233"/>
      <c r="H3" s="233"/>
      <c r="J3" s="234" t="s">
        <v>178</v>
      </c>
      <c r="K3" s="235"/>
      <c r="L3" s="235"/>
      <c r="N3" s="236" t="s">
        <v>179</v>
      </c>
      <c r="O3" s="237"/>
      <c r="P3" s="237"/>
    </row>
    <row r="4" spans="1:17" ht="2.7" customHeight="1" x14ac:dyDescent="0.55000000000000004"/>
    <row r="5" spans="1:17" ht="11.4" customHeight="1" thickBot="1" x14ac:dyDescent="0.65">
      <c r="F5" s="164" t="s">
        <v>123</v>
      </c>
      <c r="G5" s="165"/>
      <c r="H5" s="165"/>
      <c r="J5" s="164" t="s">
        <v>123</v>
      </c>
      <c r="K5" s="165"/>
      <c r="L5" s="165"/>
      <c r="N5" s="164" t="s">
        <v>123</v>
      </c>
      <c r="O5" s="165"/>
      <c r="P5" s="165"/>
    </row>
    <row r="6" spans="1:17" ht="15.9" thickTop="1" x14ac:dyDescent="0.6">
      <c r="F6" s="166" t="s">
        <v>122</v>
      </c>
      <c r="G6" s="167"/>
      <c r="H6" s="166" t="s">
        <v>136</v>
      </c>
      <c r="J6" s="166" t="s">
        <v>122</v>
      </c>
      <c r="K6" s="167"/>
      <c r="L6" s="166" t="s">
        <v>136</v>
      </c>
      <c r="N6" s="166" t="s">
        <v>122</v>
      </c>
      <c r="O6" s="167"/>
      <c r="P6" s="166" t="s">
        <v>136</v>
      </c>
    </row>
    <row r="7" spans="1:17" ht="0.6" customHeight="1" x14ac:dyDescent="0.55000000000000004"/>
    <row r="8" spans="1:17" ht="12.3" customHeight="1" x14ac:dyDescent="0.6">
      <c r="A8" s="105" t="s">
        <v>181</v>
      </c>
    </row>
    <row r="9" spans="1:17" ht="14.05" customHeight="1" x14ac:dyDescent="0.55000000000000004">
      <c r="A9" s="152" t="s">
        <v>133</v>
      </c>
      <c r="B9" s="1"/>
      <c r="C9" s="1"/>
      <c r="D9" s="1"/>
      <c r="E9" s="1"/>
      <c r="F9" s="153">
        <f>F11-F10</f>
        <v>7.4537424973144422</v>
      </c>
      <c r="G9" s="154"/>
      <c r="H9" s="153">
        <f>H11-H10</f>
        <v>7.4537424973144422</v>
      </c>
      <c r="I9" s="1"/>
      <c r="J9" s="153">
        <f>J11-J10</f>
        <v>7.5</v>
      </c>
      <c r="K9" s="154"/>
      <c r="L9" s="153">
        <f>L11-L10</f>
        <v>7.5</v>
      </c>
      <c r="M9" s="1"/>
      <c r="N9" s="153">
        <f>N11-N10</f>
        <v>4.5</v>
      </c>
      <c r="O9" s="154"/>
      <c r="P9" s="153">
        <f>P11-P10</f>
        <v>4.5</v>
      </c>
    </row>
    <row r="10" spans="1:17" ht="14.05" customHeight="1" x14ac:dyDescent="0.55000000000000004">
      <c r="A10" s="152" t="s">
        <v>125</v>
      </c>
      <c r="B10" s="155"/>
      <c r="C10" s="155"/>
      <c r="D10" s="155"/>
      <c r="E10" s="155"/>
      <c r="F10" s="156">
        <v>3</v>
      </c>
      <c r="G10" s="154"/>
      <c r="H10" s="157">
        <f>F10</f>
        <v>3</v>
      </c>
      <c r="I10" s="155"/>
      <c r="J10" s="156">
        <v>2.5</v>
      </c>
      <c r="K10" s="154"/>
      <c r="L10" s="157">
        <f>J10</f>
        <v>2.5</v>
      </c>
      <c r="M10" s="155"/>
      <c r="N10" s="156">
        <v>3</v>
      </c>
      <c r="O10" s="154"/>
      <c r="P10" s="157">
        <f>N10</f>
        <v>3</v>
      </c>
    </row>
    <row r="11" spans="1:17" ht="14.05" customHeight="1" x14ac:dyDescent="0.55000000000000004">
      <c r="A11" s="152" t="s">
        <v>134</v>
      </c>
      <c r="B11" s="155"/>
      <c r="C11" s="155"/>
      <c r="D11" s="155"/>
      <c r="E11" s="155"/>
      <c r="F11" s="158">
        <f>'VC valuation (risk-adjusted)'!F22</f>
        <v>10.453742497314442</v>
      </c>
      <c r="G11" s="154"/>
      <c r="H11" s="153">
        <f>F11</f>
        <v>10.453742497314442</v>
      </c>
      <c r="I11" s="155"/>
      <c r="J11" s="158">
        <v>10</v>
      </c>
      <c r="K11" s="154"/>
      <c r="L11" s="153">
        <f>J11</f>
        <v>10</v>
      </c>
      <c r="M11" s="155"/>
      <c r="N11" s="158">
        <v>7.5</v>
      </c>
      <c r="O11" s="154"/>
      <c r="P11" s="153">
        <f>N11</f>
        <v>7.5</v>
      </c>
    </row>
    <row r="12" spans="1:17" ht="4.8" customHeight="1" x14ac:dyDescent="0.6">
      <c r="A12" s="9"/>
      <c r="G12" s="9"/>
      <c r="H12" s="100"/>
      <c r="K12" s="9"/>
      <c r="L12" s="100"/>
      <c r="O12" s="9"/>
      <c r="P12" s="100"/>
    </row>
    <row r="13" spans="1:17" ht="12" customHeight="1" x14ac:dyDescent="0.55000000000000004">
      <c r="A13" s="2" t="s">
        <v>124</v>
      </c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</row>
    <row r="14" spans="1:17" ht="14.05" customHeight="1" x14ac:dyDescent="0.55000000000000004">
      <c r="A14" s="152" t="s">
        <v>119</v>
      </c>
      <c r="B14" s="1"/>
      <c r="C14" s="1"/>
      <c r="D14" s="1"/>
      <c r="E14" s="1"/>
      <c r="F14" s="160">
        <f>F10/F11</f>
        <v>0.2869785630142217</v>
      </c>
      <c r="G14" s="154"/>
      <c r="H14" s="160">
        <f>H10/H11</f>
        <v>0.2869785630142217</v>
      </c>
      <c r="I14" s="1"/>
      <c r="J14" s="160">
        <f>J10/J11</f>
        <v>0.25</v>
      </c>
      <c r="K14" s="154"/>
      <c r="L14" s="160">
        <f>L10/L11</f>
        <v>0.25</v>
      </c>
      <c r="M14" s="1"/>
      <c r="N14" s="160">
        <f>N10/N11</f>
        <v>0.4</v>
      </c>
      <c r="O14" s="154"/>
      <c r="P14" s="160">
        <f>P10/P11</f>
        <v>0.4</v>
      </c>
    </row>
    <row r="15" spans="1:17" ht="14.05" customHeight="1" x14ac:dyDescent="0.55000000000000004">
      <c r="A15" s="152" t="s">
        <v>155</v>
      </c>
      <c r="B15" s="1"/>
      <c r="C15" s="1"/>
      <c r="D15" s="1"/>
      <c r="E15" s="1"/>
      <c r="F15" s="161">
        <f>F9/F11</f>
        <v>0.71302143698577825</v>
      </c>
      <c r="G15" s="154"/>
      <c r="H15" s="161">
        <f>H9/H11</f>
        <v>0.71302143698577825</v>
      </c>
      <c r="I15" s="1"/>
      <c r="J15" s="161">
        <f>J9/J11</f>
        <v>0.75</v>
      </c>
      <c r="K15" s="154"/>
      <c r="L15" s="161">
        <f>L9/L11</f>
        <v>0.75</v>
      </c>
      <c r="M15" s="1"/>
      <c r="N15" s="161">
        <f>N9/N11</f>
        <v>0.6</v>
      </c>
      <c r="O15" s="154"/>
      <c r="P15" s="161">
        <f>P9/P11</f>
        <v>0.6</v>
      </c>
    </row>
    <row r="16" spans="1:17" ht="14.05" customHeight="1" x14ac:dyDescent="0.55000000000000004">
      <c r="A16" s="162" t="s">
        <v>9</v>
      </c>
      <c r="B16" s="1"/>
      <c r="C16" s="1"/>
      <c r="D16" s="1"/>
      <c r="E16" s="1"/>
      <c r="F16" s="160">
        <f>SUM(F14:F15)</f>
        <v>1</v>
      </c>
      <c r="G16" s="159"/>
      <c r="H16" s="160">
        <f>SUM(H14:H15)</f>
        <v>1</v>
      </c>
      <c r="I16" s="1"/>
      <c r="J16" s="160">
        <f>SUM(J14:J15)</f>
        <v>1</v>
      </c>
      <c r="K16" s="159"/>
      <c r="L16" s="160">
        <f>SUM(L14:L15)</f>
        <v>1</v>
      </c>
      <c r="M16" s="1"/>
      <c r="N16" s="160">
        <f>SUM(N14:N15)</f>
        <v>1</v>
      </c>
      <c r="O16" s="159"/>
      <c r="P16" s="160">
        <f>SUM(P14:P15)</f>
        <v>1</v>
      </c>
    </row>
    <row r="17" spans="1:16" ht="9.9" customHeight="1" x14ac:dyDescent="0.55000000000000004">
      <c r="A17" s="152"/>
      <c r="B17" s="159"/>
      <c r="C17" s="159"/>
      <c r="D17" s="159"/>
      <c r="E17" s="159"/>
      <c r="F17" s="153"/>
      <c r="G17" s="154"/>
      <c r="H17" s="153"/>
      <c r="I17" s="159"/>
      <c r="J17" s="153"/>
      <c r="K17" s="154"/>
      <c r="L17" s="153"/>
      <c r="M17" s="159"/>
      <c r="N17" s="153"/>
      <c r="O17" s="154"/>
      <c r="P17" s="153"/>
    </row>
    <row r="18" spans="1:16" ht="13.8" customHeight="1" x14ac:dyDescent="0.6">
      <c r="A18" s="105" t="s">
        <v>182</v>
      </c>
    </row>
    <row r="19" spans="1:16" ht="14.05" customHeight="1" x14ac:dyDescent="0.55000000000000004">
      <c r="A19" s="152" t="s">
        <v>132</v>
      </c>
      <c r="B19" s="1"/>
      <c r="C19" s="1"/>
      <c r="D19" s="1"/>
      <c r="E19" s="1"/>
      <c r="F19" s="156">
        <v>1.57</v>
      </c>
      <c r="G19" s="154"/>
      <c r="H19" s="157">
        <f>F19</f>
        <v>1.57</v>
      </c>
      <c r="I19" s="1"/>
      <c r="J19" s="238">
        <v>1.75</v>
      </c>
      <c r="K19" s="154"/>
      <c r="L19" s="157">
        <f>J19</f>
        <v>1.75</v>
      </c>
      <c r="M19" s="1"/>
      <c r="N19" s="238">
        <v>0.93500000000000005</v>
      </c>
      <c r="O19" s="154"/>
      <c r="P19" s="157">
        <f>N19</f>
        <v>0.93500000000000005</v>
      </c>
    </row>
    <row r="20" spans="1:16" ht="14.05" customHeight="1" x14ac:dyDescent="0.55000000000000004">
      <c r="A20" s="152" t="s">
        <v>135</v>
      </c>
      <c r="B20" s="159"/>
      <c r="C20" s="159"/>
      <c r="D20" s="159"/>
      <c r="E20" s="159"/>
      <c r="F20" s="153">
        <f>F11+F19*0</f>
        <v>10.453742497314442</v>
      </c>
      <c r="G20" s="154"/>
      <c r="H20" s="153">
        <f>H11+H19</f>
        <v>12.023742497314442</v>
      </c>
      <c r="I20" s="159"/>
      <c r="J20" s="153">
        <f>J11+J19*0</f>
        <v>10</v>
      </c>
      <c r="K20" s="154"/>
      <c r="L20" s="153">
        <f>L11+L19</f>
        <v>11.75</v>
      </c>
      <c r="M20" s="159"/>
      <c r="N20" s="153">
        <f>N11+N19*0</f>
        <v>7.5</v>
      </c>
      <c r="O20" s="154"/>
      <c r="P20" s="153">
        <f>P11+P19</f>
        <v>8.4350000000000005</v>
      </c>
    </row>
    <row r="21" spans="1:16" ht="5.0999999999999996" customHeight="1" x14ac:dyDescent="0.6">
      <c r="A21" s="9"/>
      <c r="G21" s="9"/>
      <c r="H21" s="100"/>
      <c r="K21" s="9"/>
      <c r="L21" s="100"/>
      <c r="O21" s="9"/>
      <c r="P21" s="100"/>
    </row>
    <row r="22" spans="1:16" ht="12" customHeight="1" x14ac:dyDescent="0.55000000000000004">
      <c r="A22" s="2" t="s">
        <v>124</v>
      </c>
      <c r="B22" s="159"/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</row>
    <row r="23" spans="1:16" ht="14.05" customHeight="1" x14ac:dyDescent="0.55000000000000004">
      <c r="A23" s="152" t="s">
        <v>119</v>
      </c>
      <c r="B23" s="1"/>
      <c r="C23" s="1"/>
      <c r="D23" s="1"/>
      <c r="E23" s="1"/>
      <c r="F23" s="160">
        <f>F10/F20</f>
        <v>0.2869785630142217</v>
      </c>
      <c r="G23" s="154"/>
      <c r="H23" s="160">
        <f>H10/H20</f>
        <v>0.24950634136335367</v>
      </c>
      <c r="I23" s="1"/>
      <c r="J23" s="160">
        <f>J10/J20</f>
        <v>0.25</v>
      </c>
      <c r="K23" s="154"/>
      <c r="L23" s="160">
        <f>L10/L20</f>
        <v>0.21276595744680851</v>
      </c>
      <c r="M23" s="1"/>
      <c r="N23" s="160">
        <f>N10/N20</f>
        <v>0.4</v>
      </c>
      <c r="O23" s="154"/>
      <c r="P23" s="160">
        <f>P10/P20</f>
        <v>0.3556609365737996</v>
      </c>
    </row>
    <row r="24" spans="1:16" ht="14.05" customHeight="1" x14ac:dyDescent="0.55000000000000004">
      <c r="A24" s="152" t="s">
        <v>155</v>
      </c>
      <c r="B24" s="1"/>
      <c r="C24" s="1"/>
      <c r="D24" s="1"/>
      <c r="E24" s="1"/>
      <c r="F24" s="163">
        <f>1-F23-F25</f>
        <v>0.56283598900833565</v>
      </c>
      <c r="G24" s="154"/>
      <c r="H24" s="160">
        <f>H9/H20</f>
        <v>0.61991867332315786</v>
      </c>
      <c r="I24" s="1"/>
      <c r="J24" s="163">
        <f>1-J23-J25</f>
        <v>0.57499999999999996</v>
      </c>
      <c r="K24" s="154"/>
      <c r="L24" s="160">
        <f>L9/L20</f>
        <v>0.63829787234042556</v>
      </c>
      <c r="M24" s="1"/>
      <c r="N24" s="163">
        <f>1-N23-N25</f>
        <v>0.47533333333333327</v>
      </c>
      <c r="O24" s="154"/>
      <c r="P24" s="160">
        <f>P9/P20</f>
        <v>0.53349140486069946</v>
      </c>
    </row>
    <row r="25" spans="1:16" ht="14.05" customHeight="1" x14ac:dyDescent="0.55000000000000004">
      <c r="A25" s="152" t="s">
        <v>120</v>
      </c>
      <c r="B25" s="1"/>
      <c r="C25" s="1"/>
      <c r="D25" s="1"/>
      <c r="E25" s="1"/>
      <c r="F25" s="161">
        <f>F19/F20</f>
        <v>0.15018544797744271</v>
      </c>
      <c r="G25" s="154"/>
      <c r="H25" s="161">
        <f>H19/H20</f>
        <v>0.13057498531348843</v>
      </c>
      <c r="I25" s="1"/>
      <c r="J25" s="161">
        <f>J19/J20</f>
        <v>0.17499999999999999</v>
      </c>
      <c r="K25" s="154"/>
      <c r="L25" s="161">
        <f>L19/L20</f>
        <v>0.14893617021276595</v>
      </c>
      <c r="M25" s="1"/>
      <c r="N25" s="161">
        <f>N19/N20</f>
        <v>0.12466666666666668</v>
      </c>
      <c r="O25" s="154"/>
      <c r="P25" s="161">
        <f>P19/P20</f>
        <v>0.11084765856550088</v>
      </c>
    </row>
    <row r="26" spans="1:16" ht="14.05" customHeight="1" x14ac:dyDescent="0.55000000000000004">
      <c r="A26" s="162" t="s">
        <v>9</v>
      </c>
      <c r="B26" s="1"/>
      <c r="C26" s="1"/>
      <c r="D26" s="1"/>
      <c r="E26" s="1"/>
      <c r="F26" s="160">
        <f>SUM(F23:F25)</f>
        <v>1</v>
      </c>
      <c r="G26" s="159"/>
      <c r="H26" s="160">
        <f>SUM(H23:H25)</f>
        <v>1</v>
      </c>
      <c r="I26" s="1"/>
      <c r="J26" s="160">
        <f>SUM(J23:J25)</f>
        <v>1</v>
      </c>
      <c r="K26" s="159"/>
      <c r="L26" s="160">
        <f>SUM(L23:L25)</f>
        <v>1</v>
      </c>
      <c r="M26" s="1"/>
      <c r="N26" s="160">
        <f>SUM(N23:N25)</f>
        <v>1</v>
      </c>
      <c r="O26" s="159"/>
      <c r="P26" s="160">
        <f>SUM(P23:P25)</f>
        <v>1</v>
      </c>
    </row>
    <row r="27" spans="1:16" ht="5.4" customHeight="1" x14ac:dyDescent="0.55000000000000004"/>
    <row r="28" spans="1:16" ht="12" customHeight="1" x14ac:dyDescent="0.55000000000000004">
      <c r="A28" s="2" t="s">
        <v>154</v>
      </c>
      <c r="B28" s="159"/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</row>
    <row r="29" spans="1:16" ht="14.05" customHeight="1" x14ac:dyDescent="0.6">
      <c r="A29" s="152" t="s">
        <v>153</v>
      </c>
      <c r="F29" s="199">
        <f>F23/F14-1</f>
        <v>0</v>
      </c>
      <c r="G29" s="15"/>
      <c r="H29" s="199">
        <f>H23/H14-1</f>
        <v>-0.13057498531348843</v>
      </c>
      <c r="J29" s="199">
        <f>J23/J14-1</f>
        <v>0</v>
      </c>
      <c r="K29" s="15"/>
      <c r="L29" s="199">
        <f>L23/L14-1</f>
        <v>-0.14893617021276595</v>
      </c>
      <c r="N29" s="199">
        <f>N23/N14-1</f>
        <v>0</v>
      </c>
      <c r="O29" s="15"/>
      <c r="P29" s="199">
        <f>P23/P14-1</f>
        <v>-0.11084765856550105</v>
      </c>
    </row>
    <row r="30" spans="1:16" ht="14.05" customHeight="1" x14ac:dyDescent="0.6">
      <c r="A30" s="152" t="s">
        <v>152</v>
      </c>
      <c r="F30" s="199">
        <f>F24/F15-1</f>
        <v>-0.21063244411323101</v>
      </c>
      <c r="G30" s="15"/>
      <c r="H30" s="199">
        <f>H24/H15-1</f>
        <v>-0.13057498531348843</v>
      </c>
      <c r="J30" s="199">
        <f>J24/J15-1</f>
        <v>-0.23333333333333339</v>
      </c>
      <c r="K30" s="15"/>
      <c r="L30" s="199">
        <f>L24/L15-1</f>
        <v>-0.14893617021276595</v>
      </c>
      <c r="N30" s="199">
        <f>N24/N15-1</f>
        <v>-0.20777777777777784</v>
      </c>
      <c r="O30" s="15"/>
      <c r="P30" s="199">
        <f>P24/P15-1</f>
        <v>-0.11084765856550083</v>
      </c>
    </row>
    <row r="31" spans="1:16" ht="4.2" customHeight="1" x14ac:dyDescent="0.55000000000000004"/>
    <row r="32" spans="1:16" ht="9.9" customHeight="1" x14ac:dyDescent="0.55000000000000004"/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3528-04D4-40D0-9D69-E8E6ED29FE30}">
  <dimension ref="A1:X52"/>
  <sheetViews>
    <sheetView showGridLines="0" zoomScale="105" workbookViewId="0">
      <selection activeCell="H26" sqref="H26"/>
    </sheetView>
  </sheetViews>
  <sheetFormatPr baseColWidth="10" defaultRowHeight="14.4" x14ac:dyDescent="0.55000000000000004"/>
  <cols>
    <col min="1" max="1" width="19.62890625" customWidth="1"/>
    <col min="2" max="2" width="1.89453125" customWidth="1"/>
    <col min="3" max="3" width="7.5234375" customWidth="1"/>
    <col min="4" max="4" width="7.734375" customWidth="1"/>
    <col min="5" max="5" width="1.89453125" customWidth="1"/>
    <col min="6" max="6" width="12.05078125" customWidth="1"/>
    <col min="7" max="7" width="2.83984375" customWidth="1"/>
    <col min="8" max="8" width="12.05078125" customWidth="1"/>
    <col min="9" max="9" width="1.89453125" customWidth="1"/>
    <col min="10" max="10" width="12.05078125" customWidth="1"/>
    <col min="11" max="11" width="2.83984375" customWidth="1"/>
    <col min="12" max="12" width="12.05078125" customWidth="1"/>
    <col min="13" max="13" width="1.89453125" customWidth="1"/>
    <col min="14" max="14" width="12.05078125" customWidth="1"/>
    <col min="15" max="15" width="2.83984375" customWidth="1"/>
    <col min="16" max="16" width="12.05078125" customWidth="1"/>
    <col min="17" max="17" width="4" customWidth="1"/>
  </cols>
  <sheetData>
    <row r="1" spans="1:17" ht="18.600000000000001" thickBot="1" x14ac:dyDescent="0.75">
      <c r="A1" s="4" t="s">
        <v>121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</row>
    <row r="2" spans="1:17" ht="12.6" customHeight="1" thickTop="1" x14ac:dyDescent="0.6">
      <c r="A2" s="8" t="s">
        <v>158</v>
      </c>
    </row>
    <row r="3" spans="1:17" ht="16.2" customHeight="1" x14ac:dyDescent="0.7">
      <c r="A3" s="8"/>
      <c r="F3" s="232" t="s">
        <v>177</v>
      </c>
      <c r="G3" s="233"/>
      <c r="H3" s="233"/>
      <c r="J3" s="234" t="s">
        <v>178</v>
      </c>
      <c r="K3" s="235"/>
      <c r="L3" s="235"/>
      <c r="N3" s="236" t="s">
        <v>179</v>
      </c>
      <c r="O3" s="237"/>
      <c r="P3" s="237"/>
    </row>
    <row r="4" spans="1:17" ht="2.7" customHeight="1" x14ac:dyDescent="0.55000000000000004"/>
    <row r="5" spans="1:17" ht="11.4" customHeight="1" thickBot="1" x14ac:dyDescent="0.65">
      <c r="F5" s="164" t="s">
        <v>123</v>
      </c>
      <c r="G5" s="165"/>
      <c r="H5" s="165"/>
      <c r="J5" s="164" t="s">
        <v>123</v>
      </c>
      <c r="K5" s="165"/>
      <c r="L5" s="165"/>
      <c r="N5" s="164" t="s">
        <v>123</v>
      </c>
      <c r="O5" s="165"/>
      <c r="P5" s="165"/>
    </row>
    <row r="6" spans="1:17" ht="15.9" thickTop="1" x14ac:dyDescent="0.6">
      <c r="F6" s="166" t="s">
        <v>122</v>
      </c>
      <c r="G6" s="167"/>
      <c r="H6" s="166" t="s">
        <v>136</v>
      </c>
      <c r="J6" s="166" t="s">
        <v>122</v>
      </c>
      <c r="K6" s="167"/>
      <c r="L6" s="166" t="s">
        <v>136</v>
      </c>
      <c r="N6" s="166" t="s">
        <v>122</v>
      </c>
      <c r="O6" s="167"/>
      <c r="P6" s="166" t="s">
        <v>136</v>
      </c>
    </row>
    <row r="7" spans="1:17" ht="0.6" customHeight="1" x14ac:dyDescent="0.55000000000000004"/>
    <row r="8" spans="1:17" ht="12.3" customHeight="1" x14ac:dyDescent="0.6">
      <c r="A8" s="105" t="s">
        <v>181</v>
      </c>
    </row>
    <row r="9" spans="1:17" ht="14.05" customHeight="1" x14ac:dyDescent="0.55000000000000004">
      <c r="A9" s="152" t="s">
        <v>133</v>
      </c>
      <c r="B9" s="1"/>
      <c r="C9" s="1"/>
      <c r="D9" s="1"/>
      <c r="E9" s="1"/>
      <c r="F9" s="153">
        <f>F11-F10</f>
        <v>7.7037424973144422</v>
      </c>
      <c r="G9" s="154"/>
      <c r="H9" s="153">
        <f>H11-H10</f>
        <v>7.7037424973144422</v>
      </c>
      <c r="I9" s="1"/>
      <c r="J9" s="153">
        <f>J11-J10</f>
        <v>7.5</v>
      </c>
      <c r="K9" s="154"/>
      <c r="L9" s="153">
        <f>L11-L10</f>
        <v>7.5</v>
      </c>
      <c r="M9" s="1"/>
      <c r="N9" s="153">
        <f>N11-N10</f>
        <v>4.5</v>
      </c>
      <c r="O9" s="154"/>
      <c r="P9" s="153">
        <f>P11-P10</f>
        <v>4.5</v>
      </c>
    </row>
    <row r="10" spans="1:17" ht="14.05" customHeight="1" x14ac:dyDescent="0.55000000000000004">
      <c r="A10" s="152" t="s">
        <v>125</v>
      </c>
      <c r="B10" s="155"/>
      <c r="C10" s="155"/>
      <c r="D10" s="155"/>
      <c r="E10" s="155"/>
      <c r="F10" s="238">
        <f>-'DPV valuation (sensitivity)'!F6</f>
        <v>2.75</v>
      </c>
      <c r="G10" s="154"/>
      <c r="H10" s="157">
        <f>F10</f>
        <v>2.75</v>
      </c>
      <c r="I10" s="155"/>
      <c r="J10" s="156">
        <v>2.5</v>
      </c>
      <c r="K10" s="154"/>
      <c r="L10" s="157">
        <f>J10</f>
        <v>2.5</v>
      </c>
      <c r="M10" s="155"/>
      <c r="N10" s="156">
        <v>3</v>
      </c>
      <c r="O10" s="154"/>
      <c r="P10" s="157">
        <f>N10</f>
        <v>3</v>
      </c>
    </row>
    <row r="11" spans="1:17" ht="14.05" customHeight="1" x14ac:dyDescent="0.55000000000000004">
      <c r="A11" s="152" t="s">
        <v>134</v>
      </c>
      <c r="B11" s="155"/>
      <c r="C11" s="155"/>
      <c r="D11" s="155"/>
      <c r="E11" s="155"/>
      <c r="F11" s="158">
        <f>'VC valuation (risk-adjusted)'!F22</f>
        <v>10.453742497314442</v>
      </c>
      <c r="G11" s="154"/>
      <c r="H11" s="153">
        <f>F11</f>
        <v>10.453742497314442</v>
      </c>
      <c r="I11" s="155"/>
      <c r="J11" s="158">
        <v>10</v>
      </c>
      <c r="K11" s="154"/>
      <c r="L11" s="153">
        <f>J11</f>
        <v>10</v>
      </c>
      <c r="M11" s="155"/>
      <c r="N11" s="158">
        <v>7.5</v>
      </c>
      <c r="O11" s="154"/>
      <c r="P11" s="153">
        <f>N11</f>
        <v>7.5</v>
      </c>
    </row>
    <row r="12" spans="1:17" ht="4.8" customHeight="1" x14ac:dyDescent="0.6">
      <c r="A12" s="9"/>
      <c r="G12" s="9"/>
      <c r="H12" s="100"/>
      <c r="K12" s="9"/>
      <c r="L12" s="100"/>
      <c r="O12" s="9"/>
      <c r="P12" s="100"/>
    </row>
    <row r="13" spans="1:17" ht="12" customHeight="1" x14ac:dyDescent="0.55000000000000004">
      <c r="A13" s="2" t="s">
        <v>124</v>
      </c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</row>
    <row r="14" spans="1:17" ht="14.05" customHeight="1" x14ac:dyDescent="0.55000000000000004">
      <c r="A14" s="152" t="s">
        <v>119</v>
      </c>
      <c r="B14" s="1"/>
      <c r="C14" s="1"/>
      <c r="D14" s="1"/>
      <c r="E14" s="1"/>
      <c r="F14" s="160">
        <f>F10/F11</f>
        <v>0.26306368276303654</v>
      </c>
      <c r="G14" s="154"/>
      <c r="H14" s="160">
        <f>H10/H11</f>
        <v>0.26306368276303654</v>
      </c>
      <c r="I14" s="1"/>
      <c r="J14" s="160">
        <f>J10/J11</f>
        <v>0.25</v>
      </c>
      <c r="K14" s="154"/>
      <c r="L14" s="160">
        <f>L10/L11</f>
        <v>0.25</v>
      </c>
      <c r="M14" s="1"/>
      <c r="N14" s="160">
        <f>N10/N11</f>
        <v>0.4</v>
      </c>
      <c r="O14" s="154"/>
      <c r="P14" s="160">
        <f>P10/P11</f>
        <v>0.4</v>
      </c>
    </row>
    <row r="15" spans="1:17" ht="14.05" customHeight="1" x14ac:dyDescent="0.55000000000000004">
      <c r="A15" s="152" t="s">
        <v>155</v>
      </c>
      <c r="B15" s="1"/>
      <c r="C15" s="1"/>
      <c r="D15" s="1"/>
      <c r="E15" s="1"/>
      <c r="F15" s="161">
        <f>F9/F11</f>
        <v>0.7369363172369634</v>
      </c>
      <c r="G15" s="154"/>
      <c r="H15" s="161">
        <f>H9/H11</f>
        <v>0.7369363172369634</v>
      </c>
      <c r="I15" s="1"/>
      <c r="J15" s="161">
        <f>J9/J11</f>
        <v>0.75</v>
      </c>
      <c r="K15" s="154"/>
      <c r="L15" s="161">
        <f>L9/L11</f>
        <v>0.75</v>
      </c>
      <c r="M15" s="1"/>
      <c r="N15" s="161">
        <f>N9/N11</f>
        <v>0.6</v>
      </c>
      <c r="O15" s="154"/>
      <c r="P15" s="161">
        <f>P9/P11</f>
        <v>0.6</v>
      </c>
    </row>
    <row r="16" spans="1:17" ht="14.05" customHeight="1" x14ac:dyDescent="0.55000000000000004">
      <c r="A16" s="162" t="s">
        <v>9</v>
      </c>
      <c r="B16" s="1"/>
      <c r="C16" s="1"/>
      <c r="D16" s="1"/>
      <c r="E16" s="1"/>
      <c r="F16" s="160">
        <f>SUM(F14:F15)</f>
        <v>1</v>
      </c>
      <c r="G16" s="159"/>
      <c r="H16" s="160">
        <f>SUM(H14:H15)</f>
        <v>1</v>
      </c>
      <c r="I16" s="1"/>
      <c r="J16" s="160">
        <f>SUM(J14:J15)</f>
        <v>1</v>
      </c>
      <c r="K16" s="159"/>
      <c r="L16" s="160">
        <f>SUM(L14:L15)</f>
        <v>1</v>
      </c>
      <c r="M16" s="1"/>
      <c r="N16" s="160">
        <f>SUM(N14:N15)</f>
        <v>1</v>
      </c>
      <c r="O16" s="159"/>
      <c r="P16" s="160">
        <f>SUM(P14:P15)</f>
        <v>1</v>
      </c>
    </row>
    <row r="17" spans="1:16" ht="9.9" customHeight="1" x14ac:dyDescent="0.55000000000000004">
      <c r="A17" s="152"/>
      <c r="B17" s="159"/>
      <c r="C17" s="159"/>
      <c r="D17" s="159"/>
      <c r="E17" s="159"/>
      <c r="F17" s="153"/>
      <c r="G17" s="154"/>
      <c r="H17" s="153"/>
      <c r="I17" s="159"/>
      <c r="J17" s="153"/>
      <c r="K17" s="154"/>
      <c r="L17" s="153"/>
      <c r="M17" s="159"/>
      <c r="N17" s="153"/>
      <c r="O17" s="154"/>
      <c r="P17" s="153"/>
    </row>
    <row r="18" spans="1:16" ht="13.8" customHeight="1" x14ac:dyDescent="0.6">
      <c r="A18" s="105" t="s">
        <v>182</v>
      </c>
    </row>
    <row r="19" spans="1:16" ht="14.05" customHeight="1" x14ac:dyDescent="0.55000000000000004">
      <c r="A19" s="152" t="s">
        <v>132</v>
      </c>
      <c r="B19" s="1"/>
      <c r="C19" s="1"/>
      <c r="D19" s="1"/>
      <c r="E19" s="1"/>
      <c r="F19" s="156">
        <v>1.57</v>
      </c>
      <c r="G19" s="154"/>
      <c r="H19" s="157">
        <f>F19</f>
        <v>1.57</v>
      </c>
      <c r="I19" s="1"/>
      <c r="J19" s="238">
        <v>1.75</v>
      </c>
      <c r="K19" s="154"/>
      <c r="L19" s="157">
        <f>J19</f>
        <v>1.75</v>
      </c>
      <c r="M19" s="1"/>
      <c r="N19" s="238">
        <v>0.93500000000000005</v>
      </c>
      <c r="O19" s="154"/>
      <c r="P19" s="157">
        <f>N19</f>
        <v>0.93500000000000005</v>
      </c>
    </row>
    <row r="20" spans="1:16" ht="14.05" customHeight="1" x14ac:dyDescent="0.55000000000000004">
      <c r="A20" s="152" t="s">
        <v>135</v>
      </c>
      <c r="B20" s="159"/>
      <c r="C20" s="159"/>
      <c r="D20" s="159"/>
      <c r="E20" s="159"/>
      <c r="F20" s="153">
        <f>F11+F19*0</f>
        <v>10.453742497314442</v>
      </c>
      <c r="G20" s="154"/>
      <c r="H20" s="153">
        <f>H11+H19</f>
        <v>12.023742497314442</v>
      </c>
      <c r="I20" s="159"/>
      <c r="J20" s="153">
        <f>J11+J19*0</f>
        <v>10</v>
      </c>
      <c r="K20" s="154"/>
      <c r="L20" s="153">
        <f>L11+L19</f>
        <v>11.75</v>
      </c>
      <c r="M20" s="159"/>
      <c r="N20" s="153">
        <f>N11+N19*0</f>
        <v>7.5</v>
      </c>
      <c r="O20" s="154"/>
      <c r="P20" s="153">
        <f>P11+P19</f>
        <v>8.4350000000000005</v>
      </c>
    </row>
    <row r="21" spans="1:16" ht="5.0999999999999996" customHeight="1" x14ac:dyDescent="0.6">
      <c r="A21" s="9"/>
      <c r="G21" s="9"/>
      <c r="H21" s="100"/>
      <c r="K21" s="9"/>
      <c r="L21" s="100"/>
      <c r="O21" s="9"/>
      <c r="P21" s="100"/>
    </row>
    <row r="22" spans="1:16" ht="12" customHeight="1" x14ac:dyDescent="0.55000000000000004">
      <c r="A22" s="2" t="s">
        <v>124</v>
      </c>
      <c r="B22" s="159"/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</row>
    <row r="23" spans="1:16" ht="14.05" customHeight="1" x14ac:dyDescent="0.55000000000000004">
      <c r="A23" s="152" t="s">
        <v>119</v>
      </c>
      <c r="B23" s="1"/>
      <c r="C23" s="1"/>
      <c r="D23" s="1"/>
      <c r="E23" s="1"/>
      <c r="F23" s="160">
        <f>F10/F20</f>
        <v>0.26306368276303654</v>
      </c>
      <c r="G23" s="154"/>
      <c r="H23" s="160">
        <f>H10/H20</f>
        <v>0.22871414624974087</v>
      </c>
      <c r="I23" s="1"/>
      <c r="J23" s="160">
        <f>J10/J20</f>
        <v>0.25</v>
      </c>
      <c r="K23" s="154"/>
      <c r="L23" s="160">
        <f>L10/L20</f>
        <v>0.21276595744680851</v>
      </c>
      <c r="M23" s="1"/>
      <c r="N23" s="160">
        <f>N10/N20</f>
        <v>0.4</v>
      </c>
      <c r="O23" s="154"/>
      <c r="P23" s="160">
        <f>P10/P20</f>
        <v>0.3556609365737996</v>
      </c>
    </row>
    <row r="24" spans="1:16" ht="14.05" customHeight="1" x14ac:dyDescent="0.55000000000000004">
      <c r="A24" s="152" t="s">
        <v>155</v>
      </c>
      <c r="B24" s="1"/>
      <c r="C24" s="1"/>
      <c r="D24" s="1"/>
      <c r="E24" s="1"/>
      <c r="F24" s="163">
        <f>1-F23-F25</f>
        <v>0.58675086925952069</v>
      </c>
      <c r="G24" s="154"/>
      <c r="H24" s="160">
        <f>H9/H20</f>
        <v>0.64071086843677072</v>
      </c>
      <c r="I24" s="1"/>
      <c r="J24" s="163">
        <f>1-J23-J25</f>
        <v>0.57499999999999996</v>
      </c>
      <c r="K24" s="154"/>
      <c r="L24" s="160">
        <f>L9/L20</f>
        <v>0.63829787234042556</v>
      </c>
      <c r="M24" s="1"/>
      <c r="N24" s="163">
        <f>1-N23-N25</f>
        <v>0.47533333333333327</v>
      </c>
      <c r="O24" s="154"/>
      <c r="P24" s="160">
        <f>P9/P20</f>
        <v>0.53349140486069946</v>
      </c>
    </row>
    <row r="25" spans="1:16" ht="14.05" customHeight="1" x14ac:dyDescent="0.55000000000000004">
      <c r="A25" s="152" t="s">
        <v>120</v>
      </c>
      <c r="B25" s="1"/>
      <c r="C25" s="1"/>
      <c r="D25" s="1"/>
      <c r="E25" s="1"/>
      <c r="F25" s="161">
        <f>F19/F20</f>
        <v>0.15018544797744271</v>
      </c>
      <c r="G25" s="154"/>
      <c r="H25" s="161">
        <f>H19/H20</f>
        <v>0.13057498531348843</v>
      </c>
      <c r="I25" s="1"/>
      <c r="J25" s="161">
        <f>J19/J20</f>
        <v>0.17499999999999999</v>
      </c>
      <c r="K25" s="154"/>
      <c r="L25" s="161">
        <f>L19/L20</f>
        <v>0.14893617021276595</v>
      </c>
      <c r="M25" s="1"/>
      <c r="N25" s="161">
        <f>N19/N20</f>
        <v>0.12466666666666668</v>
      </c>
      <c r="O25" s="154"/>
      <c r="P25" s="161">
        <f>P19/P20</f>
        <v>0.11084765856550088</v>
      </c>
    </row>
    <row r="26" spans="1:16" ht="14.05" customHeight="1" x14ac:dyDescent="0.55000000000000004">
      <c r="A26" s="162" t="s">
        <v>9</v>
      </c>
      <c r="B26" s="1"/>
      <c r="C26" s="1"/>
      <c r="D26" s="1"/>
      <c r="E26" s="1"/>
      <c r="F26" s="160">
        <f>SUM(F23:F25)</f>
        <v>1</v>
      </c>
      <c r="G26" s="159"/>
      <c r="H26" s="160">
        <f>SUM(H23:H25)</f>
        <v>1</v>
      </c>
      <c r="I26" s="1"/>
      <c r="J26" s="160">
        <f>SUM(J23:J25)</f>
        <v>1</v>
      </c>
      <c r="K26" s="159"/>
      <c r="L26" s="160">
        <f>SUM(L23:L25)</f>
        <v>1</v>
      </c>
      <c r="M26" s="1"/>
      <c r="N26" s="160">
        <f>SUM(N23:N25)</f>
        <v>1</v>
      </c>
      <c r="O26" s="159"/>
      <c r="P26" s="160">
        <f>SUM(P23:P25)</f>
        <v>1</v>
      </c>
    </row>
    <row r="27" spans="1:16" ht="5.4" customHeight="1" x14ac:dyDescent="0.55000000000000004"/>
    <row r="28" spans="1:16" ht="12" customHeight="1" x14ac:dyDescent="0.55000000000000004">
      <c r="A28" s="2" t="s">
        <v>154</v>
      </c>
      <c r="B28" s="159"/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</row>
    <row r="29" spans="1:16" ht="14.05" customHeight="1" x14ac:dyDescent="0.6">
      <c r="A29" s="152" t="s">
        <v>153</v>
      </c>
      <c r="F29" s="199">
        <f>F23/F14-1</f>
        <v>0</v>
      </c>
      <c r="G29" s="15"/>
      <c r="H29" s="199">
        <f>H23/H14-1</f>
        <v>-0.13057498531348843</v>
      </c>
      <c r="J29" s="199">
        <f>J23/J14-1</f>
        <v>0</v>
      </c>
      <c r="K29" s="15"/>
      <c r="L29" s="199">
        <f>L23/L14-1</f>
        <v>-0.14893617021276595</v>
      </c>
      <c r="N29" s="199">
        <f>N23/N14-1</f>
        <v>0</v>
      </c>
      <c r="O29" s="15"/>
      <c r="P29" s="199">
        <f>P23/P14-1</f>
        <v>-0.11084765856550105</v>
      </c>
    </row>
    <row r="30" spans="1:16" ht="14.05" customHeight="1" x14ac:dyDescent="0.6">
      <c r="A30" s="152" t="s">
        <v>152</v>
      </c>
      <c r="F30" s="199">
        <f>F24/F15-1</f>
        <v>-0.2037970506604172</v>
      </c>
      <c r="G30" s="15"/>
      <c r="H30" s="199">
        <f>H24/H15-1</f>
        <v>-0.13057498531348832</v>
      </c>
      <c r="J30" s="199">
        <f>J24/J15-1</f>
        <v>-0.23333333333333339</v>
      </c>
      <c r="K30" s="15"/>
      <c r="L30" s="199">
        <f>L24/L15-1</f>
        <v>-0.14893617021276595</v>
      </c>
      <c r="N30" s="199">
        <f>N24/N15-1</f>
        <v>-0.20777777777777784</v>
      </c>
      <c r="O30" s="15"/>
      <c r="P30" s="199">
        <f>P24/P15-1</f>
        <v>-0.11084765856550083</v>
      </c>
    </row>
    <row r="31" spans="1:16" ht="4.2" customHeight="1" x14ac:dyDescent="0.55000000000000004"/>
    <row r="32" spans="1:16" ht="9.9" customHeight="1" x14ac:dyDescent="0.55000000000000004"/>
    <row r="33" spans="18:24" x14ac:dyDescent="0.55000000000000004">
      <c r="S33" s="328"/>
      <c r="T33" s="329"/>
      <c r="U33" s="329"/>
      <c r="V33" s="329"/>
      <c r="W33" s="330"/>
    </row>
    <row r="34" spans="18:24" x14ac:dyDescent="0.55000000000000004">
      <c r="R34" s="2"/>
    </row>
    <row r="35" spans="18:24" x14ac:dyDescent="0.55000000000000004">
      <c r="R35" s="1"/>
      <c r="T35" s="153"/>
      <c r="U35" s="331"/>
    </row>
    <row r="36" spans="18:24" x14ac:dyDescent="0.55000000000000004">
      <c r="R36" s="336"/>
      <c r="T36" s="153"/>
    </row>
    <row r="37" spans="18:24" x14ac:dyDescent="0.55000000000000004">
      <c r="T37" s="153"/>
      <c r="U37" s="331"/>
    </row>
    <row r="39" spans="18:24" ht="15.6" x14ac:dyDescent="0.6">
      <c r="R39" s="105" t="s">
        <v>246</v>
      </c>
    </row>
    <row r="40" spans="18:24" x14ac:dyDescent="0.55000000000000004">
      <c r="T40" s="337" t="s">
        <v>244</v>
      </c>
      <c r="V40" s="332"/>
      <c r="W40" s="332"/>
      <c r="X40" s="333"/>
    </row>
    <row r="41" spans="18:24" x14ac:dyDescent="0.55000000000000004">
      <c r="R41" s="1" t="s">
        <v>239</v>
      </c>
      <c r="T41" s="153">
        <f>T43-T42</f>
        <v>10</v>
      </c>
    </row>
    <row r="42" spans="18:24" x14ac:dyDescent="0.55000000000000004">
      <c r="R42" s="1" t="s">
        <v>240</v>
      </c>
      <c r="T42" s="339">
        <f>T37</f>
        <v>0</v>
      </c>
    </row>
    <row r="43" spans="18:24" x14ac:dyDescent="0.55000000000000004">
      <c r="R43" s="1" t="s">
        <v>241</v>
      </c>
      <c r="T43" s="158">
        <v>10</v>
      </c>
    </row>
    <row r="44" spans="18:24" x14ac:dyDescent="0.55000000000000004">
      <c r="R44" s="1" t="s">
        <v>242</v>
      </c>
      <c r="T44" s="338">
        <f>T42/T43</f>
        <v>0</v>
      </c>
      <c r="V44" s="334"/>
      <c r="W44" s="334"/>
      <c r="X44" s="335"/>
    </row>
    <row r="46" spans="18:24" ht="15.6" x14ac:dyDescent="0.6">
      <c r="R46" s="105" t="s">
        <v>247</v>
      </c>
    </row>
    <row r="47" spans="18:24" x14ac:dyDescent="0.55000000000000004">
      <c r="T47" s="337" t="s">
        <v>244</v>
      </c>
      <c r="U47" s="337" t="s">
        <v>245</v>
      </c>
    </row>
    <row r="48" spans="18:24" x14ac:dyDescent="0.55000000000000004">
      <c r="R48" s="1" t="s">
        <v>239</v>
      </c>
      <c r="T48" s="153">
        <f>T50-T49</f>
        <v>4.5</v>
      </c>
      <c r="U48" s="153">
        <f>U50-U49</f>
        <v>28.5</v>
      </c>
    </row>
    <row r="49" spans="18:21" x14ac:dyDescent="0.55000000000000004">
      <c r="R49" s="1" t="s">
        <v>240</v>
      </c>
      <c r="T49" s="339">
        <v>1.5</v>
      </c>
      <c r="U49" s="339">
        <v>1.5</v>
      </c>
    </row>
    <row r="50" spans="18:21" x14ac:dyDescent="0.55000000000000004">
      <c r="R50" s="1" t="s">
        <v>241</v>
      </c>
      <c r="T50" s="158">
        <v>6</v>
      </c>
      <c r="U50" s="158">
        <v>30</v>
      </c>
    </row>
    <row r="51" spans="18:21" x14ac:dyDescent="0.55000000000000004">
      <c r="R51" s="1" t="s">
        <v>242</v>
      </c>
      <c r="T51" s="338">
        <f>T49/T50</f>
        <v>0.25</v>
      </c>
      <c r="U51" s="338">
        <f>U49/U50</f>
        <v>0.05</v>
      </c>
    </row>
    <row r="52" spans="18:21" x14ac:dyDescent="0.55000000000000004">
      <c r="R52" s="1" t="s">
        <v>243</v>
      </c>
      <c r="T52" s="340">
        <f>T51</f>
        <v>0.25</v>
      </c>
      <c r="U52" s="340">
        <f>T52+U51</f>
        <v>0.3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0C7E-FC1E-41E5-B213-31D88DAAE62C}">
  <dimension ref="A1:Q36"/>
  <sheetViews>
    <sheetView showGridLines="0" topLeftCell="A11" zoomScale="97" zoomScaleNormal="100" zoomScaleSheetLayoutView="85" workbookViewId="0">
      <selection activeCell="I32" sqref="I32"/>
    </sheetView>
  </sheetViews>
  <sheetFormatPr baseColWidth="10" defaultColWidth="8.68359375" defaultRowHeight="14.1" x14ac:dyDescent="0.5"/>
  <cols>
    <col min="1" max="1" width="23.83984375" style="262" customWidth="1"/>
    <col min="2" max="2" width="10.26171875" style="262" customWidth="1"/>
    <col min="3" max="3" width="26.734375" style="262" customWidth="1"/>
    <col min="4" max="4" width="11.20703125" style="262" customWidth="1"/>
    <col min="5" max="5" width="2.3125" style="262" customWidth="1"/>
    <col min="6" max="6" width="11.89453125" style="262" customWidth="1"/>
    <col min="7" max="7" width="2.3125" style="262" customWidth="1"/>
    <col min="8" max="8" width="10.578125" style="262" customWidth="1"/>
    <col min="9" max="9" width="2.3125" style="262" customWidth="1"/>
    <col min="10" max="10" width="11.9453125" style="262" customWidth="1"/>
    <col min="11" max="11" width="2.3125" style="262" customWidth="1"/>
    <col min="12" max="12" width="10.26171875" style="262" customWidth="1"/>
    <col min="13" max="13" width="2.3125" style="262" customWidth="1"/>
    <col min="14" max="14" width="57.578125" style="262" customWidth="1"/>
    <col min="15" max="15" width="5.3125" style="262" customWidth="1"/>
    <col min="16" max="16384" width="8.68359375" style="262"/>
  </cols>
  <sheetData>
    <row r="1" spans="1:16" ht="15.3" x14ac:dyDescent="0.55000000000000004">
      <c r="A1" s="239" t="s">
        <v>184</v>
      </c>
    </row>
    <row r="2" spans="1:16" ht="14.05" customHeight="1" x14ac:dyDescent="0.5"/>
    <row r="3" spans="1:16" s="266" customFormat="1" ht="14.05" customHeight="1" x14ac:dyDescent="0.5">
      <c r="A3" s="263"/>
      <c r="B3" s="264" t="s">
        <v>5</v>
      </c>
      <c r="C3" s="264"/>
      <c r="D3" s="264" t="s">
        <v>101</v>
      </c>
      <c r="E3" s="264"/>
      <c r="F3" s="264" t="s">
        <v>102</v>
      </c>
      <c r="G3" s="264"/>
      <c r="H3" s="264" t="s">
        <v>103</v>
      </c>
      <c r="I3" s="264"/>
      <c r="J3" s="264" t="s">
        <v>102</v>
      </c>
      <c r="K3" s="264"/>
      <c r="L3" s="264" t="s">
        <v>103</v>
      </c>
      <c r="M3" s="264"/>
      <c r="N3" s="264"/>
      <c r="O3" s="262"/>
      <c r="P3" s="265" t="s">
        <v>7</v>
      </c>
    </row>
    <row r="4" spans="1:16" s="266" customFormat="1" ht="14.05" customHeight="1" thickBot="1" x14ac:dyDescent="0.55000000000000004">
      <c r="A4" s="267" t="s">
        <v>98</v>
      </c>
      <c r="B4" s="267" t="s">
        <v>99</v>
      </c>
      <c r="C4" s="267" t="s">
        <v>100</v>
      </c>
      <c r="D4" s="267" t="s">
        <v>13</v>
      </c>
      <c r="E4" s="267"/>
      <c r="F4" s="267" t="s">
        <v>10</v>
      </c>
      <c r="G4" s="267"/>
      <c r="H4" s="267" t="s">
        <v>104</v>
      </c>
      <c r="I4" s="267"/>
      <c r="J4" s="267" t="s">
        <v>7</v>
      </c>
      <c r="K4" s="267"/>
      <c r="L4" s="267" t="s">
        <v>105</v>
      </c>
      <c r="M4" s="267"/>
      <c r="N4" s="267" t="s">
        <v>106</v>
      </c>
      <c r="O4" s="262"/>
      <c r="P4" s="268" t="s">
        <v>70</v>
      </c>
    </row>
    <row r="5" spans="1:16" ht="3.9" customHeight="1" thickTop="1" x14ac:dyDescent="0.5">
      <c r="A5" s="269"/>
      <c r="B5" s="270"/>
      <c r="C5" s="270"/>
      <c r="D5" s="270"/>
      <c r="E5" s="270"/>
      <c r="F5" s="270"/>
      <c r="G5" s="270"/>
      <c r="H5" s="270"/>
      <c r="I5" s="270"/>
      <c r="J5" s="270"/>
      <c r="K5" s="270"/>
      <c r="L5" s="270"/>
      <c r="M5" s="270"/>
      <c r="N5" s="270"/>
      <c r="P5" s="271"/>
    </row>
    <row r="6" spans="1:16" ht="27.3" customHeight="1" x14ac:dyDescent="0.5">
      <c r="A6" s="280" t="s">
        <v>185</v>
      </c>
      <c r="B6" s="281">
        <v>44054</v>
      </c>
      <c r="C6" s="282" t="s">
        <v>186</v>
      </c>
      <c r="D6" s="283">
        <v>66</v>
      </c>
      <c r="E6" s="286"/>
      <c r="F6" s="284">
        <v>53.9</v>
      </c>
      <c r="G6" s="286"/>
      <c r="H6" s="285">
        <f>D6/F6</f>
        <v>1.2244897959183674</v>
      </c>
      <c r="I6" s="286"/>
      <c r="J6" s="286" t="s">
        <v>209</v>
      </c>
      <c r="K6" s="286"/>
      <c r="L6" s="286" t="s">
        <v>209</v>
      </c>
      <c r="M6" s="286"/>
      <c r="N6" s="287" t="s">
        <v>211</v>
      </c>
      <c r="O6" s="288"/>
      <c r="P6" s="289"/>
    </row>
    <row r="7" spans="1:16" ht="9" customHeight="1" x14ac:dyDescent="0.5">
      <c r="A7" s="280"/>
      <c r="B7" s="281"/>
      <c r="C7" s="282"/>
      <c r="D7" s="283"/>
      <c r="E7" s="290"/>
      <c r="F7" s="284"/>
      <c r="G7" s="290"/>
      <c r="H7" s="285"/>
      <c r="I7" s="290"/>
      <c r="J7" s="284"/>
      <c r="K7" s="290"/>
      <c r="L7" s="290"/>
      <c r="M7" s="290"/>
      <c r="N7" s="287"/>
      <c r="O7" s="288"/>
      <c r="P7" s="289"/>
    </row>
    <row r="8" spans="1:16" ht="27.3" customHeight="1" x14ac:dyDescent="0.5">
      <c r="A8" s="280" t="s">
        <v>187</v>
      </c>
      <c r="B8" s="281">
        <v>43962</v>
      </c>
      <c r="C8" s="282" t="s">
        <v>199</v>
      </c>
      <c r="D8" s="283">
        <v>31</v>
      </c>
      <c r="E8" s="285"/>
      <c r="F8" s="284">
        <v>26.4</v>
      </c>
      <c r="G8" s="285"/>
      <c r="H8" s="285">
        <f>D8/F8-0.4</f>
        <v>0.77424242424242429</v>
      </c>
      <c r="I8" s="285"/>
      <c r="J8" s="284">
        <v>0.92500000000000004</v>
      </c>
      <c r="K8" s="285"/>
      <c r="L8" s="285">
        <f>D8/J8</f>
        <v>33.513513513513509</v>
      </c>
      <c r="M8" s="285"/>
      <c r="N8" s="287" t="s">
        <v>212</v>
      </c>
      <c r="O8" s="288"/>
      <c r="P8" s="291">
        <f>J8/F8</f>
        <v>3.5037878787878791E-2</v>
      </c>
    </row>
    <row r="9" spans="1:16" ht="9" customHeight="1" x14ac:dyDescent="0.5">
      <c r="A9" s="280"/>
      <c r="B9" s="281"/>
      <c r="C9" s="282"/>
      <c r="D9" s="283"/>
      <c r="E9" s="292"/>
      <c r="F9" s="284"/>
      <c r="G9" s="292"/>
      <c r="H9" s="285"/>
      <c r="I9" s="292"/>
      <c r="J9" s="284"/>
      <c r="K9" s="292"/>
      <c r="L9" s="292"/>
      <c r="M9" s="292"/>
      <c r="N9" s="287"/>
      <c r="O9" s="288"/>
      <c r="P9" s="289"/>
    </row>
    <row r="10" spans="1:16" ht="27.3" customHeight="1" x14ac:dyDescent="0.5">
      <c r="A10" s="280" t="s">
        <v>188</v>
      </c>
      <c r="B10" s="281">
        <v>43961</v>
      </c>
      <c r="C10" s="282" t="s">
        <v>200</v>
      </c>
      <c r="D10" s="283">
        <v>316</v>
      </c>
      <c r="E10" s="286"/>
      <c r="F10" s="284">
        <v>66.3</v>
      </c>
      <c r="G10" s="286"/>
      <c r="H10" s="285">
        <f>D10/F10</f>
        <v>4.7662141779788838</v>
      </c>
      <c r="I10" s="286"/>
      <c r="J10" s="286" t="s">
        <v>209</v>
      </c>
      <c r="K10" s="286"/>
      <c r="L10" s="286" t="s">
        <v>209</v>
      </c>
      <c r="M10" s="286"/>
      <c r="N10" s="287" t="s">
        <v>213</v>
      </c>
      <c r="O10" s="288"/>
      <c r="P10" s="289"/>
    </row>
    <row r="11" spans="1:16" ht="9" customHeight="1" x14ac:dyDescent="0.5">
      <c r="A11" s="280"/>
      <c r="B11" s="281"/>
      <c r="C11" s="282"/>
      <c r="D11" s="283"/>
      <c r="E11" s="284"/>
      <c r="F11" s="284"/>
      <c r="G11" s="284"/>
      <c r="H11" s="285"/>
      <c r="I11" s="284"/>
      <c r="J11" s="284"/>
      <c r="K11" s="284"/>
      <c r="L11" s="284"/>
      <c r="M11" s="284"/>
      <c r="N11" s="287"/>
      <c r="O11" s="288"/>
      <c r="P11" s="291"/>
    </row>
    <row r="12" spans="1:16" ht="27.3" customHeight="1" x14ac:dyDescent="0.5">
      <c r="A12" s="288" t="s">
        <v>189</v>
      </c>
      <c r="B12" s="281">
        <v>43900</v>
      </c>
      <c r="C12" s="282" t="s">
        <v>201</v>
      </c>
      <c r="D12" s="283">
        <v>561</v>
      </c>
      <c r="E12" s="286"/>
      <c r="F12" s="284">
        <v>888</v>
      </c>
      <c r="G12" s="286"/>
      <c r="H12" s="285">
        <f>D12/F12</f>
        <v>0.6317567567567568</v>
      </c>
      <c r="I12" s="286"/>
      <c r="J12" s="286" t="s">
        <v>209</v>
      </c>
      <c r="K12" s="286"/>
      <c r="L12" s="286" t="s">
        <v>209</v>
      </c>
      <c r="M12" s="286"/>
      <c r="N12" s="287" t="s">
        <v>214</v>
      </c>
      <c r="O12" s="288"/>
      <c r="P12" s="291"/>
    </row>
    <row r="13" spans="1:16" ht="9" customHeight="1" x14ac:dyDescent="0.5">
      <c r="A13" s="288"/>
      <c r="B13" s="281"/>
      <c r="C13" s="282"/>
      <c r="D13" s="283"/>
      <c r="E13" s="290"/>
      <c r="F13" s="284"/>
      <c r="G13" s="290"/>
      <c r="H13" s="285"/>
      <c r="I13" s="290"/>
      <c r="J13" s="284"/>
      <c r="K13" s="290"/>
      <c r="L13" s="290"/>
      <c r="M13" s="290"/>
      <c r="N13" s="287"/>
      <c r="O13" s="288"/>
      <c r="P13" s="291"/>
    </row>
    <row r="14" spans="1:16" ht="27.3" customHeight="1" x14ac:dyDescent="0.5">
      <c r="A14" s="288" t="s">
        <v>190</v>
      </c>
      <c r="B14" s="281">
        <v>43930</v>
      </c>
      <c r="C14" s="282" t="s">
        <v>202</v>
      </c>
      <c r="D14" s="283">
        <v>246</v>
      </c>
      <c r="E14" s="293"/>
      <c r="F14" s="284">
        <v>222.5</v>
      </c>
      <c r="G14" s="293"/>
      <c r="H14" s="285">
        <f>D14/F14-0.2</f>
        <v>0.90561797752808992</v>
      </c>
      <c r="I14" s="293"/>
      <c r="J14" s="284">
        <v>24.2</v>
      </c>
      <c r="K14" s="293"/>
      <c r="L14" s="293">
        <f>D14/J14</f>
        <v>10.165289256198347</v>
      </c>
      <c r="M14" s="293"/>
      <c r="N14" s="287" t="s">
        <v>215</v>
      </c>
      <c r="O14" s="288"/>
      <c r="P14" s="291">
        <f>J14/F14</f>
        <v>0.10876404494382022</v>
      </c>
    </row>
    <row r="15" spans="1:16" ht="9" customHeight="1" x14ac:dyDescent="0.5">
      <c r="A15" s="288"/>
      <c r="B15" s="281"/>
      <c r="C15" s="282"/>
      <c r="D15" s="283"/>
      <c r="E15" s="290"/>
      <c r="F15" s="284"/>
      <c r="G15" s="290"/>
      <c r="H15" s="285"/>
      <c r="I15" s="290"/>
      <c r="J15" s="284"/>
      <c r="K15" s="290"/>
      <c r="L15" s="290"/>
      <c r="M15" s="290"/>
      <c r="N15" s="287"/>
      <c r="O15" s="288"/>
      <c r="P15" s="291"/>
    </row>
    <row r="16" spans="1:16" ht="27.3" customHeight="1" x14ac:dyDescent="0.5">
      <c r="A16" s="288" t="s">
        <v>191</v>
      </c>
      <c r="B16" s="281">
        <v>44051</v>
      </c>
      <c r="C16" s="282" t="s">
        <v>203</v>
      </c>
      <c r="D16" s="283">
        <v>116.49</v>
      </c>
      <c r="E16" s="285"/>
      <c r="F16" s="284">
        <v>57.15</v>
      </c>
      <c r="G16" s="285"/>
      <c r="H16" s="285">
        <f>D16/F16+0.1</f>
        <v>2.1383202099737533</v>
      </c>
      <c r="I16" s="285"/>
      <c r="J16" s="284">
        <v>4.24</v>
      </c>
      <c r="K16" s="285"/>
      <c r="L16" s="285">
        <f>D16/J16</f>
        <v>27.474056603773583</v>
      </c>
      <c r="M16" s="285"/>
      <c r="N16" s="287" t="s">
        <v>216</v>
      </c>
      <c r="O16" s="288"/>
      <c r="P16" s="291">
        <f>J16/F16</f>
        <v>7.41907261592301E-2</v>
      </c>
    </row>
    <row r="17" spans="1:16" ht="9" customHeight="1" x14ac:dyDescent="0.5">
      <c r="A17" s="288"/>
      <c r="B17" s="281"/>
      <c r="C17" s="282"/>
      <c r="D17" s="283"/>
      <c r="E17" s="290"/>
      <c r="F17" s="284"/>
      <c r="G17" s="290"/>
      <c r="H17" s="285"/>
      <c r="I17" s="290"/>
      <c r="J17" s="284"/>
      <c r="K17" s="290"/>
      <c r="L17" s="290"/>
      <c r="M17" s="290"/>
      <c r="N17" s="287"/>
      <c r="O17" s="288"/>
      <c r="P17" s="291"/>
    </row>
    <row r="18" spans="1:16" ht="27.3" customHeight="1" x14ac:dyDescent="0.5">
      <c r="A18" s="288" t="s">
        <v>192</v>
      </c>
      <c r="B18" s="281">
        <v>43869</v>
      </c>
      <c r="C18" s="282" t="s">
        <v>202</v>
      </c>
      <c r="D18" s="283">
        <v>108</v>
      </c>
      <c r="E18" s="286"/>
      <c r="F18" s="284">
        <v>38</v>
      </c>
      <c r="G18" s="286"/>
      <c r="H18" s="285">
        <f>D18/F18</f>
        <v>2.8421052631578947</v>
      </c>
      <c r="I18" s="286"/>
      <c r="J18" s="286" t="s">
        <v>209</v>
      </c>
      <c r="K18" s="286"/>
      <c r="L18" s="286" t="s">
        <v>209</v>
      </c>
      <c r="M18" s="286"/>
      <c r="N18" s="287" t="s">
        <v>217</v>
      </c>
      <c r="O18" s="288"/>
      <c r="P18" s="291"/>
    </row>
    <row r="19" spans="1:16" ht="9" customHeight="1" x14ac:dyDescent="0.5">
      <c r="A19" s="288"/>
      <c r="B19" s="281"/>
      <c r="C19" s="282"/>
      <c r="D19" s="283"/>
      <c r="E19" s="284"/>
      <c r="F19" s="284"/>
      <c r="G19" s="284"/>
      <c r="H19" s="285"/>
      <c r="I19" s="284"/>
      <c r="J19" s="284"/>
      <c r="K19" s="284"/>
      <c r="L19" s="284"/>
      <c r="M19" s="284"/>
      <c r="N19" s="287"/>
      <c r="O19" s="288"/>
      <c r="P19" s="291"/>
    </row>
    <row r="20" spans="1:16" ht="27.3" customHeight="1" x14ac:dyDescent="0.5">
      <c r="A20" s="288" t="s">
        <v>193</v>
      </c>
      <c r="B20" s="281">
        <v>44141</v>
      </c>
      <c r="C20" s="282" t="s">
        <v>204</v>
      </c>
      <c r="D20" s="283">
        <v>450</v>
      </c>
      <c r="E20" s="286"/>
      <c r="F20" s="284">
        <v>150</v>
      </c>
      <c r="G20" s="286"/>
      <c r="H20" s="285">
        <f>D20/F20</f>
        <v>3</v>
      </c>
      <c r="I20" s="286"/>
      <c r="J20" s="286" t="s">
        <v>209</v>
      </c>
      <c r="K20" s="286"/>
      <c r="L20" s="286" t="s">
        <v>209</v>
      </c>
      <c r="M20" s="286"/>
      <c r="N20" s="287" t="s">
        <v>221</v>
      </c>
      <c r="O20" s="288"/>
      <c r="P20" s="291"/>
    </row>
    <row r="21" spans="1:16" ht="9" customHeight="1" x14ac:dyDescent="0.5">
      <c r="A21" s="288"/>
      <c r="B21" s="281"/>
      <c r="C21" s="282"/>
      <c r="D21" s="283"/>
      <c r="E21" s="284"/>
      <c r="F21" s="284"/>
      <c r="G21" s="284"/>
      <c r="H21" s="285"/>
      <c r="I21" s="284"/>
      <c r="J21" s="284"/>
      <c r="K21" s="284"/>
      <c r="L21" s="284"/>
      <c r="M21" s="284"/>
      <c r="N21" s="287"/>
      <c r="O21" s="288"/>
      <c r="P21" s="291"/>
    </row>
    <row r="22" spans="1:16" ht="27.3" customHeight="1" x14ac:dyDescent="0.5">
      <c r="A22" s="288" t="s">
        <v>194</v>
      </c>
      <c r="B22" s="281">
        <v>44080</v>
      </c>
      <c r="C22" s="282" t="s">
        <v>204</v>
      </c>
      <c r="D22" s="283">
        <v>57</v>
      </c>
      <c r="E22" s="286"/>
      <c r="F22" s="284">
        <v>15</v>
      </c>
      <c r="G22" s="286"/>
      <c r="H22" s="285">
        <f>D22/F22</f>
        <v>3.8</v>
      </c>
      <c r="I22" s="286"/>
      <c r="J22" s="286" t="s">
        <v>209</v>
      </c>
      <c r="K22" s="286"/>
      <c r="L22" s="286" t="s">
        <v>209</v>
      </c>
      <c r="M22" s="286"/>
      <c r="N22" s="287" t="s">
        <v>218</v>
      </c>
      <c r="O22" s="288"/>
      <c r="P22" s="291"/>
    </row>
    <row r="23" spans="1:16" ht="9" customHeight="1" x14ac:dyDescent="0.5">
      <c r="A23" s="288"/>
      <c r="B23" s="281"/>
      <c r="C23" s="282"/>
      <c r="D23" s="283"/>
      <c r="E23" s="284"/>
      <c r="F23" s="284"/>
      <c r="G23" s="284"/>
      <c r="H23" s="285"/>
      <c r="I23" s="284"/>
      <c r="J23" s="284"/>
      <c r="K23" s="284"/>
      <c r="L23" s="284"/>
      <c r="M23" s="284"/>
      <c r="N23" s="287"/>
      <c r="O23" s="288"/>
      <c r="P23" s="291"/>
    </row>
    <row r="24" spans="1:16" ht="27.3" customHeight="1" x14ac:dyDescent="0.5">
      <c r="A24" s="288" t="s">
        <v>195</v>
      </c>
      <c r="B24" s="281">
        <v>43988</v>
      </c>
      <c r="C24" s="282" t="s">
        <v>205</v>
      </c>
      <c r="D24" s="283">
        <v>220</v>
      </c>
      <c r="E24" s="286"/>
      <c r="F24" s="284">
        <v>109</v>
      </c>
      <c r="G24" s="286"/>
      <c r="H24" s="285">
        <f>D24/F24</f>
        <v>2.0183486238532109</v>
      </c>
      <c r="I24" s="286"/>
      <c r="J24" s="286" t="s">
        <v>209</v>
      </c>
      <c r="K24" s="286"/>
      <c r="L24" s="286" t="s">
        <v>209</v>
      </c>
      <c r="M24" s="286"/>
      <c r="N24" s="287" t="s">
        <v>219</v>
      </c>
      <c r="O24" s="288"/>
      <c r="P24" s="291"/>
    </row>
    <row r="25" spans="1:16" ht="9" customHeight="1" x14ac:dyDescent="0.5">
      <c r="A25" s="288"/>
      <c r="B25" s="281"/>
      <c r="C25" s="282"/>
      <c r="D25" s="283"/>
      <c r="E25" s="290"/>
      <c r="F25" s="284"/>
      <c r="G25" s="290"/>
      <c r="H25" s="285"/>
      <c r="I25" s="290"/>
      <c r="J25" s="284"/>
      <c r="K25" s="290"/>
      <c r="L25" s="290"/>
      <c r="M25" s="290"/>
      <c r="N25" s="287"/>
      <c r="O25" s="288"/>
      <c r="P25" s="291"/>
    </row>
    <row r="26" spans="1:16" ht="27.3" customHeight="1" x14ac:dyDescent="0.5">
      <c r="A26" s="288" t="s">
        <v>196</v>
      </c>
      <c r="B26" s="281">
        <v>43957</v>
      </c>
      <c r="C26" s="282" t="s">
        <v>203</v>
      </c>
      <c r="D26" s="283">
        <v>27.7</v>
      </c>
      <c r="E26" s="285"/>
      <c r="F26" s="284">
        <v>25.149000000000001</v>
      </c>
      <c r="G26" s="285"/>
      <c r="H26" s="285">
        <f>D26/F26-0.1</f>
        <v>1.0014354447492941</v>
      </c>
      <c r="I26" s="285"/>
      <c r="J26" s="284">
        <v>2.4</v>
      </c>
      <c r="K26" s="285"/>
      <c r="L26" s="285">
        <f>D26/J26</f>
        <v>11.541666666666666</v>
      </c>
      <c r="M26" s="285"/>
      <c r="N26" s="287" t="s">
        <v>220</v>
      </c>
      <c r="O26" s="288"/>
      <c r="P26" s="291">
        <f>J26/F26</f>
        <v>9.5431229869974946E-2</v>
      </c>
    </row>
    <row r="27" spans="1:16" ht="9" customHeight="1" x14ac:dyDescent="0.5">
      <c r="A27" s="288"/>
      <c r="B27" s="281"/>
      <c r="C27" s="282"/>
      <c r="D27" s="283"/>
      <c r="E27" s="290"/>
      <c r="F27" s="284"/>
      <c r="G27" s="290"/>
      <c r="H27" s="285"/>
      <c r="I27" s="290"/>
      <c r="J27" s="284"/>
      <c r="K27" s="290"/>
      <c r="L27" s="290"/>
      <c r="M27" s="290"/>
      <c r="N27" s="287"/>
      <c r="O27" s="288"/>
      <c r="P27" s="291"/>
    </row>
    <row r="28" spans="1:16" ht="27.3" customHeight="1" x14ac:dyDescent="0.5">
      <c r="A28" s="280" t="s">
        <v>197</v>
      </c>
      <c r="B28" s="281">
        <v>44139</v>
      </c>
      <c r="C28" s="282" t="s">
        <v>206</v>
      </c>
      <c r="D28" s="283">
        <v>24.6</v>
      </c>
      <c r="E28" s="286"/>
      <c r="F28" s="284">
        <v>23.5</v>
      </c>
      <c r="G28" s="286"/>
      <c r="H28" s="285">
        <f>D28/F28</f>
        <v>1.0468085106382978</v>
      </c>
      <c r="I28" s="286"/>
      <c r="J28" s="286" t="s">
        <v>209</v>
      </c>
      <c r="K28" s="286"/>
      <c r="L28" s="286" t="s">
        <v>209</v>
      </c>
      <c r="M28" s="286"/>
      <c r="N28" s="287" t="s">
        <v>222</v>
      </c>
      <c r="O28" s="288"/>
      <c r="P28" s="291"/>
    </row>
    <row r="29" spans="1:16" ht="9" customHeight="1" x14ac:dyDescent="0.5">
      <c r="A29" s="280"/>
      <c r="B29" s="281"/>
      <c r="C29" s="282"/>
      <c r="D29" s="283"/>
      <c r="E29" s="282"/>
      <c r="F29" s="284"/>
      <c r="G29" s="282"/>
      <c r="H29" s="285"/>
      <c r="I29" s="282"/>
      <c r="J29" s="284"/>
      <c r="K29" s="282"/>
      <c r="L29" s="282"/>
      <c r="M29" s="282"/>
      <c r="N29" s="287"/>
      <c r="O29" s="288"/>
      <c r="P29" s="288"/>
    </row>
    <row r="30" spans="1:16" ht="27.3" customHeight="1" x14ac:dyDescent="0.5">
      <c r="A30" s="280" t="s">
        <v>198</v>
      </c>
      <c r="B30" s="281">
        <v>44105</v>
      </c>
      <c r="C30" s="282" t="s">
        <v>202</v>
      </c>
      <c r="D30" s="283">
        <v>182</v>
      </c>
      <c r="E30" s="285"/>
      <c r="F30" s="284">
        <v>128.30000000000001</v>
      </c>
      <c r="G30" s="285"/>
      <c r="H30" s="285">
        <f>D30/F30</f>
        <v>1.4185502727981292</v>
      </c>
      <c r="I30" s="285"/>
      <c r="J30" s="284">
        <v>3.5</v>
      </c>
      <c r="K30" s="285"/>
      <c r="L30" s="285">
        <f>D30/J30-0.1</f>
        <v>51.9</v>
      </c>
      <c r="M30" s="285"/>
      <c r="N30" s="294" t="s">
        <v>223</v>
      </c>
      <c r="O30" s="288"/>
      <c r="P30" s="291">
        <f>J30/F30</f>
        <v>2.7279812938425563E-2</v>
      </c>
    </row>
    <row r="31" spans="1:16" ht="8.4" customHeight="1" x14ac:dyDescent="0.5">
      <c r="A31" s="270"/>
      <c r="B31" s="273"/>
      <c r="C31" s="272"/>
      <c r="D31" s="272"/>
      <c r="E31" s="272"/>
      <c r="F31" s="272"/>
      <c r="G31" s="272"/>
      <c r="H31" s="272"/>
      <c r="I31" s="272"/>
      <c r="J31" s="272"/>
      <c r="K31" s="272"/>
      <c r="L31" s="272"/>
      <c r="M31" s="272"/>
      <c r="N31" s="272"/>
    </row>
    <row r="32" spans="1:16" x14ac:dyDescent="0.5">
      <c r="A32" s="270"/>
      <c r="B32" s="273"/>
      <c r="C32" s="272"/>
      <c r="D32" s="272"/>
      <c r="E32" s="276"/>
      <c r="F32" s="272"/>
      <c r="G32" s="276"/>
      <c r="H32" s="276" t="s">
        <v>208</v>
      </c>
      <c r="I32" s="276"/>
      <c r="J32" s="272"/>
      <c r="K32" s="276"/>
      <c r="L32" s="276" t="s">
        <v>208</v>
      </c>
      <c r="M32" s="276"/>
      <c r="N32" s="272"/>
    </row>
    <row r="33" spans="1:17" x14ac:dyDescent="0.5">
      <c r="A33" s="270"/>
      <c r="B33" s="273"/>
      <c r="C33" s="272"/>
      <c r="D33" s="272"/>
      <c r="E33" s="277"/>
      <c r="F33" s="272"/>
      <c r="G33" s="277"/>
      <c r="H33" s="277">
        <f>MEDIAN(H6:H30)</f>
        <v>1.4185502727981292</v>
      </c>
      <c r="I33" s="272" t="s">
        <v>207</v>
      </c>
      <c r="K33" s="277"/>
      <c r="L33" s="277">
        <f>MEDIAN(L6:L30)</f>
        <v>27.474056603773583</v>
      </c>
      <c r="M33" s="272" t="s">
        <v>207</v>
      </c>
      <c r="P33" s="278">
        <f>MEDIAN(P6:P30)</f>
        <v>7.41907261592301E-2</v>
      </c>
      <c r="Q33" s="262" t="s">
        <v>15</v>
      </c>
    </row>
    <row r="34" spans="1:17" ht="11.1" customHeight="1" thickBot="1" x14ac:dyDescent="0.55000000000000004">
      <c r="A34" s="275"/>
      <c r="B34" s="275"/>
      <c r="C34" s="275"/>
      <c r="D34" s="275"/>
      <c r="E34" s="275"/>
      <c r="F34" s="275"/>
      <c r="G34" s="275"/>
      <c r="H34" s="275"/>
      <c r="I34" s="275"/>
      <c r="J34" s="275"/>
      <c r="K34" s="275"/>
      <c r="L34" s="275"/>
      <c r="M34" s="275"/>
      <c r="N34" s="275"/>
      <c r="P34" s="279">
        <f>AVERAGE(P6:P30)</f>
        <v>6.8140738539865922E-2</v>
      </c>
      <c r="Q34" s="262" t="s">
        <v>210</v>
      </c>
    </row>
    <row r="35" spans="1:17" ht="9.6" customHeight="1" x14ac:dyDescent="0.5"/>
    <row r="36" spans="1:17" x14ac:dyDescent="0.5">
      <c r="A36" s="274" t="s">
        <v>97</v>
      </c>
    </row>
  </sheetData>
  <pageMargins left="0.7" right="0.7" top="0.75" bottom="0.75" header="0.3" footer="0.3"/>
  <pageSetup scale="44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423D29324CE4C81F8A9ED93508B14" ma:contentTypeVersion="21" ma:contentTypeDescription="Create a new document." ma:contentTypeScope="" ma:versionID="4a1c814954c8e34a0ee0b27822380e7f">
  <xsd:schema xmlns:xsd="http://www.w3.org/2001/XMLSchema" xmlns:xs="http://www.w3.org/2001/XMLSchema" xmlns:p="http://schemas.microsoft.com/office/2006/metadata/properties" xmlns:ns2="3280b98c-2d7e-449d-b713-5a352c511315" xmlns:ns3="d314d7ef-47d2-49ec-98a2-beb62148fffe" targetNamespace="http://schemas.microsoft.com/office/2006/metadata/properties" ma:root="true" ma:fieldsID="f34bca22ad38be946af4749cd0c495c3" ns2:_="" ns3:_="">
    <xsd:import namespace="3280b98c-2d7e-449d-b713-5a352c511315"/>
    <xsd:import namespace="d314d7ef-47d2-49ec-98a2-beb62148fffe"/>
    <xsd:element name="properties">
      <xsd:complexType>
        <xsd:sequence>
          <xsd:element name="documentManagement">
            <xsd:complexType>
              <xsd:all>
                <xsd:element ref="ns2:Content_x0020_Name"/>
                <xsd:element ref="ns2:Workflow_x0020_Instance_x0020_Name" minOccurs="0"/>
                <xsd:element ref="ns2:Workflow_x0020_Instance_x0020_Name_x003a_ID" minOccurs="0"/>
                <xsd:element ref="ns2:Content_x0020_Name_x003a_ID" minOccurs="0"/>
                <xsd:element ref="ns2:Product_x0020_Type" minOccurs="0"/>
                <xsd:element ref="ns2:Content_x0020_Name_x003a_Title" minOccurs="0"/>
                <xsd:element ref="ns2:Comments" minOccurs="0"/>
                <xsd:element ref="ns2:Target_x0020_Audiences" minOccurs="0"/>
                <xsd:element ref="ns2:Faculty_x0020_Sponsor" minOccurs="0"/>
                <xsd:element ref="ns2:Reviewer" minOccurs="0"/>
                <xsd:element ref="ns2:Mode" minOccurs="0"/>
                <xsd:element ref="ns2:Content_x0020_Type" minOccurs="0"/>
                <xsd:element ref="ns3:SharedWithUser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b98c-2d7e-449d-b713-5a352c511315" elementFormDefault="qualified">
    <xsd:import namespace="http://schemas.microsoft.com/office/2006/documentManagement/types"/>
    <xsd:import namespace="http://schemas.microsoft.com/office/infopath/2007/PartnerControls"/>
    <xsd:element name="Content_x0020_Name" ma:index="8" ma:displayName="Content Name" ma:indexed="true" ma:list="{2a1dccef-5bbd-4239-9d2c-9dab3c3bdaeb}" ma:internalName="Content_x0020_Name" ma:readOnly="false" ma:showField="Title">
      <xsd:simpleType>
        <xsd:restriction base="dms:Lookup"/>
      </xsd:simpleType>
    </xsd:element>
    <xsd:element name="Workflow_x0020_Instance_x0020_Name" ma:index="9" nillable="true" ma:displayName="Workflow Instance Name" ma:list="{a3cd38c8-60df-4dc0-a0b2-c311c937c69e}" ma:internalName="Workflow_x0020_Instance_x0020_Name" ma:showField="Title">
      <xsd:simpleType>
        <xsd:restriction base="dms:Lookup"/>
      </xsd:simpleType>
    </xsd:element>
    <xsd:element name="Workflow_x0020_Instance_x0020_Name_x003a_ID" ma:index="10" nillable="true" ma:displayName="Workflow Instance Name:ID" ma:list="{a3cd38c8-60df-4dc0-a0b2-c311c937c69e}" ma:internalName="Workflow_x0020_Instance_x0020_Name_x003a_ID" ma:readOnly="true" ma:showField="ID" ma:web="d314d7ef-47d2-49ec-98a2-beb62148fffe">
      <xsd:simpleType>
        <xsd:restriction base="dms:Lookup"/>
      </xsd:simpleType>
    </xsd:element>
    <xsd:element name="Content_x0020_Name_x003a_ID" ma:index="11" nillable="true" ma:displayName="Content Name:ID" ma:list="{2a1dccef-5bbd-4239-9d2c-9dab3c3bdaeb}" ma:internalName="Content_x0020_Name_x003a_ID" ma:readOnly="true" ma:showField="ID" ma:web="d314d7ef-47d2-49ec-98a2-beb62148fffe">
      <xsd:simpleType>
        <xsd:restriction base="dms:Lookup"/>
      </xsd:simpleType>
    </xsd:element>
    <xsd:element name="Product_x0020_Type" ma:index="12" nillable="true" ma:displayName="Product Type" ma:list="{b8add45d-a9e3-4b61-9172-dff46669a501}" ma:internalName="Product_x0020_Type" ma:showField="Title">
      <xsd:simpleType>
        <xsd:restriction base="dms:Lookup"/>
      </xsd:simpleType>
    </xsd:element>
    <xsd:element name="Content_x0020_Name_x003a_Title" ma:index="13" nillable="true" ma:displayName="Content Name:Title" ma:list="{2a1dccef-5bbd-4239-9d2c-9dab3c3bdaeb}" ma:internalName="Content_x0020_Name_x003a_Title" ma:readOnly="true" ma:showField="Title0" ma:web="d314d7ef-47d2-49ec-98a2-beb62148fffe">
      <xsd:simpleType>
        <xsd:restriction base="dms:Lookup"/>
      </xsd:simpleType>
    </xsd:element>
    <xsd:element name="Comments" ma:index="14" nillable="true" ma:displayName="Comments" ma:internalName="Comments">
      <xsd:simpleType>
        <xsd:restriction base="dms:Note">
          <xsd:maxLength value="255"/>
        </xsd:restriction>
      </xsd:simpleType>
    </xsd:element>
    <xsd:element name="Target_x0020_Audiences" ma:index="15" nillable="true" ma:displayName="Target Audiences" ma:internalName="Target_x0020_Audiences">
      <xsd:simpleType>
        <xsd:restriction base="dms:Unknown"/>
      </xsd:simpleType>
    </xsd:element>
    <xsd:element name="Faculty_x0020_Sponsor" ma:index="16" nillable="true" ma:displayName="Faculty Sponsor" ma:list="UserInfo" ma:SharePointGroup="0" ma:internalName="Faculty_x0020_Sponso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7" nillable="true" ma:displayName="Reviewer" ma:list="UserInfo" ma:SharePointGroup="0" ma:internalName="Reviewe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ode" ma:index="18" nillable="true" ma:displayName="Mode" ma:internalName="Mode">
      <xsd:simpleType>
        <xsd:restriction base="dms:Text">
          <xsd:maxLength value="255"/>
        </xsd:restriction>
      </xsd:simpleType>
    </xsd:element>
    <xsd:element name="Content_x0020_Type" ma:index="20" nillable="true" ma:displayName="Content Type" ma:list="{766e563b-7587-40d5-a39c-32c550c72680}" ma:internalName="Content_x0020_Typ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4d7ef-47d2-49ec-98a2-beb62148fffe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314d7ef-47d2-49ec-98a2-beb62148fffe">2CPRT4FFDSWV-1991968691-5128</_dlc_DocId>
    <_dlc_DocIdUrl xmlns="d314d7ef-47d2-49ec-98a2-beb62148fffe">
      <Url>http://www.wmcasemgmt.com/sites/casemanagement/_layouts/15/DocIdRedir.aspx?ID=2CPRT4FFDSWV-1991968691-5128</Url>
      <Description>2CPRT4FFDSWV-1991968691-5128</Description>
    </_dlc_DocIdUrl>
    <Content_x0020_Name xmlns="3280b98c-2d7e-449d-b713-5a352c511315">17254</Content_x0020_Name>
    <Workflow_x0020_Instance_x0020_Name xmlns="3280b98c-2d7e-449d-b713-5a352c511315">5962</Workflow_x0020_Instance_x0020_Name>
    <Mode xmlns="3280b98c-2d7e-449d-b713-5a352c511315">1</Mode>
    <Product_x0020_Type xmlns="3280b98c-2d7e-449d-b713-5a352c511315" xsi:nil="true"/>
    <Target_x0020_Audiences xmlns="3280b98c-2d7e-449d-b713-5a352c511315" xsi:nil="true"/>
    <Content_x0020_Type xmlns="3280b98c-2d7e-449d-b713-5a352c511315">9</Content_x0020_Type>
    <Faculty_x0020_Sponsor xmlns="3280b98c-2d7e-449d-b713-5a352c511315">
      <UserInfo>
        <DisplayName>Bruner, Robert F.</DisplayName>
        <AccountId>279</AccountId>
        <AccountType/>
      </UserInfo>
    </Faculty_x0020_Sponsor>
    <Reviewer xmlns="3280b98c-2d7e-449d-b713-5a352c511315">
      <UserInfo>
        <DisplayName>Bruner, Robert F.</DisplayName>
        <AccountId>279</AccountId>
        <AccountType/>
      </UserInfo>
    </Reviewer>
    <Comments xmlns="3280b98c-2d7e-449d-b713-5a352c511315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7D8745-795B-4F3D-93B2-8AC3135537B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48353B9-B7A7-4189-8637-FAF79A722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b98c-2d7e-449d-b713-5a352c511315"/>
    <ds:schemaRef ds:uri="d314d7ef-47d2-49ec-98a2-beb62148ff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3AE550-6D15-4294-825A-EF90D2B18ABF}">
  <ds:schemaRefs>
    <ds:schemaRef ds:uri="http://www.w3.org/XML/1998/namespace"/>
    <ds:schemaRef ds:uri="d314d7ef-47d2-49ec-98a2-beb62148fffe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280b98c-2d7e-449d-b713-5a352c511315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23BFDE4F-CC55-4EA8-83E9-8FC5FCC7EF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2</vt:i4>
      </vt:variant>
    </vt:vector>
  </HeadingPairs>
  <TitlesOfParts>
    <vt:vector size="13" baseType="lpstr">
      <vt:lpstr>Exhibit 6</vt:lpstr>
      <vt:lpstr>DCF - Base Case (2 WACC)</vt:lpstr>
      <vt:lpstr>DCF - Base Case (1 WACC)</vt:lpstr>
      <vt:lpstr>VC Method</vt:lpstr>
      <vt:lpstr>WACC</vt:lpstr>
      <vt:lpstr>VC valuation</vt:lpstr>
      <vt:lpstr>VC valuation (risk-adjusted)</vt:lpstr>
      <vt:lpstr>DPV valuation (sensitivity)</vt:lpstr>
      <vt:lpstr>Term Sheet Analysis</vt:lpstr>
      <vt:lpstr>Term Sheet Analysis (sensitiv)</vt:lpstr>
      <vt:lpstr>M&amp;A Comps (Ex. 7)</vt:lpstr>
      <vt:lpstr>'M&amp;A Comps (Ex. 7)'!Área_de_impresión</vt:lpstr>
      <vt:lpstr>'VC Method'!Área_de_impresión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Warren E. Buffett, 2015 (SPREADSHEET TN)</dc:title>
  <dc:subject/>
  <dc:creator>Jake DuBois</dc:creator>
  <cp:keywords/>
  <dc:description/>
  <cp:lastModifiedBy>usuario</cp:lastModifiedBy>
  <cp:lastPrinted>2016-11-18T22:39:45Z</cp:lastPrinted>
  <dcterms:created xsi:type="dcterms:W3CDTF">2016-10-10T19:47:46Z</dcterms:created>
  <dcterms:modified xsi:type="dcterms:W3CDTF">2020-06-22T21:26:22Z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0x010100ACE423D29324CE4C81F8A9ED93508B14</vt:lpwstr>
  </property>
  <property fmtid="{D5CDD505-2E9C-101B-9397-08002B2CF9AE}" pid="3" name="Order">
    <vt:r8>332300</vt:r8>
  </property>
  <property fmtid="{D5CDD505-2E9C-101B-9397-08002B2CF9AE}" pid="4" name="Submitter">
    <vt:lpwstr/>
  </property>
  <property fmtid="{D5CDD505-2E9C-101B-9397-08002B2CF9AE}" pid="5" name="Submitted By">
    <vt:lpwstr>MullinL@darden.virginia.edu</vt:lpwstr>
  </property>
  <property fmtid="{D5CDD505-2E9C-101B-9397-08002B2CF9AE}" pid="6" name="Reason For Rejection">
    <vt:lpwstr/>
  </property>
  <property fmtid="{D5CDD505-2E9C-101B-9397-08002B2CF9AE}" pid="7" name="Submission Status">
    <vt:lpwstr>Accepted</vt:lpwstr>
  </property>
  <property fmtid="{D5CDD505-2E9C-101B-9397-08002B2CF9AE}" pid="8" name="Task ID">
    <vt:lpwstr>49352</vt:lpwstr>
  </property>
  <property fmtid="{D5CDD505-2E9C-101B-9397-08002B2CF9AE}" pid="9" name="Upload Mode">
    <vt:lpwstr>Email</vt:lpwstr>
  </property>
  <property fmtid="{D5CDD505-2E9C-101B-9397-08002B2CF9AE}" pid="10" name="Acceptance Task ID">
    <vt:lpwstr>49357</vt:lpwstr>
  </property>
  <property fmtid="{D5CDD505-2E9C-101B-9397-08002B2CF9AE}" pid="11" name="Email Subject">
    <vt:lpwstr>Buffett 2015 revisions</vt:lpwstr>
  </property>
  <property fmtid="{D5CDD505-2E9C-101B-9397-08002B2CF9AE}" pid="12" name="Email Time Stamp">
    <vt:filetime>2017-10-26T14:16:57Z</vt:filetime>
  </property>
  <property fmtid="{D5CDD505-2E9C-101B-9397-08002B2CF9AE}" pid="13" name="Workflow Template Name">
    <vt:lpwstr>12</vt:lpwstr>
  </property>
  <property fmtid="{D5CDD505-2E9C-101B-9397-08002B2CF9AE}" pid="14" name="_dlc_DocIdItemGuid">
    <vt:lpwstr>0e0a8888-a352-41ee-9e5f-296a2ab3e4a8</vt:lpwstr>
  </property>
  <property fmtid="{D5CDD505-2E9C-101B-9397-08002B2CF9AE}" pid="15" name="Faculty Sponsor">
    <vt:lpwstr>279;#Bruner, Robert F.</vt:lpwstr>
  </property>
  <property fmtid="{D5CDD505-2E9C-101B-9397-08002B2CF9AE}" pid="16" name="Content Type">
    <vt:lpwstr>9</vt:lpwstr>
  </property>
  <property fmtid="{D5CDD505-2E9C-101B-9397-08002B2CF9AE}" pid="17" name="Content_x0020_Type">
    <vt:lpwstr>9</vt:lpwstr>
  </property>
  <property fmtid="{D5CDD505-2E9C-101B-9397-08002B2CF9AE}" pid="18" name="Workflow_x0020_Instance_x0020_Name">
    <vt:lpwstr>5952</vt:lpwstr>
  </property>
  <property fmtid="{D5CDD505-2E9C-101B-9397-08002B2CF9AE}" pid="19" name="Product Type">
    <vt:lpwstr/>
  </property>
  <property fmtid="{D5CDD505-2E9C-101B-9397-08002B2CF9AE}" pid="20" name="Workflow Instance Name">
    <vt:lpwstr>5952</vt:lpwstr>
  </property>
  <property fmtid="{D5CDD505-2E9C-101B-9397-08002B2CF9AE}" pid="21" name="Target Audiences">
    <vt:lpwstr/>
  </property>
  <property fmtid="{D5CDD505-2E9C-101B-9397-08002B2CF9AE}" pid="22" name="Reviewer">
    <vt:lpwstr>279;#Bruner, Robert F.</vt:lpwstr>
  </property>
  <property fmtid="{D5CDD505-2E9C-101B-9397-08002B2CF9AE}" pid="23" name="Mode">
    <vt:lpwstr>1</vt:lpwstr>
  </property>
  <property fmtid="{D5CDD505-2E9C-101B-9397-08002B2CF9AE}" pid="24" name="Comments">
    <vt:lpwstr/>
  </property>
  <property fmtid="{D5CDD505-2E9C-101B-9397-08002B2CF9AE}" pid="25" name="xd_ProgID">
    <vt:lpwstr/>
  </property>
  <property fmtid="{D5CDD505-2E9C-101B-9397-08002B2CF9AE}" pid="26" name="TemplateUrl">
    <vt:lpwstr/>
  </property>
  <property fmtid="{D5CDD505-2E9C-101B-9397-08002B2CF9AE}" pid="27" name="_CopySource">
    <vt:lpwstr>http://www.wmcasemgmt.com/sites/casemanagement/Gold Library/F-1769TNX.XLSX</vt:lpwstr>
  </property>
</Properties>
</file>