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-AV\UTDT\MFIN\2022 MFIN\Curso FC\FC - TRADICIONAL\2-VC\Clase\"/>
    </mc:Choice>
  </mc:AlternateContent>
  <xr:revisionPtr revIDLastSave="0" documentId="13_ncr:1_{1CD2DDD6-64E9-4C54-A454-4B05D8B74B9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C Example" sheetId="2" r:id="rId1"/>
    <sheet name="Anti-Dilution Example (AV)" sheetId="4" r:id="rId2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0" i="4" l="1"/>
  <c r="BA30" i="4"/>
  <c r="AO36" i="4"/>
  <c r="BA27" i="4"/>
  <c r="BA29" i="4" s="1"/>
  <c r="K55" i="4"/>
  <c r="K51" i="4"/>
  <c r="K54" i="4"/>
  <c r="K37" i="4" l="1"/>
  <c r="U36" i="4"/>
  <c r="U42" i="4"/>
  <c r="K34" i="4"/>
  <c r="K50" i="4"/>
  <c r="K44" i="4"/>
  <c r="K42" i="4"/>
  <c r="K41" i="4"/>
  <c r="K38" i="4"/>
  <c r="AO56" i="4"/>
  <c r="AO55" i="4"/>
  <c r="AO53" i="4"/>
  <c r="AO52" i="4"/>
  <c r="AO49" i="4"/>
  <c r="AV24" i="4"/>
  <c r="AO48" i="4"/>
  <c r="U48" i="4"/>
  <c r="AO45" i="4"/>
  <c r="AO44" i="4"/>
  <c r="AO41" i="4"/>
  <c r="AO40" i="4"/>
  <c r="AO37" i="4"/>
  <c r="U44" i="4"/>
  <c r="U49" i="4"/>
  <c r="U56" i="4"/>
  <c r="U55" i="4"/>
  <c r="U53" i="4"/>
  <c r="U52" i="4"/>
  <c r="U40" i="4"/>
  <c r="AO42" i="4"/>
  <c r="U41" i="4"/>
  <c r="U37" i="4"/>
  <c r="AP23" i="4"/>
  <c r="AP9" i="4"/>
  <c r="AT9" i="4" s="1"/>
  <c r="AT12" i="4" s="1"/>
  <c r="AT15" i="4" s="1"/>
  <c r="AP8" i="4"/>
  <c r="AP12" i="4" l="1"/>
  <c r="AV8" i="4" s="1"/>
  <c r="AT16" i="4" l="1"/>
  <c r="AV9" i="4"/>
  <c r="AV12" i="4" s="1"/>
  <c r="AT14" i="4" l="1"/>
  <c r="AV14" i="4" s="1"/>
  <c r="AV15" i="4"/>
  <c r="AV16" i="4" l="1"/>
  <c r="F25" i="4" l="1"/>
  <c r="B24" i="4"/>
  <c r="B23" i="4"/>
  <c r="B12" i="4"/>
  <c r="F16" i="4" s="1"/>
  <c r="L9" i="4"/>
  <c r="V9" i="4" s="1"/>
  <c r="F9" i="4"/>
  <c r="L8" i="4"/>
  <c r="F30" i="4" l="1"/>
  <c r="Z25" i="4"/>
  <c r="L12" i="4"/>
  <c r="P16" i="4" s="1"/>
  <c r="P25" i="4"/>
  <c r="P30" i="4" s="1"/>
  <c r="B27" i="4"/>
  <c r="H24" i="4" s="1"/>
  <c r="L23" i="4"/>
  <c r="F12" i="4"/>
  <c r="F15" i="4" s="1"/>
  <c r="H9" i="4"/>
  <c r="F27" i="4"/>
  <c r="H8" i="4"/>
  <c r="Z9" i="4"/>
  <c r="P9" i="4"/>
  <c r="V8" i="4"/>
  <c r="X15" i="2"/>
  <c r="X14" i="2"/>
  <c r="X16" i="2"/>
  <c r="P16" i="2"/>
  <c r="P15" i="2"/>
  <c r="P14" i="2"/>
  <c r="V15" i="2"/>
  <c r="V14" i="2"/>
  <c r="N14" i="2"/>
  <c r="N16" i="2"/>
  <c r="V16" i="2"/>
  <c r="N15" i="2"/>
  <c r="F22" i="2"/>
  <c r="F21" i="2"/>
  <c r="B25" i="2"/>
  <c r="D23" i="2"/>
  <c r="F23" i="2"/>
  <c r="D22" i="2"/>
  <c r="D21" i="2"/>
  <c r="B23" i="2"/>
  <c r="B22" i="2"/>
  <c r="B21" i="2"/>
  <c r="L21" i="2"/>
  <c r="L22" i="2"/>
  <c r="N22" i="2"/>
  <c r="R22" i="2"/>
  <c r="J25" i="2"/>
  <c r="J23" i="2"/>
  <c r="J22" i="2"/>
  <c r="J21" i="2"/>
  <c r="V10" i="2"/>
  <c r="V12" i="2"/>
  <c r="R12" i="2"/>
  <c r="X8" i="2"/>
  <c r="N12" i="2"/>
  <c r="J12" i="2"/>
  <c r="P9" i="2"/>
  <c r="H12" i="2"/>
  <c r="F12" i="2"/>
  <c r="B12" i="2"/>
  <c r="N9" i="2"/>
  <c r="F8" i="2"/>
  <c r="P8" i="2"/>
  <c r="N21" i="2"/>
  <c r="R21" i="2"/>
  <c r="F25" i="2"/>
  <c r="L23" i="2"/>
  <c r="N23" i="2"/>
  <c r="R23" i="2"/>
  <c r="X10" i="2"/>
  <c r="X12" i="2"/>
  <c r="X9" i="2"/>
  <c r="P12" i="2"/>
  <c r="N25" i="2"/>
  <c r="P23" i="2"/>
  <c r="P21" i="2"/>
  <c r="P22" i="2"/>
  <c r="P25" i="2"/>
  <c r="AT25" i="4" l="1"/>
  <c r="Z12" i="4"/>
  <c r="Z15" i="4" s="1"/>
  <c r="AH24" i="4"/>
  <c r="U45" i="4"/>
  <c r="P27" i="4"/>
  <c r="H25" i="4"/>
  <c r="R9" i="4"/>
  <c r="H15" i="4"/>
  <c r="H23" i="4"/>
  <c r="F31" i="4"/>
  <c r="R8" i="4"/>
  <c r="H12" i="4"/>
  <c r="V23" i="4"/>
  <c r="F14" i="4"/>
  <c r="H14" i="4" s="1"/>
  <c r="P12" i="4"/>
  <c r="P15" i="4" s="1"/>
  <c r="R15" i="4" s="1"/>
  <c r="V12" i="4"/>
  <c r="H30" i="4" l="1"/>
  <c r="Z31" i="4"/>
  <c r="AT27" i="4"/>
  <c r="AT30" i="4"/>
  <c r="R25" i="4"/>
  <c r="H16" i="4"/>
  <c r="R12" i="4"/>
  <c r="H27" i="4"/>
  <c r="P31" i="4"/>
  <c r="AB25" i="4"/>
  <c r="F29" i="4"/>
  <c r="H29" i="4" s="1"/>
  <c r="H31" i="4" s="1"/>
  <c r="P14" i="4"/>
  <c r="R14" i="4" s="1"/>
  <c r="R16" i="4" s="1"/>
  <c r="Z16" i="4"/>
  <c r="AB9" i="4"/>
  <c r="AB8" i="4"/>
  <c r="AV25" i="4" l="1"/>
  <c r="AT31" i="4"/>
  <c r="AB24" i="4"/>
  <c r="R24" i="4"/>
  <c r="R23" i="4" s="1"/>
  <c r="R30" i="4"/>
  <c r="P29" i="4"/>
  <c r="R29" i="4" s="1"/>
  <c r="R31" i="4" s="1"/>
  <c r="Z14" i="4"/>
  <c r="AB14" i="4" s="1"/>
  <c r="AB15" i="4"/>
  <c r="AB12" i="4"/>
  <c r="K45" i="4" l="1"/>
  <c r="AT29" i="4"/>
  <c r="AV29" i="4" s="1"/>
  <c r="AV31" i="4" s="1"/>
  <c r="AV30" i="4"/>
  <c r="L27" i="4"/>
  <c r="R27" i="4"/>
  <c r="AB16" i="4"/>
  <c r="L25" i="4" l="1"/>
  <c r="N25" i="4" s="1"/>
  <c r="L24" i="4"/>
  <c r="N24" i="4"/>
  <c r="AB23" i="4"/>
  <c r="AG33" i="4" l="1"/>
  <c r="AG35" i="4" s="1"/>
  <c r="V27" i="4"/>
  <c r="X24" i="4" s="1"/>
  <c r="AB27" i="4"/>
  <c r="V25" i="4"/>
  <c r="V24" i="4"/>
  <c r="AG27" i="4" s="1"/>
  <c r="AG29" i="4" s="1"/>
  <c r="X25" i="4" l="1"/>
  <c r="AF24" i="4"/>
  <c r="AV23" i="4" l="1"/>
  <c r="Z30" i="4"/>
  <c r="Z27" i="4"/>
  <c r="AV27" i="4" l="1"/>
  <c r="AP27" i="4"/>
  <c r="AB30" i="4"/>
  <c r="Z29" i="4"/>
  <c r="AB29" i="4" s="1"/>
  <c r="AP25" i="4" l="1"/>
  <c r="AR25" i="4" s="1"/>
  <c r="AP24" i="4"/>
  <c r="AR24" i="4"/>
  <c r="AB31" i="4"/>
</calcChain>
</file>

<file path=xl/sharedStrings.xml><?xml version="1.0" encoding="utf-8"?>
<sst xmlns="http://schemas.openxmlformats.org/spreadsheetml/2006/main" count="199" uniqueCount="63">
  <si>
    <t>$ per Share</t>
  </si>
  <si>
    <t>Total $ Investment</t>
  </si>
  <si>
    <t>Founders</t>
  </si>
  <si>
    <t>Total</t>
  </si>
  <si>
    <t>% Ownership</t>
  </si>
  <si>
    <t>VC Funding Example</t>
  </si>
  <si>
    <t>Initial Founding Capitalization</t>
  </si>
  <si>
    <t>VC Fund 1</t>
  </si>
  <si>
    <t>VC Fund 2</t>
  </si>
  <si>
    <t>First Round VC Investment - Year 1</t>
  </si>
  <si>
    <t>Second Round VC Investment - Year 2</t>
  </si>
  <si>
    <t># of 
Shares</t>
  </si>
  <si>
    <t>Valuation Gain</t>
  </si>
  <si>
    <t>Pre-Money Valuation …...................................................................................................................................................................................................................</t>
  </si>
  <si>
    <t>VC Investment …...................................................................................................................................................................................................................</t>
  </si>
  <si>
    <t>Post-Money Valuation …...................................................................................................................................................................................................................</t>
  </si>
  <si>
    <t>…..................................................................................</t>
  </si>
  <si>
    <r>
      <t>- Gan</t>
    </r>
    <r>
      <rPr>
        <sz val="10"/>
        <rFont val="Calibri"/>
        <family val="2"/>
      </rPr>
      <t>ó</t>
    </r>
    <r>
      <rPr>
        <sz val="10"/>
        <rFont val="Calibri"/>
        <family val="2"/>
      </rPr>
      <t xml:space="preserve"> $1.98m round 1 + $3m en round 2</t>
    </r>
  </si>
  <si>
    <r>
      <t>- Gan</t>
    </r>
    <r>
      <rPr>
        <sz val="10"/>
        <rFont val="Calibri"/>
        <family val="2"/>
      </rPr>
      <t>ó</t>
    </r>
    <r>
      <rPr>
        <sz val="10"/>
        <rFont val="Calibri"/>
        <family val="2"/>
      </rPr>
      <t xml:space="preserve"> $1.5m en round 2</t>
    </r>
  </si>
  <si>
    <r>
      <t>- Requerir</t>
    </r>
    <r>
      <rPr>
        <sz val="10"/>
        <rFont val="Calibri"/>
        <family val="2"/>
      </rPr>
      <t>á</t>
    </r>
    <r>
      <rPr>
        <sz val="10"/>
        <rFont val="Calibri"/>
        <family val="2"/>
      </rPr>
      <t xml:space="preserve"> un exit a una valuaci</t>
    </r>
    <r>
      <rPr>
        <sz val="10"/>
        <rFont val="Calibri"/>
        <family val="2"/>
      </rPr>
      <t>ón mayor</t>
    </r>
  </si>
  <si>
    <t>Investment per Stockholder</t>
  </si>
  <si>
    <t>Stockholding Value @ End of Second Round</t>
  </si>
  <si>
    <t>Ejemplo de Fondeo Venture Capital</t>
  </si>
  <si>
    <t>RESUMEN</t>
  </si>
  <si>
    <t>Inversores</t>
  </si>
  <si>
    <t>First Round VC Investment - Series A</t>
  </si>
  <si>
    <t>Second Round VC Investment - Series B</t>
  </si>
  <si>
    <t>NO ANTI-DILUTION PROTECTION FOR SERIES A</t>
  </si>
  <si>
    <t>Inversor Serie A</t>
  </si>
  <si>
    <t>Anti-Dilution Protection Examples</t>
  </si>
  <si>
    <t>Ejemplo Fondeo - Proteccion Anti-Dilucion "Full Ratchet"</t>
  </si>
  <si>
    <t>Ejemplo Fondeo - SIN Proteccion Anti-Dilucion</t>
  </si>
  <si>
    <t>Inversor Serie B</t>
  </si>
  <si>
    <t>check</t>
  </si>
  <si>
    <t>Step 1: Calculate Weighted Average Price ("WAP") of Series A and B</t>
  </si>
  <si>
    <t>Step 2: Calculate Adjusted Series A Shares based on WAP</t>
  </si>
  <si>
    <t>Step 4: Calculate Series A Final % Ownership (Discounted to 'B' Ownership)</t>
  </si>
  <si>
    <t>% discount</t>
  </si>
  <si>
    <t>Step 2: Calculate Series A % Ownership as % of Series B Based on Investment</t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</si>
  <si>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Series A Ownership % = 'A' Investment / 'B' Investment * 'B' Ownership %</t>
    </r>
  </si>
  <si>
    <t>Step 5: Calculate Founders Final % Ownership and Total Shares Outstanding</t>
  </si>
  <si>
    <t>Step 3: Calculate Founders Final % Ownership and Total Shares Outstanding</t>
  </si>
  <si>
    <t>"Full ratchet" protection "cross-check" calculation</t>
  </si>
  <si>
    <t>Ownership of Series A and B Investors - Calculations</t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</si>
  <si>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Final Founders Ownership % = 1 - ( 'B' Ownership % + 'A' Final Ownership )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</si>
  <si>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Adjusted Total Shares = Founders Shares / Adjusted Founders Ownership %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</si>
  <si>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WAP = Series A Price * Shares + Series B Price * Shares / (Shares A + B)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</si>
  <si>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Adjusted Shares for A   =   Series A Investment / WAP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</si>
  <si>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Adjusted Shares for A   =   Series A Investment / Conversion Price ("CP")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</si>
  <si>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CP   =   Post-Money Valuation / Shares Outstanding Post Conversion</t>
    </r>
  </si>
  <si>
    <t>"FULL RATCHET" PROTECTION</t>
  </si>
  <si>
    <t>Valuacion Tenencia Seria A</t>
  </si>
  <si>
    <t>Perdida Serie A</t>
  </si>
  <si>
    <t>Perdida Serie A con Full Ratchet:</t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</si>
  <si>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Discount for 'A' Ownership = 1 - ('A' Adj. Shares / 'B' Shares )</t>
    </r>
  </si>
  <si>
    <r>
      <rPr>
        <sz val="11"/>
        <rFont val="Calibri"/>
        <family val="2"/>
        <scheme val="minor"/>
      </rPr>
      <t xml:space="preserve"> </t>
    </r>
    <r>
      <rPr>
        <u/>
        <sz val="11"/>
        <rFont val="Calibri"/>
        <family val="2"/>
        <scheme val="minor"/>
      </rPr>
      <t>Final 'A' Ownership % = 'B' Ownership % * (1 - Discount to 'B' Ownership)</t>
    </r>
  </si>
  <si>
    <t>BROAD "WEIGHTED AVERAGE" PROTECTION</t>
  </si>
  <si>
    <t>NARROW "WEIGHTED AVERAGE" PROTECTION</t>
  </si>
  <si>
    <r>
      <t>Ejemplo Fondeo - Protecci</t>
    </r>
    <r>
      <rPr>
        <b/>
        <sz val="12"/>
        <rFont val="Calibri"/>
        <family val="2"/>
      </rPr>
      <t>ón "Narrow-based Weighted Average"</t>
    </r>
  </si>
  <si>
    <r>
      <t>Ejemplo Fondeo - Protecci</t>
    </r>
    <r>
      <rPr>
        <b/>
        <sz val="12"/>
        <rFont val="Calibri"/>
        <family val="2"/>
      </rPr>
      <t>ón "Broad-based Weighted Average"</t>
    </r>
  </si>
  <si>
    <t>Perdida Serie A con Weighted Average-Narrow:</t>
  </si>
  <si>
    <t>Perdida Serie A con Weighted Average-Broad:</t>
  </si>
  <si>
    <t xml:space="preserve">% perdida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</si>
</sst>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\(&quot;$&quot;#,##0\)"/>
    <numFmt numFmtId="165" formatCode="&quot;$&quot;#,##0.00_);\(&quot;$&quot;#,##0.00\)"/>
    <numFmt numFmtId="166" formatCode="_(* #,##0.00_);_(* \(#,##0.00\);_(* &quot;-&quot;??_);_(@_)"/>
    <numFmt numFmtId="167" formatCode="0.0%"/>
    <numFmt numFmtId="168" formatCode="_(* #,##0_);_(* \(#,##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name val="Calibri"/>
      <family val="2"/>
    </font>
    <font>
      <b/>
      <i/>
      <u/>
      <sz val="11"/>
      <name val="Calibri"/>
      <family val="2"/>
      <scheme val="minor"/>
    </font>
    <font>
      <sz val="10.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top"/>
    </xf>
  </cellStyleXfs>
  <cellXfs count="80">
    <xf numFmtId="0" fontId="0" fillId="0" borderId="0" xfId="0"/>
    <xf numFmtId="0" fontId="6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"/>
    </xf>
    <xf numFmtId="0" fontId="6" fillId="0" borderId="0" xfId="0" applyFont="1"/>
    <xf numFmtId="3" fontId="6" fillId="0" borderId="0" xfId="0" applyNumberFormat="1" applyFont="1" applyBorder="1" applyAlignment="1">
      <alignment vertical="top" wrapText="1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0" borderId="0" xfId="0" applyFont="1" applyBorder="1" applyAlignment="1">
      <alignment horizontal="center" vertical="top" wrapText="1"/>
    </xf>
    <xf numFmtId="165" fontId="6" fillId="0" borderId="0" xfId="0" applyNumberFormat="1" applyFont="1" applyBorder="1" applyAlignment="1">
      <alignment vertical="top" wrapText="1"/>
    </xf>
    <xf numFmtId="164" fontId="6" fillId="0" borderId="0" xfId="0" applyNumberFormat="1" applyFont="1" applyBorder="1" applyAlignment="1">
      <alignment vertical="top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Continuous" vertical="top" wrapText="1"/>
    </xf>
    <xf numFmtId="0" fontId="7" fillId="0" borderId="1" xfId="0" applyFont="1" applyBorder="1" applyAlignment="1">
      <alignment horizontal="centerContinuous" vertical="top" wrapText="1"/>
    </xf>
    <xf numFmtId="0" fontId="7" fillId="0" borderId="0" xfId="0" applyFont="1" applyBorder="1" applyAlignment="1">
      <alignment vertical="top" wrapText="1"/>
    </xf>
    <xf numFmtId="3" fontId="7" fillId="0" borderId="0" xfId="0" applyNumberFormat="1" applyFont="1" applyBorder="1" applyAlignment="1">
      <alignment vertical="top" wrapText="1"/>
    </xf>
    <xf numFmtId="164" fontId="7" fillId="0" borderId="0" xfId="0" applyNumberFormat="1" applyFont="1" applyBorder="1" applyAlignment="1">
      <alignment vertical="top" wrapText="1"/>
    </xf>
    <xf numFmtId="9" fontId="7" fillId="0" borderId="0" xfId="1" applyFont="1" applyBorder="1" applyAlignment="1">
      <alignment vertical="top" wrapText="1"/>
    </xf>
    <xf numFmtId="167" fontId="6" fillId="0" borderId="0" xfId="0" applyNumberFormat="1" applyFont="1" applyBorder="1" applyAlignment="1">
      <alignment vertical="top" wrapText="1"/>
    </xf>
    <xf numFmtId="167" fontId="7" fillId="0" borderId="0" xfId="0" applyNumberFormat="1" applyFont="1" applyBorder="1" applyAlignment="1">
      <alignment vertical="top" wrapText="1"/>
    </xf>
    <xf numFmtId="165" fontId="6" fillId="0" borderId="0" xfId="0" applyNumberFormat="1" applyFont="1"/>
    <xf numFmtId="0" fontId="9" fillId="0" borderId="0" xfId="0" applyFont="1"/>
    <xf numFmtId="3" fontId="6" fillId="0" borderId="0" xfId="0" applyNumberFormat="1" applyFont="1"/>
    <xf numFmtId="9" fontId="6" fillId="0" borderId="0" xfId="1" applyFont="1"/>
    <xf numFmtId="3" fontId="7" fillId="0" borderId="0" xfId="0" applyNumberFormat="1" applyFont="1"/>
    <xf numFmtId="165" fontId="7" fillId="0" borderId="0" xfId="0" applyNumberFormat="1" applyFont="1"/>
    <xf numFmtId="0" fontId="6" fillId="0" borderId="1" xfId="0" applyFont="1" applyBorder="1" applyAlignment="1">
      <alignment vertical="top" wrapText="1"/>
    </xf>
    <xf numFmtId="3" fontId="6" fillId="0" borderId="1" xfId="0" applyNumberFormat="1" applyFont="1" applyBorder="1" applyAlignment="1">
      <alignment vertical="top" wrapText="1"/>
    </xf>
    <xf numFmtId="164" fontId="6" fillId="0" borderId="1" xfId="0" applyNumberFormat="1" applyFont="1" applyBorder="1" applyAlignment="1">
      <alignment vertical="top" wrapText="1"/>
    </xf>
    <xf numFmtId="3" fontId="6" fillId="0" borderId="1" xfId="0" applyNumberFormat="1" applyFont="1" applyBorder="1"/>
    <xf numFmtId="9" fontId="6" fillId="0" borderId="1" xfId="1" applyFont="1" applyBorder="1"/>
    <xf numFmtId="167" fontId="6" fillId="0" borderId="1" xfId="0" applyNumberFormat="1" applyFont="1" applyBorder="1" applyAlignment="1">
      <alignment vertical="top" wrapText="1"/>
    </xf>
    <xf numFmtId="167" fontId="6" fillId="0" borderId="0" xfId="1" applyNumberFormat="1" applyFont="1" applyBorder="1" applyAlignment="1">
      <alignment vertical="top" wrapText="1"/>
    </xf>
    <xf numFmtId="167" fontId="7" fillId="0" borderId="0" xfId="1" applyNumberFormat="1" applyFont="1" applyBorder="1" applyAlignment="1">
      <alignment vertical="top" wrapText="1"/>
    </xf>
    <xf numFmtId="0" fontId="7" fillId="2" borderId="1" xfId="0" applyFont="1" applyFill="1" applyBorder="1" applyAlignment="1">
      <alignment horizontal="centerContinuous" vertical="top" wrapText="1"/>
    </xf>
    <xf numFmtId="0" fontId="7" fillId="3" borderId="1" xfId="0" applyFont="1" applyFill="1" applyBorder="1" applyAlignment="1">
      <alignment horizontal="centerContinuous" vertical="top" wrapText="1"/>
    </xf>
    <xf numFmtId="0" fontId="7" fillId="4" borderId="1" xfId="0" applyFont="1" applyFill="1" applyBorder="1" applyAlignment="1">
      <alignment horizontal="centerContinuous" vertical="top" wrapText="1"/>
    </xf>
    <xf numFmtId="0" fontId="7" fillId="0" borderId="0" xfId="0" applyFont="1" applyBorder="1" applyAlignment="1">
      <alignment vertical="top"/>
    </xf>
    <xf numFmtId="164" fontId="7" fillId="0" borderId="1" xfId="0" applyNumberFormat="1" applyFont="1" applyBorder="1" applyAlignment="1">
      <alignment vertical="top" wrapText="1"/>
    </xf>
    <xf numFmtId="0" fontId="10" fillId="0" borderId="0" xfId="0" quotePrefix="1" applyFont="1" applyAlignment="1">
      <alignment vertical="top"/>
    </xf>
    <xf numFmtId="167" fontId="7" fillId="0" borderId="1" xfId="0" applyNumberFormat="1" applyFont="1" applyBorder="1" applyAlignment="1">
      <alignment vertical="top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5" borderId="0" xfId="0" applyFont="1" applyFill="1" applyBorder="1" applyAlignment="1">
      <alignment horizontal="centerContinuous" vertical="center"/>
    </xf>
    <xf numFmtId="0" fontId="12" fillId="0" borderId="0" xfId="0" applyFont="1"/>
    <xf numFmtId="0" fontId="12" fillId="0" borderId="0" xfId="0" applyFont="1" applyAlignment="1">
      <alignment horizontal="left" indent="1"/>
    </xf>
    <xf numFmtId="0" fontId="13" fillId="0" borderId="0" xfId="0" applyFont="1"/>
    <xf numFmtId="165" fontId="12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right"/>
    </xf>
    <xf numFmtId="0" fontId="12" fillId="0" borderId="0" xfId="0" applyFont="1" applyAlignment="1"/>
    <xf numFmtId="3" fontId="12" fillId="0" borderId="0" xfId="0" applyNumberFormat="1" applyFont="1" applyBorder="1" applyAlignment="1">
      <alignment horizontal="center" wrapText="1"/>
    </xf>
    <xf numFmtId="165" fontId="16" fillId="0" borderId="0" xfId="0" applyNumberFormat="1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3" fontId="16" fillId="0" borderId="1" xfId="0" applyNumberFormat="1" applyFont="1" applyBorder="1" applyAlignment="1">
      <alignment vertical="top" wrapText="1"/>
    </xf>
    <xf numFmtId="164" fontId="16" fillId="0" borderId="1" xfId="0" applyNumberFormat="1" applyFont="1" applyBorder="1" applyAlignment="1">
      <alignment vertical="top" wrapText="1"/>
    </xf>
    <xf numFmtId="167" fontId="16" fillId="0" borderId="1" xfId="0" applyNumberFormat="1" applyFont="1" applyBorder="1" applyAlignment="1">
      <alignment vertical="top" wrapText="1"/>
    </xf>
    <xf numFmtId="165" fontId="12" fillId="0" borderId="0" xfId="0" applyNumberFormat="1" applyFont="1"/>
    <xf numFmtId="168" fontId="12" fillId="0" borderId="0" xfId="2" applyNumberFormat="1" applyFont="1"/>
    <xf numFmtId="0" fontId="5" fillId="0" borderId="0" xfId="6" applyFont="1" applyAlignment="1"/>
    <xf numFmtId="0" fontId="19" fillId="0" borderId="0" xfId="0" applyFont="1"/>
    <xf numFmtId="0" fontId="20" fillId="0" borderId="0" xfId="6" applyFont="1" applyAlignment="1"/>
    <xf numFmtId="0" fontId="21" fillId="0" borderId="0" xfId="0" applyFont="1"/>
    <xf numFmtId="166" fontId="6" fillId="0" borderId="0" xfId="2" applyFont="1"/>
    <xf numFmtId="0" fontId="18" fillId="0" borderId="0" xfId="0" applyFont="1" applyAlignment="1">
      <alignment horizontal="left"/>
    </xf>
    <xf numFmtId="166" fontId="15" fillId="0" borderId="0" xfId="2" applyFont="1" applyBorder="1"/>
    <xf numFmtId="0" fontId="15" fillId="0" borderId="0" xfId="0" applyFont="1" applyBorder="1"/>
    <xf numFmtId="3" fontId="14" fillId="0" borderId="0" xfId="0" applyNumberFormat="1" applyFont="1" applyBorder="1" applyAlignment="1">
      <alignment horizontal="left" wrapText="1"/>
    </xf>
    <xf numFmtId="167" fontId="15" fillId="0" borderId="0" xfId="1" applyNumberFormat="1" applyFont="1"/>
    <xf numFmtId="0" fontId="14" fillId="0" borderId="0" xfId="0" applyFont="1"/>
    <xf numFmtId="0" fontId="18" fillId="0" borderId="0" xfId="0" applyFont="1"/>
    <xf numFmtId="164" fontId="6" fillId="0" borderId="0" xfId="0" applyNumberFormat="1" applyFont="1"/>
    <xf numFmtId="0" fontId="9" fillId="0" borderId="0" xfId="0" applyFont="1" applyBorder="1"/>
    <xf numFmtId="0" fontId="22" fillId="0" borderId="0" xfId="6" applyFont="1" applyAlignment="1"/>
    <xf numFmtId="167" fontId="6" fillId="0" borderId="0" xfId="1" applyNumberFormat="1" applyFont="1"/>
  </cellXfs>
  <cellStyles count="7">
    <cellStyle name="Millares" xfId="2" builtinId="3"/>
    <cellStyle name="Millares 2" xfId="4" xr:uid="{A1F90782-78B2-40B1-A8EB-E3ECB8FBC5B8}"/>
    <cellStyle name="Normal" xfId="0" builtinId="0"/>
    <cellStyle name="Normal 2" xfId="3" xr:uid="{BADC465A-4365-44C2-B4E6-4F6028D72BD0}"/>
    <cellStyle name="Normal 2 3" xfId="6" xr:uid="{912B64B9-11E7-424F-A995-E5E983AD2A18}"/>
    <cellStyle name="Porcentaje" xfId="1" builtinId="5"/>
    <cellStyle name="Porcentaje 2" xfId="5" xr:uid="{1D273FD6-A7BC-4000-A37A-E62E3192E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68904</xdr:colOff>
      <xdr:row>23</xdr:row>
      <xdr:rowOff>16968</xdr:rowOff>
    </xdr:from>
    <xdr:to>
      <xdr:col>28</xdr:col>
      <xdr:colOff>20265</xdr:colOff>
      <xdr:row>24</xdr:row>
      <xdr:rowOff>25073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3299B04-103F-43FC-89ED-1FA25BFCD773}"/>
            </a:ext>
          </a:extLst>
        </xdr:cNvPr>
        <xdr:cNvSpPr/>
      </xdr:nvSpPr>
      <xdr:spPr>
        <a:xfrm>
          <a:off x="8911648" y="3831398"/>
          <a:ext cx="4452477" cy="185315"/>
        </a:xfrm>
        <a:prstGeom prst="rect">
          <a:avLst/>
        </a:prstGeom>
        <a:noFill/>
        <a:ln w="12700">
          <a:solidFill>
            <a:srgbClr val="0070C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280516</xdr:colOff>
      <xdr:row>22</xdr:row>
      <xdr:rowOff>121417</xdr:rowOff>
    </xdr:from>
    <xdr:to>
      <xdr:col>5</xdr:col>
      <xdr:colOff>669890</xdr:colOff>
      <xdr:row>24</xdr:row>
      <xdr:rowOff>8372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131E7AD-C624-42E8-B2AE-03F73E5B294B}"/>
            </a:ext>
          </a:extLst>
        </xdr:cNvPr>
        <xdr:cNvSpPr/>
      </xdr:nvSpPr>
      <xdr:spPr>
        <a:xfrm>
          <a:off x="2231236" y="3904747"/>
          <a:ext cx="896104" cy="252715"/>
        </a:xfrm>
        <a:prstGeom prst="ellipse">
          <a:avLst/>
        </a:prstGeom>
        <a:noFill/>
        <a:ln w="12700">
          <a:solidFill>
            <a:srgbClr val="FF000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3</xdr:col>
      <xdr:colOff>281940</xdr:colOff>
      <xdr:row>22</xdr:row>
      <xdr:rowOff>129540</xdr:rowOff>
    </xdr:from>
    <xdr:to>
      <xdr:col>5</xdr:col>
      <xdr:colOff>662446</xdr:colOff>
      <xdr:row>24</xdr:row>
      <xdr:rowOff>53946</xdr:rowOff>
    </xdr:to>
    <xdr:pic>
      <xdr:nvPicPr>
        <xdr:cNvPr id="7" name="Imagen 8">
          <a:extLst>
            <a:ext uri="{FF2B5EF4-FFF2-40B4-BE49-F238E27FC236}">
              <a16:creationId xmlns:a16="http://schemas.microsoft.com/office/drawing/2014/main" id="{BABA3C0C-1444-4CE1-9332-F1A6905F2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3912870"/>
          <a:ext cx="895350" cy="278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184220</xdr:colOff>
      <xdr:row>23</xdr:row>
      <xdr:rowOff>85795</xdr:rowOff>
    </xdr:from>
    <xdr:to>
      <xdr:col>3</xdr:col>
      <xdr:colOff>280516</xdr:colOff>
      <xdr:row>24</xdr:row>
      <xdr:rowOff>20934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47335A4A-F59B-4262-979B-032BFE472247}"/>
            </a:ext>
          </a:extLst>
        </xdr:cNvPr>
        <xdr:cNvCxnSpPr>
          <a:endCxn id="7" idx="1"/>
        </xdr:cNvCxnSpPr>
      </xdr:nvCxnSpPr>
      <xdr:spPr>
        <a:xfrm flipV="1">
          <a:off x="2134940" y="4052005"/>
          <a:ext cx="96296" cy="1180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64474</xdr:colOff>
      <xdr:row>23</xdr:row>
      <xdr:rowOff>16968</xdr:rowOff>
    </xdr:from>
    <xdr:to>
      <xdr:col>18</xdr:col>
      <xdr:colOff>15834</xdr:colOff>
      <xdr:row>24</xdr:row>
      <xdr:rowOff>25073</xdr:rowOff>
    </xdr:to>
    <xdr:sp macro="" textlink="">
      <xdr:nvSpPr>
        <xdr:cNvPr id="12" name="Rectángulo 11">
          <a:extLst>
            <a:ext uri="{FF2B5EF4-FFF2-40B4-BE49-F238E27FC236}">
              <a16:creationId xmlns:a16="http://schemas.microsoft.com/office/drawing/2014/main" id="{35B646B8-51A2-4F20-819A-FE7BED18A72E}"/>
            </a:ext>
          </a:extLst>
        </xdr:cNvPr>
        <xdr:cNvSpPr/>
      </xdr:nvSpPr>
      <xdr:spPr>
        <a:xfrm>
          <a:off x="4295346" y="3778235"/>
          <a:ext cx="4496779" cy="185315"/>
        </a:xfrm>
        <a:prstGeom prst="rect">
          <a:avLst/>
        </a:prstGeom>
        <a:noFill/>
        <a:ln w="12700">
          <a:solidFill>
            <a:srgbClr val="0070C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39</xdr:col>
      <xdr:colOff>68904</xdr:colOff>
      <xdr:row>23</xdr:row>
      <xdr:rowOff>16968</xdr:rowOff>
    </xdr:from>
    <xdr:to>
      <xdr:col>48</xdr:col>
      <xdr:colOff>20265</xdr:colOff>
      <xdr:row>24</xdr:row>
      <xdr:rowOff>25073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1DFCDDF-A73B-4B2B-849C-17E3217F7F85}"/>
            </a:ext>
          </a:extLst>
        </xdr:cNvPr>
        <xdr:cNvSpPr/>
      </xdr:nvSpPr>
      <xdr:spPr>
        <a:xfrm>
          <a:off x="8917982" y="3597662"/>
          <a:ext cx="4463741" cy="178850"/>
        </a:xfrm>
        <a:prstGeom prst="rect">
          <a:avLst/>
        </a:prstGeom>
        <a:noFill/>
        <a:ln w="12700">
          <a:solidFill>
            <a:srgbClr val="0070C0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showGridLines="0" workbookViewId="0">
      <selection activeCell="N12" sqref="N12"/>
    </sheetView>
  </sheetViews>
  <sheetFormatPr baseColWidth="10" defaultColWidth="8.81640625" defaultRowHeight="15.5" x14ac:dyDescent="0.35"/>
  <cols>
    <col min="1" max="1" width="10.54296875" style="3" customWidth="1"/>
    <col min="2" max="2" width="11.7265625" style="3" customWidth="1"/>
    <col min="3" max="3" width="1" style="3" customWidth="1"/>
    <col min="4" max="4" width="6.453125" style="3" customWidth="1"/>
    <col min="5" max="5" width="1" style="3" customWidth="1"/>
    <col min="6" max="6" width="12.26953125" style="3" customWidth="1"/>
    <col min="7" max="7" width="1" style="3" customWidth="1"/>
    <col min="8" max="8" width="10.7265625" style="3" customWidth="1"/>
    <col min="9" max="9" width="1.54296875" style="3" customWidth="1"/>
    <col min="10" max="10" width="11.7265625" style="3" customWidth="1"/>
    <col min="11" max="11" width="1" style="3" customWidth="1"/>
    <col min="12" max="12" width="6.453125" style="3" customWidth="1"/>
    <col min="13" max="13" width="1" style="3" customWidth="1"/>
    <col min="14" max="14" width="12.26953125" style="3" customWidth="1"/>
    <col min="15" max="15" width="1" style="3" customWidth="1"/>
    <col min="16" max="16" width="10.7265625" style="3" customWidth="1"/>
    <col min="17" max="17" width="1.54296875" style="3" customWidth="1"/>
    <col min="18" max="18" width="11.7265625" style="3" customWidth="1"/>
    <col min="19" max="19" width="1" style="3" customWidth="1"/>
    <col min="20" max="20" width="6.453125" style="3" customWidth="1"/>
    <col min="21" max="21" width="1" style="3" customWidth="1"/>
    <col min="22" max="22" width="12.26953125" style="3" customWidth="1"/>
    <col min="23" max="23" width="1" style="3" customWidth="1"/>
    <col min="24" max="24" width="10.7265625" style="3" customWidth="1"/>
    <col min="25" max="16384" width="8.81640625" style="3"/>
  </cols>
  <sheetData>
    <row r="1" spans="1:24" ht="19" thickBot="1" x14ac:dyDescent="0.5">
      <c r="A1" s="6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7.5" customHeight="1" thickTop="1" x14ac:dyDescent="0.35">
      <c r="A2" s="2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7.5" customHeight="1" thickBot="1" x14ac:dyDescent="0.4">
      <c r="A3" s="43" t="s">
        <v>22</v>
      </c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</row>
    <row r="4" spans="1:24" ht="5.65" customHeight="1" x14ac:dyDescent="0.35">
      <c r="A4" s="2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s="11" customFormat="1" ht="16" customHeight="1" thickBot="1" x14ac:dyDescent="0.4">
      <c r="A5" s="1"/>
      <c r="B5" s="37" t="s">
        <v>6</v>
      </c>
      <c r="C5" s="37"/>
      <c r="D5" s="37"/>
      <c r="E5" s="37"/>
      <c r="F5" s="37"/>
      <c r="G5" s="37"/>
      <c r="H5" s="37"/>
      <c r="I5" s="14"/>
      <c r="J5" s="36" t="s">
        <v>9</v>
      </c>
      <c r="K5" s="36"/>
      <c r="L5" s="36"/>
      <c r="M5" s="36"/>
      <c r="N5" s="36"/>
      <c r="O5" s="36"/>
      <c r="P5" s="36"/>
      <c r="Q5" s="14"/>
      <c r="R5" s="38" t="s">
        <v>10</v>
      </c>
      <c r="S5" s="38"/>
      <c r="T5" s="38"/>
      <c r="U5" s="38"/>
      <c r="V5" s="38"/>
      <c r="W5" s="38"/>
      <c r="X5" s="38"/>
    </row>
    <row r="6" spans="1:24" s="11" customFormat="1" ht="31.9" customHeight="1" thickTop="1" x14ac:dyDescent="0.35">
      <c r="A6" s="45" t="s">
        <v>24</v>
      </c>
      <c r="B6" s="13" t="s">
        <v>11</v>
      </c>
      <c r="C6" s="7"/>
      <c r="D6" s="13" t="s">
        <v>0</v>
      </c>
      <c r="E6" s="7"/>
      <c r="F6" s="13" t="s">
        <v>1</v>
      </c>
      <c r="G6" s="7"/>
      <c r="H6" s="13" t="s">
        <v>4</v>
      </c>
      <c r="I6" s="7"/>
      <c r="J6" s="13" t="s">
        <v>11</v>
      </c>
      <c r="K6" s="7"/>
      <c r="L6" s="13" t="s">
        <v>0</v>
      </c>
      <c r="M6" s="7"/>
      <c r="N6" s="13" t="s">
        <v>1</v>
      </c>
      <c r="O6" s="7"/>
      <c r="P6" s="13" t="s">
        <v>4</v>
      </c>
      <c r="Q6" s="7"/>
      <c r="R6" s="13" t="s">
        <v>11</v>
      </c>
      <c r="S6" s="7"/>
      <c r="T6" s="13" t="s">
        <v>0</v>
      </c>
      <c r="U6" s="7"/>
      <c r="V6" s="13" t="s">
        <v>1</v>
      </c>
      <c r="W6" s="7"/>
      <c r="X6" s="13" t="s">
        <v>4</v>
      </c>
    </row>
    <row r="7" spans="1:24" s="11" customFormat="1" ht="3.65" customHeight="1" x14ac:dyDescent="0.3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  <c r="Q7" s="7"/>
      <c r="R7" s="7"/>
      <c r="S7" s="7"/>
      <c r="T7" s="7"/>
      <c r="U7" s="7"/>
      <c r="V7" s="7"/>
      <c r="W7" s="7"/>
      <c r="X7" s="7"/>
    </row>
    <row r="8" spans="1:24" s="11" customFormat="1" ht="14.5" customHeight="1" x14ac:dyDescent="0.35">
      <c r="A8" s="1" t="s">
        <v>2</v>
      </c>
      <c r="B8" s="4">
        <v>2000000</v>
      </c>
      <c r="C8" s="4"/>
      <c r="D8" s="8">
        <v>0.01</v>
      </c>
      <c r="E8" s="4"/>
      <c r="F8" s="9">
        <f>B8*D8</f>
        <v>20000</v>
      </c>
      <c r="G8" s="4"/>
      <c r="H8" s="34">
        <v>1</v>
      </c>
      <c r="I8" s="4"/>
      <c r="J8" s="4">
        <v>2000000</v>
      </c>
      <c r="K8" s="4"/>
      <c r="L8" s="1"/>
      <c r="M8" s="4"/>
      <c r="N8" s="1"/>
      <c r="O8" s="4"/>
      <c r="P8" s="20">
        <f>J8/J12</f>
        <v>0.66666666666666663</v>
      </c>
      <c r="Q8" s="4"/>
      <c r="R8" s="4">
        <v>2000000</v>
      </c>
      <c r="S8" s="4"/>
      <c r="T8" s="1"/>
      <c r="U8" s="4"/>
      <c r="V8" s="1"/>
      <c r="W8" s="4"/>
      <c r="X8" s="20">
        <f>R8/R12</f>
        <v>0.44444444444444442</v>
      </c>
    </row>
    <row r="9" spans="1:24" s="11" customFormat="1" ht="14.5" customHeight="1" x14ac:dyDescent="0.35">
      <c r="A9" s="1" t="s">
        <v>7</v>
      </c>
      <c r="B9" s="1"/>
      <c r="C9" s="1"/>
      <c r="D9" s="1"/>
      <c r="E9" s="1"/>
      <c r="F9" s="1"/>
      <c r="G9" s="1"/>
      <c r="H9" s="1"/>
      <c r="I9" s="1"/>
      <c r="J9" s="4">
        <v>1000000</v>
      </c>
      <c r="K9" s="1"/>
      <c r="L9" s="8">
        <v>1</v>
      </c>
      <c r="M9" s="1"/>
      <c r="N9" s="9">
        <f>J9*L9</f>
        <v>1000000</v>
      </c>
      <c r="O9" s="1"/>
      <c r="P9" s="20">
        <f>J9/J12</f>
        <v>0.33333333333333331</v>
      </c>
      <c r="Q9" s="1"/>
      <c r="R9" s="4">
        <v>1000000</v>
      </c>
      <c r="S9" s="1"/>
      <c r="T9" s="1"/>
      <c r="U9" s="1"/>
      <c r="V9" s="1"/>
      <c r="W9" s="1"/>
      <c r="X9" s="20">
        <f>R9/R12</f>
        <v>0.22222222222222221</v>
      </c>
    </row>
    <row r="10" spans="1:24" s="11" customFormat="1" ht="14.5" customHeight="1" thickBot="1" x14ac:dyDescent="0.4">
      <c r="A10" s="1" t="s">
        <v>8</v>
      </c>
      <c r="B10" s="28"/>
      <c r="C10" s="1"/>
      <c r="D10" s="1"/>
      <c r="E10" s="1"/>
      <c r="F10" s="28"/>
      <c r="G10" s="1"/>
      <c r="H10" s="28"/>
      <c r="I10" s="1"/>
      <c r="J10" s="28"/>
      <c r="K10" s="1"/>
      <c r="L10" s="1"/>
      <c r="M10" s="1"/>
      <c r="N10" s="28"/>
      <c r="O10" s="1"/>
      <c r="P10" s="28"/>
      <c r="Q10" s="1"/>
      <c r="R10" s="29">
        <v>1500000</v>
      </c>
      <c r="S10" s="1"/>
      <c r="T10" s="8">
        <v>2.5</v>
      </c>
      <c r="U10" s="1"/>
      <c r="V10" s="30">
        <f>R10*T10</f>
        <v>3750000</v>
      </c>
      <c r="W10" s="1"/>
      <c r="X10" s="33">
        <f>R10/R12</f>
        <v>0.33333333333333331</v>
      </c>
    </row>
    <row r="11" spans="1:24" s="11" customFormat="1" ht="4.5" customHeight="1" thickTop="1" x14ac:dyDescent="0.35"/>
    <row r="12" spans="1:24" ht="14.5" customHeight="1" x14ac:dyDescent="0.35">
      <c r="A12" s="16" t="s">
        <v>3</v>
      </c>
      <c r="B12" s="17">
        <f>B8+B9+B10</f>
        <v>2000000</v>
      </c>
      <c r="C12" s="17"/>
      <c r="D12" s="16"/>
      <c r="E12" s="17"/>
      <c r="F12" s="18">
        <f>F8+F9+F10</f>
        <v>20000</v>
      </c>
      <c r="G12" s="17"/>
      <c r="H12" s="35">
        <f>H8+H9+H10</f>
        <v>1</v>
      </c>
      <c r="I12" s="17"/>
      <c r="J12" s="17">
        <f>J8+J9+J10</f>
        <v>3000000</v>
      </c>
      <c r="K12" s="17"/>
      <c r="L12" s="16"/>
      <c r="M12" s="17"/>
      <c r="N12" s="18">
        <f>N8+N9+N10</f>
        <v>1000000</v>
      </c>
      <c r="O12" s="17"/>
      <c r="P12" s="35">
        <f>P8+P9+P10</f>
        <v>1</v>
      </c>
      <c r="Q12" s="17"/>
      <c r="R12" s="17">
        <f>R8+R9+R10</f>
        <v>4500000</v>
      </c>
      <c r="S12" s="17"/>
      <c r="T12" s="16"/>
      <c r="U12" s="17"/>
      <c r="V12" s="18">
        <f>V8+V9+V10</f>
        <v>3750000</v>
      </c>
      <c r="W12" s="17"/>
      <c r="X12" s="35">
        <f>X8+X9+X10</f>
        <v>1</v>
      </c>
    </row>
    <row r="13" spans="1:24" ht="10.5" customHeight="1" x14ac:dyDescent="0.35">
      <c r="A13" s="16"/>
      <c r="B13" s="17"/>
      <c r="C13" s="17"/>
      <c r="D13" s="16"/>
      <c r="E13" s="17"/>
      <c r="F13" s="18"/>
      <c r="G13" s="17"/>
      <c r="H13" s="35"/>
      <c r="I13" s="17"/>
      <c r="J13" s="17"/>
      <c r="K13" s="17"/>
      <c r="L13" s="16"/>
      <c r="M13" s="17"/>
      <c r="N13" s="18"/>
      <c r="O13" s="17"/>
      <c r="P13" s="35"/>
      <c r="Q13" s="17"/>
      <c r="R13" s="17"/>
      <c r="S13" s="17"/>
      <c r="T13" s="16"/>
      <c r="U13" s="17"/>
      <c r="V13" s="18"/>
      <c r="W13" s="17"/>
      <c r="X13" s="35"/>
    </row>
    <row r="14" spans="1:24" ht="14.5" customHeight="1" x14ac:dyDescent="0.35">
      <c r="A14" s="39" t="s">
        <v>13</v>
      </c>
      <c r="B14" s="17"/>
      <c r="C14" s="17"/>
      <c r="D14" s="16"/>
      <c r="E14" s="17"/>
      <c r="F14" s="18"/>
      <c r="G14" s="17"/>
      <c r="H14" s="35"/>
      <c r="I14" s="17"/>
      <c r="J14" s="17"/>
      <c r="K14" s="17"/>
      <c r="L14" s="16"/>
      <c r="M14" s="17"/>
      <c r="N14" s="18">
        <f>N16-N15</f>
        <v>2000000</v>
      </c>
      <c r="O14" s="17"/>
      <c r="P14" s="21">
        <f>N14/N16</f>
        <v>0.66666666666666663</v>
      </c>
      <c r="Q14" s="39" t="s">
        <v>16</v>
      </c>
      <c r="R14" s="17"/>
      <c r="S14" s="17"/>
      <c r="T14" s="16"/>
      <c r="U14" s="17"/>
      <c r="V14" s="18">
        <f>V16-V15</f>
        <v>7500000</v>
      </c>
      <c r="W14" s="17"/>
      <c r="X14" s="21">
        <f>V14/V16</f>
        <v>0.66666666666666663</v>
      </c>
    </row>
    <row r="15" spans="1:24" ht="14.5" customHeight="1" thickBot="1" x14ac:dyDescent="0.4">
      <c r="A15" s="39" t="s">
        <v>14</v>
      </c>
      <c r="B15" s="17"/>
      <c r="C15" s="17"/>
      <c r="D15" s="16"/>
      <c r="E15" s="17"/>
      <c r="F15" s="18"/>
      <c r="G15" s="17"/>
      <c r="H15" s="35"/>
      <c r="I15" s="17"/>
      <c r="J15" s="17"/>
      <c r="K15" s="17"/>
      <c r="L15" s="16"/>
      <c r="M15" s="17"/>
      <c r="N15" s="40">
        <f>N12</f>
        <v>1000000</v>
      </c>
      <c r="O15" s="17"/>
      <c r="P15" s="42">
        <f>N15/N16</f>
        <v>0.33333333333333331</v>
      </c>
      <c r="Q15" s="39" t="s">
        <v>16</v>
      </c>
      <c r="R15" s="17"/>
      <c r="S15" s="17"/>
      <c r="T15" s="16"/>
      <c r="U15" s="17"/>
      <c r="V15" s="40">
        <f>V10</f>
        <v>3750000</v>
      </c>
      <c r="W15" s="17"/>
      <c r="X15" s="42">
        <f>V15/V16</f>
        <v>0.33333333333333331</v>
      </c>
    </row>
    <row r="16" spans="1:24" ht="14.5" customHeight="1" thickTop="1" x14ac:dyDescent="0.35">
      <c r="A16" s="39" t="s">
        <v>15</v>
      </c>
      <c r="N16" s="18">
        <f>J12*L9</f>
        <v>3000000</v>
      </c>
      <c r="P16" s="21">
        <f>P14+P15</f>
        <v>1</v>
      </c>
      <c r="Q16" s="39" t="s">
        <v>16</v>
      </c>
      <c r="V16" s="18">
        <f>R12*T10</f>
        <v>11250000</v>
      </c>
      <c r="X16" s="21">
        <f>X14+X15</f>
        <v>1</v>
      </c>
    </row>
    <row r="17" spans="1:24" ht="17.5" customHeight="1" x14ac:dyDescent="0.35">
      <c r="P17" s="20"/>
    </row>
    <row r="18" spans="1:24" ht="16" thickBot="1" x14ac:dyDescent="0.4">
      <c r="A18" s="23"/>
      <c r="B18" s="15" t="s">
        <v>20</v>
      </c>
      <c r="C18" s="15"/>
      <c r="D18" s="15"/>
      <c r="E18" s="15"/>
      <c r="F18" s="15"/>
      <c r="G18" s="15"/>
      <c r="J18" s="15" t="s">
        <v>21</v>
      </c>
      <c r="K18" s="15"/>
      <c r="L18" s="15"/>
      <c r="M18" s="15"/>
      <c r="N18" s="15"/>
      <c r="O18" s="15"/>
      <c r="P18" s="15"/>
      <c r="V18" s="18"/>
    </row>
    <row r="19" spans="1:24" ht="31.9" customHeight="1" thickTop="1" x14ac:dyDescent="0.35">
      <c r="A19" s="45" t="s">
        <v>23</v>
      </c>
      <c r="B19" s="13" t="s">
        <v>11</v>
      </c>
      <c r="C19" s="7"/>
      <c r="D19" s="13" t="s">
        <v>0</v>
      </c>
      <c r="E19" s="7"/>
      <c r="F19" s="13" t="s">
        <v>1</v>
      </c>
      <c r="J19" s="13" t="s">
        <v>11</v>
      </c>
      <c r="K19" s="7"/>
      <c r="L19" s="13" t="s">
        <v>0</v>
      </c>
      <c r="M19" s="7"/>
      <c r="N19" s="13" t="s">
        <v>1</v>
      </c>
      <c r="P19" s="13" t="s">
        <v>4</v>
      </c>
      <c r="R19" s="13" t="s">
        <v>12</v>
      </c>
    </row>
    <row r="20" spans="1:24" s="11" customFormat="1" ht="3.65" customHeight="1" x14ac:dyDescent="0.3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2"/>
      <c r="Q20" s="7"/>
      <c r="R20" s="7"/>
      <c r="S20" s="7"/>
      <c r="T20" s="7"/>
      <c r="W20" s="7"/>
      <c r="X20" s="7"/>
    </row>
    <row r="21" spans="1:24" ht="14.5" customHeight="1" x14ac:dyDescent="0.35">
      <c r="A21" s="1" t="s">
        <v>2</v>
      </c>
      <c r="B21" s="24">
        <f>B8</f>
        <v>2000000</v>
      </c>
      <c r="D21" s="22">
        <f>D8</f>
        <v>0.01</v>
      </c>
      <c r="F21" s="9">
        <f>B21*D21</f>
        <v>20000</v>
      </c>
      <c r="J21" s="24">
        <f>R8</f>
        <v>2000000</v>
      </c>
      <c r="L21" s="22">
        <f>T10</f>
        <v>2.5</v>
      </c>
      <c r="N21" s="9">
        <f>J21*L21</f>
        <v>5000000</v>
      </c>
      <c r="P21" s="25">
        <f>N21/N$25</f>
        <v>0.44444444444444442</v>
      </c>
      <c r="R21" s="9">
        <f>N21-F21</f>
        <v>4980000</v>
      </c>
      <c r="T21" s="41" t="s">
        <v>17</v>
      </c>
    </row>
    <row r="22" spans="1:24" ht="14.5" customHeight="1" x14ac:dyDescent="0.35">
      <c r="A22" s="1" t="s">
        <v>7</v>
      </c>
      <c r="B22" s="24">
        <f>J9</f>
        <v>1000000</v>
      </c>
      <c r="D22" s="22">
        <f>L9</f>
        <v>1</v>
      </c>
      <c r="F22" s="9">
        <f>B22*D22</f>
        <v>1000000</v>
      </c>
      <c r="J22" s="24">
        <f>R9</f>
        <v>1000000</v>
      </c>
      <c r="L22" s="22">
        <f>L21</f>
        <v>2.5</v>
      </c>
      <c r="N22" s="9">
        <f>J22*L22</f>
        <v>2500000</v>
      </c>
      <c r="P22" s="25">
        <f>N22/N$25</f>
        <v>0.22222222222222221</v>
      </c>
      <c r="R22" s="9">
        <f>N22-F22</f>
        <v>1500000</v>
      </c>
      <c r="T22" s="41" t="s">
        <v>18</v>
      </c>
    </row>
    <row r="23" spans="1:24" ht="14.5" customHeight="1" thickBot="1" x14ac:dyDescent="0.4">
      <c r="A23" s="1" t="s">
        <v>8</v>
      </c>
      <c r="B23" s="31">
        <f>R10</f>
        <v>1500000</v>
      </c>
      <c r="D23" s="22">
        <f>T10</f>
        <v>2.5</v>
      </c>
      <c r="F23" s="30">
        <f>B23*D23</f>
        <v>3750000</v>
      </c>
      <c r="J23" s="31">
        <f>R10</f>
        <v>1500000</v>
      </c>
      <c r="L23" s="22">
        <f>L22</f>
        <v>2.5</v>
      </c>
      <c r="N23" s="30">
        <f>J23*L23</f>
        <v>3750000</v>
      </c>
      <c r="P23" s="32">
        <f>N23/N$25</f>
        <v>0.33333333333333331</v>
      </c>
      <c r="R23" s="9">
        <f>N23-F23</f>
        <v>0</v>
      </c>
      <c r="T23" s="41" t="s">
        <v>19</v>
      </c>
    </row>
    <row r="24" spans="1:24" s="11" customFormat="1" ht="4.5" customHeight="1" thickTop="1" x14ac:dyDescent="0.35"/>
    <row r="25" spans="1:24" ht="14.5" customHeight="1" x14ac:dyDescent="0.35">
      <c r="A25" s="3" t="s">
        <v>3</v>
      </c>
      <c r="B25" s="26">
        <f>B21+B22+B23</f>
        <v>4500000</v>
      </c>
      <c r="F25" s="18">
        <f>F21+F22+F23</f>
        <v>4770000</v>
      </c>
      <c r="J25" s="26">
        <f>J21+J22+J23</f>
        <v>4500000</v>
      </c>
      <c r="L25" s="27"/>
      <c r="N25" s="18">
        <f>N21+N22+N23</f>
        <v>11250000</v>
      </c>
      <c r="P25" s="19">
        <f>P21+P22+P23</f>
        <v>1</v>
      </c>
    </row>
  </sheetData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E53A-F596-4E9D-B08B-66A9DBBCA9DC}">
  <dimension ref="A1:BB59"/>
  <sheetViews>
    <sheetView showGridLines="0" tabSelected="1" topLeftCell="J1" zoomScale="72" zoomScaleNormal="72" workbookViewId="0">
      <selection activeCell="J1" sqref="J1"/>
    </sheetView>
  </sheetViews>
  <sheetFormatPr baseColWidth="10" defaultColWidth="8.81640625" defaultRowHeight="15.5" outlineLevelCol="1" x14ac:dyDescent="0.35"/>
  <cols>
    <col min="1" max="1" width="15.7265625" style="3" customWidth="1"/>
    <col min="2" max="2" width="11.7265625" style="3" customWidth="1"/>
    <col min="3" max="3" width="1" style="3" customWidth="1"/>
    <col min="4" max="4" width="6.7265625" style="3" customWidth="1"/>
    <col min="5" max="5" width="1" style="3" customWidth="1"/>
    <col min="6" max="6" width="13.453125" style="3" customWidth="1"/>
    <col min="7" max="7" width="1" style="3" customWidth="1"/>
    <col min="8" max="8" width="10.81640625" style="3" customWidth="1"/>
    <col min="9" max="10" width="1.54296875" style="3" customWidth="1"/>
    <col min="11" max="11" width="19.81640625" style="3" customWidth="1"/>
    <col min="12" max="12" width="12" style="3" customWidth="1"/>
    <col min="13" max="13" width="1" style="3" customWidth="1"/>
    <col min="14" max="14" width="6.7265625" style="3" customWidth="1"/>
    <col min="15" max="15" width="1" style="3" customWidth="1"/>
    <col min="16" max="16" width="13.453125" style="3" customWidth="1"/>
    <col min="17" max="17" width="1" style="3" customWidth="1"/>
    <col min="18" max="18" width="10.81640625" style="3" customWidth="1"/>
    <col min="19" max="20" width="1.54296875" style="3" customWidth="1"/>
    <col min="21" max="21" width="19.81640625" style="3" customWidth="1"/>
    <col min="22" max="22" width="12" style="3" customWidth="1"/>
    <col min="23" max="23" width="1" style="3" customWidth="1"/>
    <col min="24" max="24" width="6.7265625" style="3" customWidth="1"/>
    <col min="25" max="25" width="1" style="3" customWidth="1"/>
    <col min="26" max="26" width="13.453125" style="3" customWidth="1"/>
    <col min="27" max="27" width="1" style="3" customWidth="1"/>
    <col min="28" max="28" width="10.81640625" style="3" customWidth="1"/>
    <col min="29" max="29" width="1.26953125" style="3" customWidth="1"/>
    <col min="30" max="30" width="1.453125" style="3" hidden="1" customWidth="1" outlineLevel="1"/>
    <col min="31" max="31" width="1.26953125" style="3" hidden="1" customWidth="1" outlineLevel="1"/>
    <col min="32" max="32" width="7" style="3" hidden="1" customWidth="1" outlineLevel="1"/>
    <col min="33" max="33" width="12.26953125" style="3" hidden="1" customWidth="1" outlineLevel="1"/>
    <col min="34" max="34" width="8.81640625" style="3" hidden="1" customWidth="1" outlineLevel="1"/>
    <col min="35" max="35" width="10" style="3" hidden="1" customWidth="1" outlineLevel="1"/>
    <col min="36" max="38" width="8.81640625" style="3" hidden="1" customWidth="1" outlineLevel="1"/>
    <col min="39" max="39" width="1.54296875" style="3" customWidth="1" collapsed="1"/>
    <col min="40" max="40" width="1.54296875" style="3" customWidth="1"/>
    <col min="41" max="41" width="19.81640625" style="3" customWidth="1"/>
    <col min="42" max="42" width="12" style="3" customWidth="1"/>
    <col min="43" max="43" width="1" style="3" customWidth="1"/>
    <col min="44" max="44" width="6.7265625" style="3" customWidth="1"/>
    <col min="45" max="45" width="1" style="3" customWidth="1"/>
    <col min="46" max="46" width="13.453125" style="3" customWidth="1"/>
    <col min="47" max="47" width="1" style="3" customWidth="1"/>
    <col min="48" max="48" width="10.81640625" style="3" customWidth="1"/>
    <col min="49" max="52" width="2.26953125" style="3" customWidth="1"/>
    <col min="53" max="53" width="12.90625" style="3" customWidth="1"/>
    <col min="54" max="16384" width="8.81640625" style="3"/>
  </cols>
  <sheetData>
    <row r="1" spans="1:48" ht="19" thickBot="1" x14ac:dyDescent="0.5">
      <c r="A1" s="6" t="s">
        <v>29</v>
      </c>
      <c r="B1" s="5"/>
      <c r="C1" s="5"/>
      <c r="D1" s="5"/>
      <c r="E1" s="5"/>
      <c r="F1" s="5"/>
      <c r="G1" s="5"/>
      <c r="H1" s="5"/>
      <c r="I1" s="5"/>
      <c r="J1" s="5"/>
      <c r="K1" s="6"/>
      <c r="L1" s="5"/>
      <c r="M1" s="5"/>
      <c r="N1" s="5"/>
      <c r="O1" s="5"/>
      <c r="P1" s="5"/>
      <c r="Q1" s="5"/>
      <c r="R1" s="5"/>
      <c r="S1" s="5"/>
      <c r="T1" s="5"/>
      <c r="U1" s="6"/>
      <c r="V1" s="5"/>
      <c r="W1" s="5"/>
      <c r="X1" s="5"/>
      <c r="Y1" s="5"/>
      <c r="Z1" s="5"/>
      <c r="AA1" s="5"/>
      <c r="AB1" s="5"/>
      <c r="AC1" s="5"/>
      <c r="AD1" s="5"/>
      <c r="AM1" s="5"/>
      <c r="AN1" s="5"/>
      <c r="AO1" s="6"/>
      <c r="AP1" s="5"/>
      <c r="AQ1" s="5"/>
      <c r="AR1" s="5"/>
      <c r="AS1" s="5"/>
      <c r="AT1" s="5"/>
      <c r="AU1" s="5"/>
      <c r="AV1" s="5"/>
    </row>
    <row r="2" spans="1:48" ht="17.5" customHeight="1" thickTop="1" x14ac:dyDescent="0.35">
      <c r="A2" s="2"/>
      <c r="B2" s="10"/>
      <c r="C2" s="10"/>
      <c r="D2" s="10"/>
      <c r="E2" s="10"/>
      <c r="F2" s="10"/>
      <c r="G2" s="10"/>
      <c r="H2" s="10"/>
      <c r="I2" s="10"/>
      <c r="J2" s="10"/>
      <c r="K2" s="2"/>
      <c r="L2" s="10"/>
      <c r="M2" s="10"/>
      <c r="N2" s="10"/>
      <c r="O2" s="10"/>
      <c r="P2" s="10"/>
      <c r="Q2" s="10"/>
      <c r="R2" s="10"/>
      <c r="S2" s="10"/>
      <c r="T2" s="10"/>
      <c r="U2" s="2"/>
      <c r="V2" s="10"/>
      <c r="W2" s="10"/>
      <c r="X2" s="10"/>
      <c r="Y2" s="10"/>
      <c r="Z2" s="10"/>
      <c r="AA2" s="10"/>
      <c r="AB2" s="10"/>
      <c r="AC2" s="10"/>
      <c r="AD2" s="10"/>
      <c r="AM2" s="10"/>
      <c r="AN2" s="10"/>
      <c r="AO2" s="2"/>
      <c r="AP2" s="10"/>
      <c r="AQ2" s="10"/>
      <c r="AR2" s="10"/>
      <c r="AS2" s="10"/>
      <c r="AT2" s="10"/>
      <c r="AU2" s="10"/>
      <c r="AV2" s="10"/>
    </row>
    <row r="3" spans="1:48" ht="17.5" customHeight="1" thickBot="1" x14ac:dyDescent="0.4">
      <c r="A3" s="43" t="s">
        <v>31</v>
      </c>
      <c r="B3" s="44"/>
      <c r="C3" s="44"/>
      <c r="D3" s="44"/>
      <c r="E3" s="44"/>
      <c r="F3" s="44"/>
      <c r="G3" s="44"/>
      <c r="H3" s="44"/>
      <c r="I3" s="10"/>
      <c r="J3" s="44"/>
      <c r="K3" s="43" t="s">
        <v>30</v>
      </c>
      <c r="L3" s="44"/>
      <c r="M3" s="44"/>
      <c r="N3" s="44"/>
      <c r="O3" s="44"/>
      <c r="P3" s="44"/>
      <c r="Q3" s="44"/>
      <c r="R3" s="44"/>
      <c r="S3" s="10"/>
      <c r="T3" s="44"/>
      <c r="U3" s="43" t="s">
        <v>58</v>
      </c>
      <c r="V3" s="44"/>
      <c r="W3" s="44"/>
      <c r="X3" s="44"/>
      <c r="Y3" s="44"/>
      <c r="Z3" s="44"/>
      <c r="AA3" s="44"/>
      <c r="AB3" s="44"/>
      <c r="AD3" s="44"/>
      <c r="AM3" s="10"/>
      <c r="AN3" s="44"/>
      <c r="AO3" s="43" t="s">
        <v>59</v>
      </c>
      <c r="AP3" s="44"/>
      <c r="AQ3" s="44"/>
      <c r="AR3" s="44"/>
      <c r="AS3" s="44"/>
      <c r="AT3" s="44"/>
      <c r="AU3" s="44"/>
      <c r="AV3" s="44"/>
    </row>
    <row r="4" spans="1:48" ht="5.65" customHeight="1" x14ac:dyDescent="0.35">
      <c r="A4" s="2"/>
      <c r="B4" s="10"/>
      <c r="C4" s="10"/>
      <c r="D4" s="10"/>
      <c r="E4" s="10"/>
      <c r="F4" s="10"/>
      <c r="G4" s="10"/>
      <c r="H4" s="10"/>
      <c r="I4" s="10"/>
      <c r="J4" s="10"/>
      <c r="K4" s="2"/>
      <c r="L4" s="10"/>
      <c r="M4" s="10"/>
      <c r="N4" s="10"/>
      <c r="O4" s="10"/>
      <c r="P4" s="10"/>
      <c r="Q4" s="10"/>
      <c r="R4" s="10"/>
      <c r="S4" s="10"/>
      <c r="T4" s="10"/>
      <c r="U4" s="2"/>
      <c r="V4" s="10"/>
      <c r="W4" s="10"/>
      <c r="X4" s="10"/>
      <c r="Y4" s="10"/>
      <c r="Z4" s="10"/>
      <c r="AA4" s="10"/>
      <c r="AB4" s="10"/>
      <c r="AD4" s="10"/>
      <c r="AM4" s="10"/>
      <c r="AN4" s="10"/>
      <c r="AO4" s="2"/>
      <c r="AP4" s="10"/>
      <c r="AQ4" s="10"/>
      <c r="AR4" s="10"/>
      <c r="AS4" s="10"/>
      <c r="AT4" s="10"/>
      <c r="AU4" s="10"/>
      <c r="AV4" s="10"/>
    </row>
    <row r="5" spans="1:48" s="11" customFormat="1" ht="16" customHeight="1" thickBot="1" x14ac:dyDescent="0.4">
      <c r="A5" s="1"/>
      <c r="B5" s="36" t="s">
        <v>25</v>
      </c>
      <c r="C5" s="36"/>
      <c r="D5" s="36"/>
      <c r="E5" s="36"/>
      <c r="F5" s="36"/>
      <c r="G5" s="36"/>
      <c r="H5" s="36"/>
      <c r="I5" s="14"/>
      <c r="J5" s="14"/>
      <c r="K5" s="1"/>
      <c r="L5" s="36" t="s">
        <v>25</v>
      </c>
      <c r="M5" s="36"/>
      <c r="N5" s="36"/>
      <c r="O5" s="36"/>
      <c r="P5" s="36"/>
      <c r="Q5" s="36"/>
      <c r="R5" s="36"/>
      <c r="S5" s="14"/>
      <c r="T5" s="14"/>
      <c r="U5" s="1"/>
      <c r="V5" s="36" t="s">
        <v>25</v>
      </c>
      <c r="W5" s="36"/>
      <c r="X5" s="36"/>
      <c r="Y5" s="36"/>
      <c r="Z5" s="36"/>
      <c r="AA5" s="36"/>
      <c r="AB5" s="36"/>
      <c r="AD5" s="14"/>
      <c r="AM5" s="14"/>
      <c r="AN5" s="14"/>
      <c r="AO5" s="1"/>
      <c r="AP5" s="36" t="s">
        <v>25</v>
      </c>
      <c r="AQ5" s="36"/>
      <c r="AR5" s="36"/>
      <c r="AS5" s="36"/>
      <c r="AT5" s="36"/>
      <c r="AU5" s="36"/>
      <c r="AV5" s="36"/>
    </row>
    <row r="6" spans="1:48" s="11" customFormat="1" ht="29.15" customHeight="1" thickTop="1" x14ac:dyDescent="0.35">
      <c r="A6" s="45" t="s">
        <v>24</v>
      </c>
      <c r="B6" s="13" t="s">
        <v>11</v>
      </c>
      <c r="C6" s="7"/>
      <c r="D6" s="13" t="s">
        <v>0</v>
      </c>
      <c r="E6" s="7"/>
      <c r="F6" s="13" t="s">
        <v>1</v>
      </c>
      <c r="G6" s="7"/>
      <c r="H6" s="13" t="s">
        <v>4</v>
      </c>
      <c r="I6" s="7"/>
      <c r="J6" s="7"/>
      <c r="K6" s="45" t="s">
        <v>24</v>
      </c>
      <c r="L6" s="13" t="s">
        <v>11</v>
      </c>
      <c r="M6" s="7"/>
      <c r="N6" s="13" t="s">
        <v>0</v>
      </c>
      <c r="O6" s="7"/>
      <c r="P6" s="13" t="s">
        <v>1</v>
      </c>
      <c r="Q6" s="7"/>
      <c r="R6" s="13" t="s">
        <v>4</v>
      </c>
      <c r="S6" s="7"/>
      <c r="T6" s="7"/>
      <c r="U6" s="45" t="s">
        <v>24</v>
      </c>
      <c r="V6" s="13" t="s">
        <v>11</v>
      </c>
      <c r="W6" s="7"/>
      <c r="X6" s="13" t="s">
        <v>0</v>
      </c>
      <c r="Y6" s="7"/>
      <c r="Z6" s="13" t="s">
        <v>1</v>
      </c>
      <c r="AA6" s="7"/>
      <c r="AB6" s="13" t="s">
        <v>4</v>
      </c>
      <c r="AD6" s="7"/>
      <c r="AM6" s="7"/>
      <c r="AN6" s="7"/>
      <c r="AO6" s="45" t="s">
        <v>24</v>
      </c>
      <c r="AP6" s="13" t="s">
        <v>11</v>
      </c>
      <c r="AQ6" s="7"/>
      <c r="AR6" s="13" t="s">
        <v>0</v>
      </c>
      <c r="AS6" s="7"/>
      <c r="AT6" s="13" t="s">
        <v>1</v>
      </c>
      <c r="AU6" s="7"/>
      <c r="AV6" s="13" t="s">
        <v>4</v>
      </c>
    </row>
    <row r="7" spans="1:48" s="11" customFormat="1" ht="1.9" customHeight="1" x14ac:dyDescent="0.35">
      <c r="A7" s="1"/>
      <c r="B7" s="7"/>
      <c r="C7" s="7"/>
      <c r="D7" s="7"/>
      <c r="E7" s="7"/>
      <c r="F7" s="7"/>
      <c r="G7" s="7"/>
      <c r="H7" s="12"/>
      <c r="I7" s="7"/>
      <c r="J7" s="7"/>
      <c r="K7" s="1"/>
      <c r="L7" s="7"/>
      <c r="M7" s="7"/>
      <c r="N7" s="7"/>
      <c r="O7" s="7"/>
      <c r="P7" s="7"/>
      <c r="Q7" s="7"/>
      <c r="R7" s="12"/>
      <c r="S7" s="7"/>
      <c r="T7" s="7"/>
      <c r="U7" s="1"/>
      <c r="V7" s="7"/>
      <c r="W7" s="7"/>
      <c r="X7" s="7"/>
      <c r="Y7" s="7"/>
      <c r="Z7" s="7"/>
      <c r="AA7" s="7"/>
      <c r="AB7" s="12"/>
      <c r="AD7" s="7"/>
      <c r="AM7" s="7"/>
      <c r="AN7" s="7"/>
      <c r="AO7" s="1"/>
      <c r="AP7" s="7"/>
      <c r="AQ7" s="7"/>
      <c r="AR7" s="7"/>
      <c r="AS7" s="7"/>
      <c r="AT7" s="7"/>
      <c r="AU7" s="7"/>
      <c r="AV7" s="12"/>
    </row>
    <row r="8" spans="1:48" s="11" customFormat="1" ht="13.9" customHeight="1" x14ac:dyDescent="0.35">
      <c r="A8" s="1" t="s">
        <v>2</v>
      </c>
      <c r="B8" s="4">
        <v>7000000</v>
      </c>
      <c r="C8" s="4"/>
      <c r="D8" s="1"/>
      <c r="E8" s="4"/>
      <c r="F8" s="1"/>
      <c r="G8" s="4"/>
      <c r="H8" s="20">
        <f>B8/B12</f>
        <v>0.7</v>
      </c>
      <c r="I8" s="4"/>
      <c r="J8" s="4"/>
      <c r="K8" s="1" t="s">
        <v>2</v>
      </c>
      <c r="L8" s="4">
        <f>B8</f>
        <v>7000000</v>
      </c>
      <c r="M8" s="4"/>
      <c r="N8" s="1"/>
      <c r="O8" s="4"/>
      <c r="P8" s="1"/>
      <c r="Q8" s="4"/>
      <c r="R8" s="20">
        <f>L8/L12</f>
        <v>0.7</v>
      </c>
      <c r="S8" s="4"/>
      <c r="T8" s="4"/>
      <c r="U8" s="1" t="s">
        <v>2</v>
      </c>
      <c r="V8" s="4">
        <f>L8</f>
        <v>7000000</v>
      </c>
      <c r="W8" s="4"/>
      <c r="X8" s="1"/>
      <c r="Y8" s="4"/>
      <c r="Z8" s="1"/>
      <c r="AA8" s="4"/>
      <c r="AB8" s="20">
        <f>V8/V12</f>
        <v>0.7</v>
      </c>
      <c r="AD8" s="4"/>
      <c r="AM8" s="4"/>
      <c r="AN8" s="4"/>
      <c r="AO8" s="1" t="s">
        <v>2</v>
      </c>
      <c r="AP8" s="4">
        <f>+V8</f>
        <v>7000000</v>
      </c>
      <c r="AQ8" s="4"/>
      <c r="AR8" s="1"/>
      <c r="AS8" s="4"/>
      <c r="AT8" s="1"/>
      <c r="AU8" s="4"/>
      <c r="AV8" s="20">
        <f>AP8/AP12</f>
        <v>0.7</v>
      </c>
    </row>
    <row r="9" spans="1:48" s="11" customFormat="1" ht="13.9" customHeight="1" x14ac:dyDescent="0.35">
      <c r="A9" s="1" t="s">
        <v>28</v>
      </c>
      <c r="B9" s="4">
        <v>3000000</v>
      </c>
      <c r="C9" s="1"/>
      <c r="D9" s="8">
        <v>1</v>
      </c>
      <c r="E9" s="1"/>
      <c r="F9" s="9">
        <f>B9*D9</f>
        <v>3000000</v>
      </c>
      <c r="G9" s="1"/>
      <c r="H9" s="20">
        <f>B9/B12</f>
        <v>0.3</v>
      </c>
      <c r="I9" s="1"/>
      <c r="J9" s="1"/>
      <c r="K9" s="1" t="s">
        <v>28</v>
      </c>
      <c r="L9" s="4">
        <f>B9</f>
        <v>3000000</v>
      </c>
      <c r="M9" s="1"/>
      <c r="N9" s="8">
        <v>1</v>
      </c>
      <c r="O9" s="1"/>
      <c r="P9" s="9">
        <f>L9*N9</f>
        <v>3000000</v>
      </c>
      <c r="Q9" s="1"/>
      <c r="R9" s="20">
        <f>L9/L12</f>
        <v>0.3</v>
      </c>
      <c r="S9" s="1"/>
      <c r="T9" s="1"/>
      <c r="U9" s="1" t="s">
        <v>28</v>
      </c>
      <c r="V9" s="4">
        <f>L9</f>
        <v>3000000</v>
      </c>
      <c r="W9" s="1"/>
      <c r="X9" s="8">
        <v>1</v>
      </c>
      <c r="Y9" s="1"/>
      <c r="Z9" s="9">
        <f>V9*X9</f>
        <v>3000000</v>
      </c>
      <c r="AA9" s="1"/>
      <c r="AB9" s="20">
        <f>V9/V12</f>
        <v>0.3</v>
      </c>
      <c r="AD9" s="1"/>
      <c r="AM9" s="1"/>
      <c r="AN9" s="1"/>
      <c r="AO9" s="1" t="s">
        <v>28</v>
      </c>
      <c r="AP9" s="4">
        <f>+V9</f>
        <v>3000000</v>
      </c>
      <c r="AQ9" s="1"/>
      <c r="AR9" s="8">
        <v>1</v>
      </c>
      <c r="AS9" s="1"/>
      <c r="AT9" s="9">
        <f>AP9*AR9</f>
        <v>3000000</v>
      </c>
      <c r="AU9" s="1"/>
      <c r="AV9" s="20">
        <f>AP9/AP12</f>
        <v>0.3</v>
      </c>
    </row>
    <row r="10" spans="1:48" s="11" customFormat="1" ht="3.4" customHeight="1" thickBot="1" x14ac:dyDescent="0.4">
      <c r="A10" s="1"/>
      <c r="B10" s="28"/>
      <c r="C10" s="1"/>
      <c r="D10" s="1"/>
      <c r="E10" s="1"/>
      <c r="F10" s="28"/>
      <c r="G10" s="1"/>
      <c r="H10" s="28"/>
      <c r="I10" s="1"/>
      <c r="J10" s="1"/>
      <c r="K10" s="1"/>
      <c r="L10" s="28"/>
      <c r="M10" s="1"/>
      <c r="N10" s="1"/>
      <c r="O10" s="1"/>
      <c r="P10" s="28"/>
      <c r="Q10" s="1"/>
      <c r="R10" s="28"/>
      <c r="S10" s="1"/>
      <c r="T10" s="1"/>
      <c r="U10" s="1"/>
      <c r="V10" s="28"/>
      <c r="W10" s="1"/>
      <c r="X10" s="1"/>
      <c r="Y10" s="1"/>
      <c r="Z10" s="28"/>
      <c r="AA10" s="1"/>
      <c r="AB10" s="28"/>
      <c r="AD10" s="1"/>
      <c r="AM10" s="1"/>
      <c r="AN10" s="1"/>
      <c r="AO10" s="1"/>
      <c r="AP10" s="28"/>
      <c r="AQ10" s="1"/>
      <c r="AR10" s="1"/>
      <c r="AS10" s="1"/>
      <c r="AT10" s="28"/>
      <c r="AU10" s="1"/>
      <c r="AV10" s="28"/>
    </row>
    <row r="11" spans="1:48" s="11" customFormat="1" ht="3" customHeight="1" thickTop="1" x14ac:dyDescent="0.35"/>
    <row r="12" spans="1:48" ht="13.15" customHeight="1" x14ac:dyDescent="0.35">
      <c r="A12" s="16" t="s">
        <v>3</v>
      </c>
      <c r="B12" s="17">
        <f>B8+B9+B10</f>
        <v>10000000</v>
      </c>
      <c r="C12" s="17"/>
      <c r="D12" s="16"/>
      <c r="E12" s="17"/>
      <c r="F12" s="18">
        <f>F8+F9+F10</f>
        <v>3000000</v>
      </c>
      <c r="G12" s="17"/>
      <c r="H12" s="35">
        <f>H8+H9+H10</f>
        <v>1</v>
      </c>
      <c r="I12" s="17"/>
      <c r="J12" s="17"/>
      <c r="K12" s="16" t="s">
        <v>3</v>
      </c>
      <c r="L12" s="17">
        <f>L8+L9+L10</f>
        <v>10000000</v>
      </c>
      <c r="M12" s="17"/>
      <c r="N12" s="16"/>
      <c r="O12" s="17"/>
      <c r="P12" s="18">
        <f>P8+P9+P10</f>
        <v>3000000</v>
      </c>
      <c r="Q12" s="17"/>
      <c r="R12" s="35">
        <f>R8+R9+R10</f>
        <v>1</v>
      </c>
      <c r="S12" s="17"/>
      <c r="T12" s="17"/>
      <c r="U12" s="16" t="s">
        <v>3</v>
      </c>
      <c r="V12" s="17">
        <f>V8+V9+V10</f>
        <v>10000000</v>
      </c>
      <c r="W12" s="17"/>
      <c r="X12" s="16"/>
      <c r="Y12" s="17"/>
      <c r="Z12" s="18">
        <f>Z8+Z9+Z10</f>
        <v>3000000</v>
      </c>
      <c r="AA12" s="17"/>
      <c r="AB12" s="35">
        <f>AB8+AB9+AB10</f>
        <v>1</v>
      </c>
      <c r="AD12" s="17"/>
      <c r="AM12" s="17"/>
      <c r="AN12" s="17"/>
      <c r="AO12" s="16" t="s">
        <v>3</v>
      </c>
      <c r="AP12" s="17">
        <f>AP8+AP9+AP10</f>
        <v>10000000</v>
      </c>
      <c r="AQ12" s="17"/>
      <c r="AR12" s="16"/>
      <c r="AS12" s="17"/>
      <c r="AT12" s="18">
        <f>AT8+AT9+AT10</f>
        <v>3000000</v>
      </c>
      <c r="AU12" s="17"/>
      <c r="AV12" s="35">
        <f>AV8+AV9+AV10</f>
        <v>1</v>
      </c>
    </row>
    <row r="13" spans="1:48" ht="5.15" customHeight="1" x14ac:dyDescent="0.35">
      <c r="A13" s="16"/>
      <c r="B13" s="17"/>
      <c r="C13" s="17"/>
      <c r="D13" s="16"/>
      <c r="E13" s="17"/>
      <c r="F13" s="18"/>
      <c r="G13" s="17"/>
      <c r="H13" s="35"/>
      <c r="I13" s="17"/>
      <c r="J13" s="17"/>
      <c r="K13" s="16"/>
      <c r="L13" s="17"/>
      <c r="M13" s="17"/>
      <c r="N13" s="16"/>
      <c r="O13" s="17"/>
      <c r="P13" s="18"/>
      <c r="Q13" s="17"/>
      <c r="R13" s="35"/>
      <c r="S13" s="17"/>
      <c r="T13" s="17"/>
      <c r="U13" s="16"/>
      <c r="V13" s="17"/>
      <c r="W13" s="17"/>
      <c r="X13" s="16"/>
      <c r="Y13" s="17"/>
      <c r="Z13" s="18"/>
      <c r="AA13" s="17"/>
      <c r="AB13" s="35"/>
      <c r="AD13" s="17"/>
      <c r="AM13" s="17"/>
      <c r="AN13" s="17"/>
      <c r="AO13" s="16"/>
      <c r="AP13" s="17"/>
      <c r="AQ13" s="17"/>
      <c r="AR13" s="16"/>
      <c r="AS13" s="17"/>
      <c r="AT13" s="18"/>
      <c r="AU13" s="17"/>
      <c r="AV13" s="35"/>
    </row>
    <row r="14" spans="1:48" ht="13" customHeight="1" x14ac:dyDescent="0.35">
      <c r="A14" s="39" t="s">
        <v>13</v>
      </c>
      <c r="B14" s="17"/>
      <c r="C14" s="17"/>
      <c r="D14" s="16"/>
      <c r="E14" s="17"/>
      <c r="F14" s="18">
        <f>F16-F15</f>
        <v>7000000</v>
      </c>
      <c r="G14" s="17"/>
      <c r="H14" s="21">
        <f>F14/F16</f>
        <v>0.7</v>
      </c>
      <c r="I14" s="39"/>
      <c r="J14" s="39"/>
      <c r="K14" s="39" t="s">
        <v>13</v>
      </c>
      <c r="L14" s="17"/>
      <c r="M14" s="17"/>
      <c r="N14" s="16"/>
      <c r="O14" s="17"/>
      <c r="P14" s="18">
        <f>P16-P15</f>
        <v>7000000</v>
      </c>
      <c r="Q14" s="17"/>
      <c r="R14" s="21">
        <f>P14/P16</f>
        <v>0.7</v>
      </c>
      <c r="S14" s="39"/>
      <c r="T14" s="39"/>
      <c r="U14" s="39" t="s">
        <v>13</v>
      </c>
      <c r="V14" s="17"/>
      <c r="W14" s="17"/>
      <c r="X14" s="16"/>
      <c r="Y14" s="17"/>
      <c r="Z14" s="18">
        <f>Z16-Z15</f>
        <v>7000000</v>
      </c>
      <c r="AA14" s="17"/>
      <c r="AB14" s="21">
        <f>Z14/Z16</f>
        <v>0.7</v>
      </c>
      <c r="AD14" s="39"/>
      <c r="AM14" s="39"/>
      <c r="AN14" s="39"/>
      <c r="AO14" s="39" t="s">
        <v>13</v>
      </c>
      <c r="AP14" s="17"/>
      <c r="AQ14" s="17"/>
      <c r="AR14" s="16"/>
      <c r="AS14" s="17"/>
      <c r="AT14" s="18">
        <f>AT16-AT15</f>
        <v>7000000</v>
      </c>
      <c r="AU14" s="17"/>
      <c r="AV14" s="21">
        <f>AT14/AT16</f>
        <v>0.7</v>
      </c>
    </row>
    <row r="15" spans="1:48" ht="13" customHeight="1" thickBot="1" x14ac:dyDescent="0.4">
      <c r="A15" s="39" t="s">
        <v>14</v>
      </c>
      <c r="B15" s="17"/>
      <c r="C15" s="17"/>
      <c r="D15" s="16"/>
      <c r="E15" s="17"/>
      <c r="F15" s="40">
        <f>F12</f>
        <v>3000000</v>
      </c>
      <c r="G15" s="17"/>
      <c r="H15" s="42">
        <f>F15/F16</f>
        <v>0.3</v>
      </c>
      <c r="I15" s="39"/>
      <c r="J15" s="39"/>
      <c r="K15" s="39" t="s">
        <v>14</v>
      </c>
      <c r="L15" s="17"/>
      <c r="M15" s="17"/>
      <c r="N15" s="16"/>
      <c r="O15" s="17"/>
      <c r="P15" s="40">
        <f>P12</f>
        <v>3000000</v>
      </c>
      <c r="Q15" s="17"/>
      <c r="R15" s="42">
        <f>P15/P16</f>
        <v>0.3</v>
      </c>
      <c r="S15" s="39"/>
      <c r="T15" s="39"/>
      <c r="U15" s="39" t="s">
        <v>14</v>
      </c>
      <c r="V15" s="17"/>
      <c r="W15" s="17"/>
      <c r="X15" s="16"/>
      <c r="Y15" s="17"/>
      <c r="Z15" s="40">
        <f>Z12</f>
        <v>3000000</v>
      </c>
      <c r="AA15" s="17"/>
      <c r="AB15" s="42">
        <f>Z15/Z16</f>
        <v>0.3</v>
      </c>
      <c r="AD15" s="39"/>
      <c r="AM15" s="39"/>
      <c r="AN15" s="39"/>
      <c r="AO15" s="39" t="s">
        <v>14</v>
      </c>
      <c r="AP15" s="17"/>
      <c r="AQ15" s="17"/>
      <c r="AR15" s="16"/>
      <c r="AS15" s="17"/>
      <c r="AT15" s="40">
        <f>AT12</f>
        <v>3000000</v>
      </c>
      <c r="AU15" s="17"/>
      <c r="AV15" s="42">
        <f>AT15/AT16</f>
        <v>0.3</v>
      </c>
    </row>
    <row r="16" spans="1:48" ht="13" customHeight="1" thickTop="1" x14ac:dyDescent="0.35">
      <c r="A16" s="39" t="s">
        <v>15</v>
      </c>
      <c r="F16" s="18">
        <f>B12*D9</f>
        <v>10000000</v>
      </c>
      <c r="H16" s="21">
        <f>H14+H15</f>
        <v>1</v>
      </c>
      <c r="I16" s="39"/>
      <c r="J16" s="39"/>
      <c r="K16" s="39" t="s">
        <v>15</v>
      </c>
      <c r="P16" s="18">
        <f>L12*N9</f>
        <v>10000000</v>
      </c>
      <c r="R16" s="21">
        <f>R14+R15</f>
        <v>1</v>
      </c>
      <c r="S16" s="39"/>
      <c r="T16" s="39"/>
      <c r="U16" s="39" t="s">
        <v>15</v>
      </c>
      <c r="Z16" s="18">
        <f>V12*X9</f>
        <v>10000000</v>
      </c>
      <c r="AB16" s="21">
        <f>AB14+AB15</f>
        <v>1</v>
      </c>
      <c r="AD16" s="39"/>
      <c r="AM16" s="39"/>
      <c r="AN16" s="39"/>
      <c r="AO16" s="39" t="s">
        <v>15</v>
      </c>
      <c r="AT16" s="18">
        <f>AP12*AR9</f>
        <v>10000000</v>
      </c>
      <c r="AV16" s="21">
        <f>AV14+AV15</f>
        <v>1</v>
      </c>
    </row>
    <row r="17" spans="1:54" ht="6.65" customHeight="1" x14ac:dyDescent="0.35">
      <c r="H17" s="20"/>
    </row>
    <row r="18" spans="1:54" s="48" customFormat="1" ht="16.5" customHeight="1" x14ac:dyDescent="0.25">
      <c r="A18" s="46"/>
      <c r="B18" s="49" t="s">
        <v>27</v>
      </c>
      <c r="C18" s="49"/>
      <c r="D18" s="49"/>
      <c r="E18" s="49"/>
      <c r="F18" s="49"/>
      <c r="G18" s="49"/>
      <c r="H18" s="49"/>
      <c r="I18" s="47"/>
      <c r="J18" s="47"/>
      <c r="K18" s="46"/>
      <c r="L18" s="49" t="s">
        <v>50</v>
      </c>
      <c r="M18" s="49"/>
      <c r="N18" s="49"/>
      <c r="O18" s="49"/>
      <c r="P18" s="49"/>
      <c r="Q18" s="49"/>
      <c r="R18" s="49"/>
      <c r="S18" s="47"/>
      <c r="T18" s="47"/>
      <c r="U18" s="46"/>
      <c r="V18" s="49" t="s">
        <v>57</v>
      </c>
      <c r="W18" s="49"/>
      <c r="X18" s="49"/>
      <c r="Y18" s="49"/>
      <c r="Z18" s="49"/>
      <c r="AA18" s="49"/>
      <c r="AB18" s="49"/>
      <c r="AD18" s="47"/>
      <c r="AM18" s="47"/>
      <c r="AN18" s="47"/>
      <c r="AO18" s="46"/>
      <c r="AP18" s="49" t="s">
        <v>56</v>
      </c>
      <c r="AQ18" s="49"/>
      <c r="AR18" s="49"/>
      <c r="AS18" s="49"/>
      <c r="AT18" s="49"/>
      <c r="AU18" s="49"/>
      <c r="AV18" s="49"/>
    </row>
    <row r="19" spans="1:54" ht="5.65" customHeight="1" x14ac:dyDescent="0.35">
      <c r="A19" s="2"/>
      <c r="B19" s="10"/>
      <c r="C19" s="10"/>
      <c r="D19" s="10"/>
      <c r="E19" s="10"/>
      <c r="F19" s="10"/>
      <c r="G19" s="10"/>
      <c r="H19" s="10"/>
      <c r="I19" s="10"/>
      <c r="J19" s="10"/>
      <c r="K19" s="2"/>
      <c r="L19" s="10"/>
      <c r="M19" s="10"/>
      <c r="N19" s="10"/>
      <c r="O19" s="10"/>
      <c r="P19" s="10"/>
      <c r="Q19" s="10"/>
      <c r="R19" s="10"/>
      <c r="S19" s="10"/>
      <c r="T19" s="10"/>
      <c r="U19" s="2"/>
      <c r="V19" s="10"/>
      <c r="W19" s="10"/>
      <c r="X19" s="10"/>
      <c r="Y19" s="10"/>
      <c r="Z19" s="10"/>
      <c r="AA19" s="10"/>
      <c r="AB19" s="10"/>
      <c r="AD19" s="10"/>
      <c r="AM19" s="10"/>
      <c r="AN19" s="10"/>
      <c r="AO19" s="2"/>
      <c r="AP19" s="10"/>
      <c r="AQ19" s="10"/>
      <c r="AR19" s="10"/>
      <c r="AS19" s="10"/>
      <c r="AT19" s="10"/>
      <c r="AU19" s="10"/>
      <c r="AV19" s="10"/>
    </row>
    <row r="20" spans="1:54" s="11" customFormat="1" ht="16" customHeight="1" thickBot="1" x14ac:dyDescent="0.4">
      <c r="A20" s="1"/>
      <c r="B20" s="38" t="s">
        <v>26</v>
      </c>
      <c r="C20" s="38"/>
      <c r="D20" s="38"/>
      <c r="E20" s="38"/>
      <c r="F20" s="38"/>
      <c r="G20" s="38"/>
      <c r="H20" s="38"/>
      <c r="I20" s="14"/>
      <c r="J20" s="14"/>
      <c r="K20" s="1"/>
      <c r="L20" s="38" t="s">
        <v>26</v>
      </c>
      <c r="M20" s="38"/>
      <c r="N20" s="38"/>
      <c r="O20" s="38"/>
      <c r="P20" s="38"/>
      <c r="Q20" s="38"/>
      <c r="R20" s="38"/>
      <c r="S20" s="14"/>
      <c r="T20" s="14"/>
      <c r="U20" s="1"/>
      <c r="V20" s="38" t="s">
        <v>26</v>
      </c>
      <c r="W20" s="38"/>
      <c r="X20" s="38"/>
      <c r="Y20" s="38"/>
      <c r="Z20" s="38"/>
      <c r="AA20" s="38"/>
      <c r="AB20" s="38"/>
      <c r="AD20" s="14"/>
      <c r="AM20" s="14"/>
      <c r="AN20" s="14"/>
      <c r="AO20" s="1"/>
      <c r="AP20" s="38" t="s">
        <v>26</v>
      </c>
      <c r="AQ20" s="38"/>
      <c r="AR20" s="38"/>
      <c r="AS20" s="38"/>
      <c r="AT20" s="38"/>
      <c r="AU20" s="38"/>
      <c r="AV20" s="38"/>
    </row>
    <row r="21" spans="1:54" s="11" customFormat="1" ht="29.15" customHeight="1" thickTop="1" x14ac:dyDescent="0.35">
      <c r="A21" s="45" t="s">
        <v>24</v>
      </c>
      <c r="B21" s="13" t="s">
        <v>11</v>
      </c>
      <c r="C21" s="7"/>
      <c r="D21" s="13" t="s">
        <v>0</v>
      </c>
      <c r="E21" s="7"/>
      <c r="F21" s="13" t="s">
        <v>1</v>
      </c>
      <c r="G21" s="7"/>
      <c r="H21" s="13" t="s">
        <v>4</v>
      </c>
      <c r="I21" s="7"/>
      <c r="J21" s="7"/>
      <c r="K21" s="45" t="s">
        <v>24</v>
      </c>
      <c r="L21" s="13" t="s">
        <v>11</v>
      </c>
      <c r="M21" s="7"/>
      <c r="N21" s="13" t="s">
        <v>0</v>
      </c>
      <c r="O21" s="7"/>
      <c r="P21" s="13" t="s">
        <v>1</v>
      </c>
      <c r="Q21" s="7"/>
      <c r="R21" s="13" t="s">
        <v>4</v>
      </c>
      <c r="S21" s="7"/>
      <c r="T21" s="7"/>
      <c r="U21" s="45" t="s">
        <v>24</v>
      </c>
      <c r="V21" s="13" t="s">
        <v>11</v>
      </c>
      <c r="W21" s="7"/>
      <c r="X21" s="13" t="s">
        <v>0</v>
      </c>
      <c r="Y21" s="7"/>
      <c r="Z21" s="13" t="s">
        <v>1</v>
      </c>
      <c r="AA21" s="7"/>
      <c r="AB21" s="13" t="s">
        <v>4</v>
      </c>
      <c r="AD21" s="7"/>
      <c r="AM21" s="7"/>
      <c r="AN21" s="7"/>
      <c r="AO21" s="45" t="s">
        <v>24</v>
      </c>
      <c r="AP21" s="13" t="s">
        <v>11</v>
      </c>
      <c r="AQ21" s="7"/>
      <c r="AR21" s="13" t="s">
        <v>0</v>
      </c>
      <c r="AS21" s="7"/>
      <c r="AT21" s="13" t="s">
        <v>1</v>
      </c>
      <c r="AU21" s="7"/>
      <c r="AV21" s="13" t="s">
        <v>4</v>
      </c>
    </row>
    <row r="22" spans="1:54" s="11" customFormat="1" ht="1.9" customHeight="1" x14ac:dyDescent="0.35">
      <c r="A22" s="1"/>
      <c r="B22" s="7"/>
      <c r="C22" s="7"/>
      <c r="D22" s="7"/>
      <c r="E22" s="7"/>
      <c r="F22" s="7"/>
      <c r="G22" s="7"/>
      <c r="H22" s="7"/>
      <c r="I22" s="7"/>
      <c r="J22" s="7"/>
      <c r="K22" s="1"/>
      <c r="L22" s="7"/>
      <c r="M22" s="7"/>
      <c r="N22" s="7"/>
      <c r="O22" s="7"/>
      <c r="P22" s="7"/>
      <c r="Q22" s="7"/>
      <c r="R22" s="7"/>
      <c r="S22" s="7"/>
      <c r="T22" s="7"/>
      <c r="U22" s="1"/>
      <c r="V22" s="7"/>
      <c r="W22" s="7"/>
      <c r="X22" s="7"/>
      <c r="Y22" s="7"/>
      <c r="Z22" s="7"/>
      <c r="AA22" s="7"/>
      <c r="AB22" s="7"/>
      <c r="AD22" s="7"/>
      <c r="AM22" s="7"/>
      <c r="AN22" s="7"/>
      <c r="AO22" s="1"/>
      <c r="AP22" s="7"/>
      <c r="AQ22" s="7"/>
      <c r="AR22" s="7"/>
      <c r="AS22" s="7"/>
      <c r="AT22" s="7"/>
      <c r="AU22" s="7"/>
      <c r="AV22" s="7"/>
    </row>
    <row r="23" spans="1:54" s="11" customFormat="1" ht="13.9" customHeight="1" x14ac:dyDescent="0.35">
      <c r="A23" s="1" t="s">
        <v>2</v>
      </c>
      <c r="B23" s="4">
        <f>B8</f>
        <v>7000000</v>
      </c>
      <c r="C23" s="4"/>
      <c r="D23" s="1"/>
      <c r="E23" s="4"/>
      <c r="F23" s="1"/>
      <c r="G23" s="4"/>
      <c r="H23" s="20">
        <f>B23/B27</f>
        <v>0.4375</v>
      </c>
      <c r="I23" s="4"/>
      <c r="J23" s="4"/>
      <c r="K23" s="1" t="s">
        <v>2</v>
      </c>
      <c r="L23" s="4">
        <f>B23</f>
        <v>7000000</v>
      </c>
      <c r="M23" s="4"/>
      <c r="N23" s="1"/>
      <c r="O23" s="4"/>
      <c r="P23" s="1"/>
      <c r="Q23" s="4"/>
      <c r="R23" s="20">
        <f>1-R24-R25</f>
        <v>0.25</v>
      </c>
      <c r="S23" s="4"/>
      <c r="T23" s="4"/>
      <c r="U23" s="1" t="s">
        <v>2</v>
      </c>
      <c r="V23" s="4">
        <f>L23</f>
        <v>7000000</v>
      </c>
      <c r="W23" s="4"/>
      <c r="X23" s="1"/>
      <c r="Y23" s="4"/>
      <c r="Z23" s="1"/>
      <c r="AA23" s="4"/>
      <c r="AB23" s="20">
        <f>1-AB25-AB24</f>
        <v>0.34375</v>
      </c>
      <c r="AD23" s="4"/>
      <c r="AM23" s="4"/>
      <c r="AN23" s="4"/>
      <c r="AO23" s="1" t="s">
        <v>2</v>
      </c>
      <c r="AP23" s="4">
        <f>+V23</f>
        <v>7000000</v>
      </c>
      <c r="AQ23" s="4"/>
      <c r="AR23" s="1"/>
      <c r="AS23" s="4"/>
      <c r="AT23" s="1"/>
      <c r="AU23" s="4"/>
      <c r="AV23" s="20">
        <f>1-AV25-AV24</f>
        <v>0.39423076923076922</v>
      </c>
    </row>
    <row r="24" spans="1:54" s="11" customFormat="1" ht="13.9" customHeight="1" x14ac:dyDescent="0.35">
      <c r="A24" s="1" t="s">
        <v>28</v>
      </c>
      <c r="B24" s="4">
        <f>B9</f>
        <v>3000000</v>
      </c>
      <c r="C24" s="1"/>
      <c r="D24" s="1"/>
      <c r="E24" s="1"/>
      <c r="F24" s="1"/>
      <c r="G24" s="1"/>
      <c r="H24" s="20">
        <f>B24/B27</f>
        <v>0.1875</v>
      </c>
      <c r="I24" s="1"/>
      <c r="J24" s="1"/>
      <c r="K24" s="1" t="s">
        <v>28</v>
      </c>
      <c r="L24" s="4">
        <f>L27*R24</f>
        <v>10500000</v>
      </c>
      <c r="M24" s="1"/>
      <c r="N24" s="8">
        <f>P31/L27</f>
        <v>0.2857142857142857</v>
      </c>
      <c r="O24" s="1"/>
      <c r="P24" s="1"/>
      <c r="Q24" s="1"/>
      <c r="R24" s="20">
        <f>F9/F25*R25</f>
        <v>0.375</v>
      </c>
      <c r="S24" s="1"/>
      <c r="T24" s="1"/>
      <c r="U24" s="1" t="s">
        <v>28</v>
      </c>
      <c r="V24" s="4">
        <f>V27*AB24</f>
        <v>5727272.7272727275</v>
      </c>
      <c r="W24" s="1"/>
      <c r="X24" s="8">
        <f>Z31/V27</f>
        <v>0.39285714285714285</v>
      </c>
      <c r="Y24" s="1"/>
      <c r="Z24" s="1"/>
      <c r="AA24" s="1"/>
      <c r="AB24" s="20">
        <f>AB25*(1-(1-((F15/(((B9*D9)+(B25*D25))/(B9+B25)))/1000000)/(B25/1000000)))</f>
        <v>0.28125</v>
      </c>
      <c r="AD24" s="1"/>
      <c r="AF24" s="70">
        <f>AB25*(1-AH24)-AB24</f>
        <v>0</v>
      </c>
      <c r="AG24" s="71" t="s">
        <v>33</v>
      </c>
      <c r="AH24" s="73">
        <f>1-((F15/(((V9*X9)+(B25*D25))/(V9+B25)))/1000000)/(B25/1000000)</f>
        <v>0.25</v>
      </c>
      <c r="AI24" s="72" t="s">
        <v>37</v>
      </c>
      <c r="AM24" s="1"/>
      <c r="AN24" s="1"/>
      <c r="AO24" s="1" t="s">
        <v>28</v>
      </c>
      <c r="AP24" s="4">
        <f>AP27*AV24</f>
        <v>4097560.9756097565</v>
      </c>
      <c r="AQ24" s="1"/>
      <c r="AR24" s="8">
        <f>AT31/AP27</f>
        <v>0.4505494505494505</v>
      </c>
      <c r="AS24" s="1"/>
      <c r="AT24" s="1"/>
      <c r="AU24" s="1"/>
      <c r="AV24" s="20">
        <f>AV25*(1-(1-((AT15/((((B8+B9)*D9)+(B25*D25))/(B8+B9+B25)))/1000000)/(B25/1000000)))</f>
        <v>0.23076923076923078</v>
      </c>
    </row>
    <row r="25" spans="1:54" s="11" customFormat="1" ht="13.9" customHeight="1" thickBot="1" x14ac:dyDescent="0.4">
      <c r="A25" s="58" t="s">
        <v>32</v>
      </c>
      <c r="B25" s="59">
        <v>6000000</v>
      </c>
      <c r="C25" s="1"/>
      <c r="D25" s="57">
        <v>0.5</v>
      </c>
      <c r="E25" s="1"/>
      <c r="F25" s="60">
        <f>B25*D25</f>
        <v>3000000</v>
      </c>
      <c r="G25" s="1"/>
      <c r="H25" s="61">
        <f>B25/B27</f>
        <v>0.375</v>
      </c>
      <c r="I25" s="1"/>
      <c r="J25" s="1"/>
      <c r="K25" s="58" t="s">
        <v>32</v>
      </c>
      <c r="L25" s="59">
        <f>L27*R25</f>
        <v>10500000</v>
      </c>
      <c r="M25" s="58"/>
      <c r="N25" s="57">
        <f>P25/L25</f>
        <v>0.2857142857142857</v>
      </c>
      <c r="O25" s="58"/>
      <c r="P25" s="60">
        <f>F25</f>
        <v>3000000</v>
      </c>
      <c r="Q25" s="58"/>
      <c r="R25" s="61">
        <f>H25</f>
        <v>0.375</v>
      </c>
      <c r="S25" s="1"/>
      <c r="T25" s="1"/>
      <c r="U25" s="58" t="s">
        <v>32</v>
      </c>
      <c r="V25" s="59">
        <f>V27*AB25</f>
        <v>7636363.6363636367</v>
      </c>
      <c r="W25" s="58"/>
      <c r="X25" s="57">
        <f>Z25/V25</f>
        <v>0.39285714285714285</v>
      </c>
      <c r="Y25" s="58"/>
      <c r="Z25" s="60">
        <f>F25</f>
        <v>3000000</v>
      </c>
      <c r="AA25" s="58"/>
      <c r="AB25" s="61">
        <f>H25</f>
        <v>0.375</v>
      </c>
      <c r="AD25" s="1"/>
      <c r="AG25" s="77" t="s">
        <v>60</v>
      </c>
      <c r="AM25" s="1"/>
      <c r="AN25" s="1"/>
      <c r="AO25" s="58" t="s">
        <v>32</v>
      </c>
      <c r="AP25" s="59">
        <f>AP27*AV25</f>
        <v>6658536.5853658542</v>
      </c>
      <c r="AQ25" s="58"/>
      <c r="AR25" s="57">
        <f>AT25/AP25</f>
        <v>0.4505494505494505</v>
      </c>
      <c r="AS25" s="58"/>
      <c r="AT25" s="60">
        <f>Z25</f>
        <v>3000000</v>
      </c>
      <c r="AU25" s="58"/>
      <c r="AV25" s="61">
        <f>AB25</f>
        <v>0.375</v>
      </c>
      <c r="BA25" s="77" t="s">
        <v>61</v>
      </c>
    </row>
    <row r="26" spans="1:54" s="11" customFormat="1" ht="3" customHeight="1" thickTop="1" x14ac:dyDescent="0.35"/>
    <row r="27" spans="1:54" ht="13.15" customHeight="1" x14ac:dyDescent="0.35">
      <c r="A27" s="16" t="s">
        <v>3</v>
      </c>
      <c r="B27" s="17">
        <f>B23+B24+B25</f>
        <v>16000000</v>
      </c>
      <c r="C27" s="17"/>
      <c r="D27" s="16"/>
      <c r="E27" s="17"/>
      <c r="F27" s="18">
        <f>F23+F24+F25</f>
        <v>3000000</v>
      </c>
      <c r="G27" s="17"/>
      <c r="H27" s="35">
        <f>H23+H24+H25</f>
        <v>1</v>
      </c>
      <c r="I27" s="17"/>
      <c r="J27" s="17"/>
      <c r="K27" s="16" t="s">
        <v>3</v>
      </c>
      <c r="L27" s="17">
        <f>L23/R23</f>
        <v>28000000</v>
      </c>
      <c r="M27" s="17"/>
      <c r="N27" s="16"/>
      <c r="O27" s="17"/>
      <c r="P27" s="18">
        <f>P23+P24+P25</f>
        <v>3000000</v>
      </c>
      <c r="Q27" s="17"/>
      <c r="R27" s="35">
        <f>R23+R24+R25</f>
        <v>1</v>
      </c>
      <c r="S27" s="17"/>
      <c r="T27" s="17"/>
      <c r="U27" s="16" t="s">
        <v>3</v>
      </c>
      <c r="V27" s="17">
        <f>V23/AB23</f>
        <v>20363636.363636363</v>
      </c>
      <c r="W27" s="17"/>
      <c r="X27" s="16"/>
      <c r="Y27" s="17"/>
      <c r="Z27" s="18">
        <f>Z23+Z24+Z25</f>
        <v>3000000</v>
      </c>
      <c r="AA27" s="17"/>
      <c r="AB27" s="35">
        <f>AB23+AB24+AB25</f>
        <v>1</v>
      </c>
      <c r="AD27" s="17"/>
      <c r="AG27" s="76">
        <f>V24*X24</f>
        <v>2250000</v>
      </c>
      <c r="AH27" s="3" t="s">
        <v>51</v>
      </c>
      <c r="AM27" s="17"/>
      <c r="AN27" s="17"/>
      <c r="AO27" s="16" t="s">
        <v>3</v>
      </c>
      <c r="AP27" s="17">
        <f>AP23/AV23</f>
        <v>17756097.560975611</v>
      </c>
      <c r="AQ27" s="17"/>
      <c r="AR27" s="16"/>
      <c r="AS27" s="17"/>
      <c r="AT27" s="18">
        <f>AT23+AT24+AT25</f>
        <v>3000000</v>
      </c>
      <c r="AU27" s="17"/>
      <c r="AV27" s="35">
        <f>AV23+AV24+AV25</f>
        <v>1</v>
      </c>
      <c r="BA27" s="76">
        <f>AP24*AR24</f>
        <v>1846153.8461538462</v>
      </c>
      <c r="BB27" s="3" t="s">
        <v>51</v>
      </c>
    </row>
    <row r="28" spans="1:54" ht="5.15" customHeight="1" x14ac:dyDescent="0.35">
      <c r="A28" s="16"/>
      <c r="B28" s="17"/>
      <c r="C28" s="17"/>
      <c r="D28" s="16"/>
      <c r="E28" s="17"/>
      <c r="F28" s="18"/>
      <c r="G28" s="17"/>
      <c r="H28" s="35"/>
      <c r="I28" s="17"/>
      <c r="J28" s="17"/>
      <c r="K28" s="16"/>
      <c r="L28" s="17"/>
      <c r="M28" s="17"/>
      <c r="N28" s="16"/>
      <c r="O28" s="17"/>
      <c r="P28" s="18"/>
      <c r="Q28" s="17"/>
      <c r="R28" s="35"/>
      <c r="S28" s="17"/>
      <c r="T28" s="17"/>
      <c r="U28" s="16"/>
      <c r="V28" s="17"/>
      <c r="W28" s="17"/>
      <c r="X28" s="16"/>
      <c r="Y28" s="17"/>
      <c r="Z28" s="18"/>
      <c r="AA28" s="17"/>
      <c r="AB28" s="35"/>
      <c r="AD28" s="17"/>
      <c r="AM28" s="17"/>
      <c r="AN28" s="17"/>
      <c r="AO28" s="16"/>
      <c r="AP28" s="17"/>
      <c r="AQ28" s="17"/>
      <c r="AR28" s="16"/>
      <c r="AS28" s="17"/>
      <c r="AT28" s="18"/>
      <c r="AU28" s="17"/>
      <c r="AV28" s="35"/>
    </row>
    <row r="29" spans="1:54" ht="13" customHeight="1" x14ac:dyDescent="0.35">
      <c r="A29" s="39" t="s">
        <v>13</v>
      </c>
      <c r="B29" s="17"/>
      <c r="C29" s="17"/>
      <c r="D29" s="16"/>
      <c r="E29" s="17"/>
      <c r="F29" s="18">
        <f>F31-F30</f>
        <v>5000000</v>
      </c>
      <c r="G29" s="17"/>
      <c r="H29" s="21">
        <f>F29/F31</f>
        <v>0.625</v>
      </c>
      <c r="I29" s="39"/>
      <c r="J29" s="39"/>
      <c r="K29" s="39" t="s">
        <v>13</v>
      </c>
      <c r="L29" s="17"/>
      <c r="M29" s="17"/>
      <c r="N29" s="16"/>
      <c r="O29" s="17"/>
      <c r="P29" s="18">
        <f>P31-P30</f>
        <v>5000000</v>
      </c>
      <c r="Q29" s="17"/>
      <c r="R29" s="21">
        <f>P29/P31</f>
        <v>0.625</v>
      </c>
      <c r="S29" s="39"/>
      <c r="T29" s="39"/>
      <c r="U29" s="39" t="s">
        <v>13</v>
      </c>
      <c r="V29" s="17"/>
      <c r="W29" s="17"/>
      <c r="X29" s="16"/>
      <c r="Y29" s="17"/>
      <c r="Z29" s="18">
        <f>Z31-Z30</f>
        <v>5000000</v>
      </c>
      <c r="AA29" s="17"/>
      <c r="AB29" s="21">
        <f>Z29/Z31</f>
        <v>0.625</v>
      </c>
      <c r="AD29" s="39"/>
      <c r="AG29" s="76">
        <f>AG27-Z9</f>
        <v>-750000</v>
      </c>
      <c r="AH29" s="3" t="s">
        <v>52</v>
      </c>
      <c r="AM29" s="39"/>
      <c r="AN29" s="39"/>
      <c r="AO29" s="39" t="s">
        <v>13</v>
      </c>
      <c r="AP29" s="17"/>
      <c r="AQ29" s="17"/>
      <c r="AR29" s="16"/>
      <c r="AS29" s="17"/>
      <c r="AT29" s="18">
        <f>AT31-AT30</f>
        <v>5000000</v>
      </c>
      <c r="AU29" s="17"/>
      <c r="AV29" s="21">
        <f>AT29/AT31</f>
        <v>0.625</v>
      </c>
      <c r="BA29" s="76">
        <f>BA27-AT9</f>
        <v>-1153846.1538461538</v>
      </c>
      <c r="BB29" s="3" t="s">
        <v>52</v>
      </c>
    </row>
    <row r="30" spans="1:54" ht="13" customHeight="1" thickBot="1" x14ac:dyDescent="0.4">
      <c r="A30" s="39" t="s">
        <v>14</v>
      </c>
      <c r="B30" s="17"/>
      <c r="C30" s="17"/>
      <c r="D30" s="16"/>
      <c r="E30" s="17"/>
      <c r="F30" s="40">
        <f>F25</f>
        <v>3000000</v>
      </c>
      <c r="G30" s="17"/>
      <c r="H30" s="42">
        <f>F30/F31</f>
        <v>0.375</v>
      </c>
      <c r="I30" s="39"/>
      <c r="J30" s="39"/>
      <c r="K30" s="39" t="s">
        <v>14</v>
      </c>
      <c r="L30" s="17"/>
      <c r="M30" s="17"/>
      <c r="N30" s="16"/>
      <c r="O30" s="17"/>
      <c r="P30" s="40">
        <f>P25</f>
        <v>3000000</v>
      </c>
      <c r="Q30" s="17"/>
      <c r="R30" s="42">
        <f>P30/P31</f>
        <v>0.375</v>
      </c>
      <c r="S30" s="39"/>
      <c r="T30" s="39"/>
      <c r="U30" s="39" t="s">
        <v>14</v>
      </c>
      <c r="V30" s="17"/>
      <c r="W30" s="17"/>
      <c r="X30" s="16"/>
      <c r="Y30" s="17"/>
      <c r="Z30" s="40">
        <f>Z25</f>
        <v>3000000</v>
      </c>
      <c r="AA30" s="17"/>
      <c r="AB30" s="42">
        <f>Z30/Z31</f>
        <v>0.375</v>
      </c>
      <c r="AD30" s="39"/>
      <c r="AG30" s="25">
        <f>+AG29/B24</f>
        <v>-0.25</v>
      </c>
      <c r="AH30" s="3" t="s">
        <v>62</v>
      </c>
      <c r="AM30" s="39"/>
      <c r="AN30" s="39"/>
      <c r="AO30" s="39" t="s">
        <v>14</v>
      </c>
      <c r="AP30" s="17"/>
      <c r="AQ30" s="17"/>
      <c r="AR30" s="16"/>
      <c r="AS30" s="17"/>
      <c r="AT30" s="40">
        <f>AT25</f>
        <v>3000000</v>
      </c>
      <c r="AU30" s="17"/>
      <c r="AV30" s="42">
        <f>AT30/AT31</f>
        <v>0.375</v>
      </c>
      <c r="BA30" s="79">
        <f>+BA29/B24</f>
        <v>-0.38461538461538458</v>
      </c>
      <c r="BB30" s="3" t="s">
        <v>62</v>
      </c>
    </row>
    <row r="31" spans="1:54" ht="13" customHeight="1" thickTop="1" x14ac:dyDescent="0.35">
      <c r="A31" s="39" t="s">
        <v>15</v>
      </c>
      <c r="F31" s="18">
        <f>B27*D25</f>
        <v>8000000</v>
      </c>
      <c r="H31" s="21">
        <f>H29+H30</f>
        <v>1</v>
      </c>
      <c r="I31" s="39"/>
      <c r="J31" s="39"/>
      <c r="K31" s="39" t="s">
        <v>15</v>
      </c>
      <c r="P31" s="18">
        <f>F31</f>
        <v>8000000</v>
      </c>
      <c r="R31" s="21">
        <f>R29+R30</f>
        <v>1</v>
      </c>
      <c r="S31" s="39"/>
      <c r="T31" s="39"/>
      <c r="U31" s="39" t="s">
        <v>15</v>
      </c>
      <c r="Z31" s="18">
        <f>F31</f>
        <v>8000000</v>
      </c>
      <c r="AB31" s="21">
        <f>AB29+AB30</f>
        <v>1</v>
      </c>
      <c r="AD31" s="39"/>
      <c r="AG31" s="77" t="s">
        <v>53</v>
      </c>
      <c r="AM31" s="39"/>
      <c r="AN31" s="39"/>
      <c r="AO31" s="39" t="s">
        <v>15</v>
      </c>
      <c r="AT31" s="18">
        <f>Z31</f>
        <v>8000000</v>
      </c>
      <c r="AV31" s="21">
        <f>AV29+AV30</f>
        <v>1</v>
      </c>
    </row>
    <row r="32" spans="1:54" ht="9" customHeight="1" x14ac:dyDescent="0.35"/>
    <row r="33" spans="4:48" ht="11.5" customHeight="1" x14ac:dyDescent="0.35">
      <c r="K33" s="23" t="s">
        <v>43</v>
      </c>
      <c r="L33" s="50"/>
      <c r="M33" s="50"/>
      <c r="N33" s="50"/>
      <c r="O33" s="50"/>
      <c r="P33" s="50"/>
      <c r="Q33" s="50"/>
      <c r="R33" s="50"/>
      <c r="S33" s="50"/>
      <c r="T33" s="50"/>
      <c r="U33" s="23" t="s">
        <v>43</v>
      </c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G33" s="76">
        <f>L24*N24</f>
        <v>3000000</v>
      </c>
      <c r="AH33" s="3" t="s">
        <v>51</v>
      </c>
      <c r="AM33" s="50"/>
      <c r="AN33" s="50"/>
      <c r="AO33" s="23" t="s">
        <v>43</v>
      </c>
      <c r="AP33" s="50"/>
      <c r="AQ33" s="50"/>
      <c r="AR33" s="50"/>
      <c r="AS33" s="50"/>
      <c r="AT33" s="50"/>
      <c r="AU33" s="50"/>
      <c r="AV33" s="50"/>
    </row>
    <row r="34" spans="4:48" ht="11.5" customHeight="1" x14ac:dyDescent="0.35">
      <c r="K34" s="66" t="str">
        <f>"Step 1: Series B Investor retains its intended % Ownership ("&amp;TEXT(H25,"#,#%")&amp;")"</f>
        <v>Step 1: Series B Investor retains its intended % Ownership (37,5%)</v>
      </c>
      <c r="L34" s="50"/>
      <c r="M34" s="50"/>
      <c r="N34" s="50"/>
      <c r="O34" s="50"/>
      <c r="P34" s="50"/>
      <c r="Q34" s="50"/>
      <c r="R34" s="50"/>
      <c r="S34" s="50"/>
      <c r="T34" s="50"/>
      <c r="U34" s="65" t="s">
        <v>34</v>
      </c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M34" s="50"/>
      <c r="AN34" s="50"/>
      <c r="AO34" s="65" t="s">
        <v>34</v>
      </c>
      <c r="AP34" s="50"/>
      <c r="AQ34" s="50"/>
      <c r="AR34" s="50"/>
      <c r="AS34" s="50"/>
      <c r="AT34" s="50"/>
      <c r="AU34" s="50"/>
      <c r="AV34" s="50"/>
    </row>
    <row r="35" spans="4:48" ht="11.5" customHeight="1" x14ac:dyDescent="0.35">
      <c r="K35" s="66" t="s">
        <v>38</v>
      </c>
      <c r="L35" s="50"/>
      <c r="M35" s="50"/>
      <c r="N35" s="50"/>
      <c r="O35" s="50"/>
      <c r="P35" s="50"/>
      <c r="Q35" s="50"/>
      <c r="R35" s="50"/>
      <c r="S35" s="50"/>
      <c r="T35" s="50"/>
      <c r="U35" s="69" t="s">
        <v>46</v>
      </c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G35" s="76">
        <f>AG33-Z9</f>
        <v>0</v>
      </c>
      <c r="AH35" s="3" t="s">
        <v>52</v>
      </c>
      <c r="AM35" s="50"/>
      <c r="AN35" s="50"/>
      <c r="AO35" s="69" t="s">
        <v>46</v>
      </c>
      <c r="AP35" s="50"/>
      <c r="AQ35" s="50"/>
      <c r="AR35" s="50"/>
      <c r="AS35" s="50"/>
      <c r="AT35" s="50"/>
      <c r="AU35" s="50"/>
      <c r="AV35" s="50"/>
    </row>
    <row r="36" spans="4:48" ht="11.5" customHeight="1" x14ac:dyDescent="0.35">
      <c r="K36" s="69" t="s">
        <v>39</v>
      </c>
      <c r="L36" s="50"/>
      <c r="M36" s="50"/>
      <c r="N36" s="50"/>
      <c r="O36" s="50"/>
      <c r="P36" s="50"/>
      <c r="Q36" s="50"/>
      <c r="R36" s="50"/>
      <c r="S36" s="50"/>
      <c r="T36" s="50"/>
      <c r="U36" s="64" t="str">
        <f>"   WAP = ("&amp;TEXT(D9,"$#,##0.0")&amp;" * "&amp;TEXT(B9/1000000,"#0")&amp;"m shares 'A') + ("&amp;TEXT(D25,"$0#,##0")&amp;" * "&amp;TEXT(B25/1000000,"#0")&amp;"m shares 'B') / ("&amp;TEXT(B9/1000000,"#0")&amp;"m 'A' + "&amp;TEXT(B25/1000000,"#0")&amp;"m 'B')"</f>
        <v xml:space="preserve">   WAP = ($1,00 * 3m shares 'A') + ($0,50 * 6m shares 'B') / (3m 'A' + 6m 'B')</v>
      </c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M36" s="50"/>
      <c r="AN36" s="50"/>
      <c r="AO36" s="78" t="str">
        <f>"   WAP = ("&amp;TEXT(D9,"$#,##0.0")&amp;" * "&amp;TEXT((B8+B9)/1000000,"0#")&amp;"m shares 'F' + 'A') + ("&amp;TEXT(D25,"$0#,##0")&amp;" * "&amp;TEXT(B25/1000000,"#")&amp;"m shares 'B') / ("&amp;TEXT(B8/1000000,"#")&amp;"m 'F' + "&amp;TEXT(B9/1000000,"#")&amp;"m 'A' + "&amp;TEXT(B25/1000000,"#")&amp;"m 'B')"</f>
        <v xml:space="preserve">   WAP = ($1,00 * 10m shares 'F' + 'A') + ($0,50 * 6m shares 'B') / (7m 'F' + 3m 'A' + 6m 'B')</v>
      </c>
      <c r="AP36" s="50"/>
      <c r="AQ36" s="50"/>
      <c r="AR36" s="50"/>
      <c r="AS36" s="50"/>
      <c r="AT36" s="50"/>
      <c r="AU36" s="50"/>
      <c r="AV36" s="50"/>
    </row>
    <row r="37" spans="4:48" ht="11.5" customHeight="1" x14ac:dyDescent="0.35">
      <c r="K37" s="50" t="str">
        <f>"  Series A Ownership % =  "&amp;TEXT(F9/1000000,"$#0")&amp;"m  'A' Invest. / "&amp;TEXT(F25/1000000,"$#0")&amp;"m 'B' Invest. * "&amp;TEXT(H25,"#,#%")&amp;" 'B' Own."</f>
        <v xml:space="preserve">  Series A Ownership % =  $3m  'A' Invest. / $3m 'B' Invest. * 37,5% 'B' Own.</v>
      </c>
      <c r="L37" s="50"/>
      <c r="M37" s="50"/>
      <c r="N37" s="50"/>
      <c r="O37" s="50"/>
      <c r="P37" s="50"/>
      <c r="Q37" s="50"/>
      <c r="R37" s="50"/>
      <c r="S37" s="50"/>
      <c r="T37" s="50"/>
      <c r="U37" s="64" t="str">
        <f>"   WAP = "&amp;TEXT(((B9*D9)+(B25*D25))/(B9+B25),"$0#,##")</f>
        <v xml:space="preserve">   WAP = $0,67</v>
      </c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M37" s="50"/>
      <c r="AN37" s="50"/>
      <c r="AO37" s="64" t="str">
        <f>"   WAP = "&amp;TEXT((((B8+B9)*D9)+(B25*D25))/(B8+B9+B25),"$0#,##")</f>
        <v xml:space="preserve">   WAP = $0,81</v>
      </c>
      <c r="AP37" s="50"/>
      <c r="AQ37" s="50"/>
      <c r="AR37" s="50"/>
      <c r="AS37" s="50"/>
      <c r="AT37" s="50"/>
      <c r="AU37" s="50"/>
      <c r="AV37" s="50"/>
    </row>
    <row r="38" spans="4:48" ht="11.5" customHeight="1" x14ac:dyDescent="0.35">
      <c r="K38" s="50" t="str">
        <f>"  Series A Ownership % =  "&amp;TEXT(H25*F9/F25,"#,#%")</f>
        <v xml:space="preserve">  Series A Ownership % =  37,5%</v>
      </c>
      <c r="L38" s="50"/>
      <c r="M38" s="50"/>
      <c r="N38" s="50"/>
      <c r="O38" s="50"/>
      <c r="P38" s="50"/>
      <c r="Q38" s="50"/>
      <c r="R38" s="50"/>
      <c r="S38" s="50"/>
      <c r="T38" s="50"/>
      <c r="U38" s="65" t="s">
        <v>35</v>
      </c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M38" s="50"/>
      <c r="AN38" s="50"/>
      <c r="AO38" s="65" t="s">
        <v>35</v>
      </c>
      <c r="AP38" s="50"/>
      <c r="AQ38" s="50"/>
      <c r="AR38" s="50"/>
      <c r="AS38" s="50"/>
      <c r="AT38" s="50"/>
      <c r="AU38" s="50"/>
      <c r="AV38" s="50"/>
    </row>
    <row r="39" spans="4:48" ht="11.5" customHeight="1" x14ac:dyDescent="0.35">
      <c r="K39" s="65" t="s">
        <v>41</v>
      </c>
      <c r="L39" s="50"/>
      <c r="M39" s="50"/>
      <c r="N39" s="50"/>
      <c r="O39" s="50"/>
      <c r="P39" s="50"/>
      <c r="Q39" s="50"/>
      <c r="R39" s="50"/>
      <c r="S39" s="50"/>
      <c r="T39" s="50"/>
      <c r="U39" s="69" t="s">
        <v>47</v>
      </c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M39" s="50"/>
      <c r="AN39" s="50"/>
      <c r="AO39" s="69" t="s">
        <v>47</v>
      </c>
      <c r="AP39" s="50"/>
      <c r="AQ39" s="50"/>
      <c r="AR39" s="50"/>
      <c r="AS39" s="50"/>
      <c r="AT39" s="50"/>
      <c r="AU39" s="50"/>
      <c r="AV39" s="50"/>
    </row>
    <row r="40" spans="4:48" ht="11.5" customHeight="1" x14ac:dyDescent="0.35">
      <c r="D40" s="68"/>
      <c r="K40" s="69" t="s">
        <v>44</v>
      </c>
      <c r="L40" s="50"/>
      <c r="M40" s="50"/>
      <c r="N40" s="50"/>
      <c r="O40" s="50"/>
      <c r="P40" s="50"/>
      <c r="Q40" s="50"/>
      <c r="R40" s="50"/>
      <c r="S40" s="50"/>
      <c r="T40" s="50"/>
      <c r="U40" s="64" t="str">
        <f>"   Adjusted Shares for A   =  "&amp;TEXT(F9/1000000,"$#,##0")&amp;"m  'A' Investment / "&amp;TEXT(((B9*D9)+(B25*D25))/(B9+B25),"$0#,##")</f>
        <v xml:space="preserve">   Adjusted Shares for A   =  $3,0m  'A' Investment / $0,67</v>
      </c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M40" s="50"/>
      <c r="AN40" s="50"/>
      <c r="AO40" s="64" t="str">
        <f>"   Adjusted Shares for A   =  "&amp;TEXT(AT9/1000000,"$#,##0")&amp;"m  'A' Investment / "&amp;TEXT((((B8+B9)*D9)+(B25*D25))/(B8+B9+B25),"$0#,##")</f>
        <v xml:space="preserve">   Adjusted Shares for A   =  $3,0m  'A' Investment / $0,81</v>
      </c>
      <c r="AP40" s="50"/>
      <c r="AQ40" s="50"/>
      <c r="AR40" s="50"/>
      <c r="AS40" s="50"/>
      <c r="AT40" s="50"/>
      <c r="AU40" s="50"/>
      <c r="AV40" s="50"/>
    </row>
    <row r="41" spans="4:48" ht="11.5" customHeight="1" x14ac:dyDescent="0.35">
      <c r="K41" s="50" t="str">
        <f>"  Final Founders Ownership % =  1 -  ( "&amp;TEXT(R25,"#,#%")&amp;"  +  "&amp;TEXT(R24,"#,#%")&amp;" )"</f>
        <v xml:space="preserve">  Final Founders Ownership % =  1 -  ( 37,5%  +  37,5% )</v>
      </c>
      <c r="L41" s="50"/>
      <c r="M41" s="50"/>
      <c r="N41" s="50"/>
      <c r="O41" s="50"/>
      <c r="P41" s="50"/>
      <c r="Q41" s="50"/>
      <c r="R41" s="50"/>
      <c r="S41" s="50"/>
      <c r="T41" s="50"/>
      <c r="U41" s="64" t="str">
        <f>"   Adjusted Shares for A   =  "&amp;TEXT((F15/(((B9*D9)+(B25*D25))/(B9+B25)))/1000000,"#,##")&amp;"m"</f>
        <v xml:space="preserve">   Adjusted Shares for A   =  4,5m</v>
      </c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M41" s="50"/>
      <c r="AN41" s="50"/>
      <c r="AO41" s="64" t="str">
        <f>"   Adjusted Shares for A   =  "&amp;TEXT((AT15/((((B8+B9)*D9)+(B25*D25))/(B8+B9+B25)))/1000000,"#,#")&amp;"m"</f>
        <v xml:space="preserve">   Adjusted Shares for A   =  3,7m</v>
      </c>
      <c r="AP41" s="50"/>
      <c r="AQ41" s="50"/>
      <c r="AR41" s="50"/>
      <c r="AS41" s="50"/>
      <c r="AT41" s="50"/>
      <c r="AU41" s="50"/>
      <c r="AV41" s="50"/>
    </row>
    <row r="42" spans="4:48" ht="11.5" customHeight="1" x14ac:dyDescent="0.35">
      <c r="K42" s="50" t="str">
        <f>"  Final Founders Ownership % =  "&amp;TEXT(1-R25-R24,"#,#0%")</f>
        <v xml:space="preserve">  Final Founders Ownership % =  25,0%</v>
      </c>
      <c r="L42" s="63"/>
      <c r="M42" s="50"/>
      <c r="N42" s="62"/>
      <c r="O42" s="50"/>
      <c r="P42" s="50"/>
      <c r="Q42" s="50"/>
      <c r="R42" s="50"/>
      <c r="S42" s="50"/>
      <c r="T42" s="50"/>
      <c r="U42" s="66" t="str">
        <f>"Step 3: Calculate Series A % Ownership as % of Series B (retains "&amp;TEXT(H25,"#,#%")&amp;")"</f>
        <v>Step 3: Calculate Series A % Ownership as % of Series B (retains 37,5%)</v>
      </c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M42" s="50"/>
      <c r="AN42" s="50"/>
      <c r="AO42" s="66" t="str">
        <f>"Step 3: Calculate Series A % Ownership as % of Series B (retains "&amp;TEXT(AB25,"#,##0%")&amp;")"</f>
        <v>Step 3: Calculate Series A % Ownership as % of Series B (retains 37,50%)</v>
      </c>
      <c r="AP42" s="50"/>
      <c r="AQ42" s="50"/>
      <c r="AR42" s="50"/>
      <c r="AS42" s="50"/>
      <c r="AT42" s="50"/>
      <c r="AU42" s="50"/>
      <c r="AV42" s="50"/>
    </row>
    <row r="43" spans="4:48" ht="11.5" customHeight="1" x14ac:dyDescent="0.35">
      <c r="K43" s="69" t="s">
        <v>45</v>
      </c>
      <c r="L43" s="50"/>
      <c r="M43" s="50"/>
      <c r="N43" s="50"/>
      <c r="O43" s="50"/>
      <c r="P43" s="50"/>
      <c r="Q43" s="50"/>
      <c r="R43" s="50"/>
      <c r="S43" s="50"/>
      <c r="T43" s="50"/>
      <c r="U43" s="69" t="s">
        <v>54</v>
      </c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M43" s="50"/>
      <c r="AN43" s="50"/>
      <c r="AO43" s="69" t="s">
        <v>54</v>
      </c>
      <c r="AP43" s="50"/>
      <c r="AQ43" s="50"/>
      <c r="AR43" s="50"/>
      <c r="AS43" s="50"/>
      <c r="AT43" s="50"/>
      <c r="AU43" s="50"/>
      <c r="AV43" s="50"/>
    </row>
    <row r="44" spans="4:48" ht="11.5" customHeight="1" x14ac:dyDescent="0.35">
      <c r="K44" s="50" t="str">
        <f>"  Adjusted Total Shares =  "&amp;TEXT(L23/1000000,"#,##0")&amp;"m  /  "&amp;TEXT(R23,"#,##0%")</f>
        <v xml:space="preserve">  Adjusted Total Shares =  7,0m  /  25,0%</v>
      </c>
      <c r="L44" s="50"/>
      <c r="M44" s="50"/>
      <c r="N44" s="50"/>
      <c r="O44" s="50"/>
      <c r="P44" s="50"/>
      <c r="Q44" s="50"/>
      <c r="R44" s="50"/>
      <c r="S44" s="50"/>
      <c r="T44" s="50"/>
      <c r="U44" s="50" t="str">
        <f>"  Discount for 'A' Ownership =  1 - ("&amp;TEXT((F15/(((B9*D9)+(B25*D25))/(B9+B25)))/1000000,"#,##")&amp;"m 'A' Shares / "&amp;TEXT(B25/1000000,"#,##0")&amp;"m 'B' Shares))"</f>
        <v xml:space="preserve">  Discount for 'A' Ownership =  1 - (4,5m 'A' Shares / 6,0m 'B' Shares))</v>
      </c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M44" s="50"/>
      <c r="AN44" s="50"/>
      <c r="AO44" s="50" t="str">
        <f>"  Discount for 'A' Ownership =  1 - ("&amp;TEXT((AT15/((((B8+B9)*D9)+(B25*D25))/(B8+B9+B25)))/1000000,"#,#")&amp;"m 'A' Shares / "&amp;TEXT(B25/1000000,"#,##0")&amp;"m 'B' Shares))"</f>
        <v xml:space="preserve">  Discount for 'A' Ownership =  1 - (3,7m 'A' Shares / 6,0m 'B' Shares))</v>
      </c>
      <c r="AP44" s="50"/>
      <c r="AQ44" s="50"/>
      <c r="AR44" s="50"/>
      <c r="AS44" s="50"/>
      <c r="AT44" s="50"/>
      <c r="AU44" s="50"/>
      <c r="AV44" s="50"/>
    </row>
    <row r="45" spans="4:48" ht="11.5" customHeight="1" x14ac:dyDescent="0.35">
      <c r="K45" s="50" t="str">
        <f>"  Adjusted Total Shares =  "&amp;TEXT(L23/R23/1000000,"#,##0")&amp;"m  Total Shares Outstanding"</f>
        <v xml:space="preserve">  Adjusted Total Shares =  28,0m  Total Shares Outstanding</v>
      </c>
      <c r="L45" s="50"/>
      <c r="M45" s="50"/>
      <c r="N45" s="50"/>
      <c r="O45" s="50"/>
      <c r="P45" s="50"/>
      <c r="Q45" s="50"/>
      <c r="R45" s="50"/>
      <c r="S45" s="50"/>
      <c r="T45" s="50"/>
      <c r="U45" s="50" t="str">
        <f>"  Discount for 'A' Ownership =  "&amp;TEXT(1-((F15/(((B9*D9)+(B25*D25))/(B9+B25)))/1000000)/(B25/1000000),"#,##0%")&amp;" Discount to 'B' Ownership %"</f>
        <v xml:space="preserve">  Discount for 'A' Ownership =  25,0% Discount to 'B' Ownership %</v>
      </c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M45" s="50"/>
      <c r="AN45" s="50"/>
      <c r="AO45" s="50" t="str">
        <f>"  Discount for 'A' Ownership =  "&amp;TEXT(1-((AT15/((((B8+B9)*D9)+(B25*D25))/(B8+B9+B25)))/1000000)/(B25/1000000),"#,#%")&amp;" Discount to 'B' Ownership %"</f>
        <v xml:space="preserve">  Discount for 'A' Ownership =  38,5% Discount to 'B' Ownership %</v>
      </c>
      <c r="AP45" s="50"/>
      <c r="AQ45" s="50"/>
      <c r="AR45" s="50"/>
      <c r="AS45" s="50"/>
      <c r="AT45" s="50"/>
      <c r="AU45" s="50"/>
      <c r="AV45" s="50"/>
    </row>
    <row r="46" spans="4:48" ht="11.5" customHeight="1" x14ac:dyDescent="0.35"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65" t="s">
        <v>36</v>
      </c>
      <c r="V46" s="50"/>
      <c r="W46" s="50"/>
      <c r="X46" s="62"/>
      <c r="Y46" s="50"/>
      <c r="Z46" s="50"/>
      <c r="AA46" s="50"/>
      <c r="AB46" s="50"/>
      <c r="AC46" s="50"/>
      <c r="AM46" s="50"/>
      <c r="AN46" s="50"/>
      <c r="AO46" s="65" t="s">
        <v>36</v>
      </c>
      <c r="AP46" s="50"/>
      <c r="AQ46" s="50"/>
      <c r="AR46" s="62"/>
      <c r="AS46" s="50"/>
      <c r="AT46" s="50"/>
      <c r="AU46" s="50"/>
      <c r="AV46" s="50"/>
    </row>
    <row r="47" spans="4:48" ht="11.5" customHeight="1" x14ac:dyDescent="0.35">
      <c r="S47" s="50"/>
      <c r="T47" s="50"/>
      <c r="U47" s="69" t="s">
        <v>55</v>
      </c>
      <c r="V47" s="54"/>
      <c r="W47" s="74"/>
      <c r="X47" s="50"/>
      <c r="Y47" s="50"/>
      <c r="Z47" s="50"/>
      <c r="AA47" s="50"/>
      <c r="AB47" s="50"/>
      <c r="AC47" s="50"/>
      <c r="AM47" s="50"/>
      <c r="AN47" s="50"/>
      <c r="AO47" s="69" t="s">
        <v>55</v>
      </c>
      <c r="AP47" s="54"/>
      <c r="AQ47" s="74"/>
      <c r="AR47" s="50"/>
      <c r="AS47" s="50"/>
      <c r="AT47" s="50"/>
      <c r="AU47" s="50"/>
      <c r="AV47" s="50"/>
    </row>
    <row r="48" spans="4:48" ht="11.5" customHeight="1" x14ac:dyDescent="0.35">
      <c r="K48" s="67" t="s">
        <v>42</v>
      </c>
      <c r="L48" s="50"/>
      <c r="M48" s="50"/>
      <c r="N48" s="50"/>
      <c r="O48" s="50"/>
      <c r="P48" s="50"/>
      <c r="Q48" s="50"/>
      <c r="R48" s="50"/>
      <c r="S48" s="50"/>
      <c r="T48" s="50"/>
      <c r="U48" s="50" t="str">
        <f>"  Final 'A' Ownership % =  "&amp;TEXT(H25,"#,##%")&amp;" * (1 - "&amp;TEXT(1-((F15/(((B9*D9)+(B25*D25))/(B9+B25)))/1000000)/(B25/1000000),"#,##0%")&amp;")"</f>
        <v xml:space="preserve">  Final 'A' Ownership % =  37,5% * (1 - 25,0%)</v>
      </c>
      <c r="V48" s="50"/>
      <c r="W48" s="50"/>
      <c r="X48" s="50"/>
      <c r="Y48" s="50"/>
      <c r="Z48" s="50"/>
      <c r="AA48" s="50"/>
      <c r="AB48" s="50"/>
      <c r="AC48" s="50"/>
      <c r="AM48" s="50"/>
      <c r="AN48" s="50"/>
      <c r="AO48" s="50" t="str">
        <f>"  Final 'A' Ownership % =  "&amp;TEXT(H25,"#,##%")&amp;" * (1 - "&amp;TEXT(1-((F15/((((B8+B9)*D9)+(B25*D25))/(B8+B9+B25)))/1000000)/(B25/1000000),"#,#%")&amp;")"</f>
        <v xml:space="preserve">  Final 'A' Ownership % =  37,5% * (1 - 38,5%)</v>
      </c>
      <c r="AP48" s="50"/>
      <c r="AQ48" s="50"/>
      <c r="AR48" s="50"/>
      <c r="AS48" s="50"/>
      <c r="AT48" s="50"/>
      <c r="AU48" s="50"/>
      <c r="AV48" s="50"/>
    </row>
    <row r="49" spans="11:48" ht="11.5" customHeight="1" x14ac:dyDescent="0.35">
      <c r="K49" s="75" t="s">
        <v>48</v>
      </c>
      <c r="N49" s="55"/>
      <c r="O49" s="50"/>
      <c r="S49" s="50"/>
      <c r="T49" s="50"/>
      <c r="U49" s="50" t="str">
        <f>"  Final 'A' Ownership % =  "&amp;TEXT(AB24,"#,#%")</f>
        <v xml:space="preserve">  Final 'A' Ownership % =  28,1%</v>
      </c>
      <c r="V49" s="50"/>
      <c r="W49" s="50"/>
      <c r="X49" s="50"/>
      <c r="Y49" s="50"/>
      <c r="Z49" s="50"/>
      <c r="AA49" s="50"/>
      <c r="AB49" s="50"/>
      <c r="AC49" s="50"/>
      <c r="AM49" s="50"/>
      <c r="AN49" s="50"/>
      <c r="AO49" s="50" t="str">
        <f>"  Final 'A' Ownership % =  "&amp;TEXT(AV24,"#,#%")</f>
        <v xml:space="preserve">  Final 'A' Ownership % =  23,1%</v>
      </c>
      <c r="AP49" s="50"/>
      <c r="AQ49" s="50"/>
      <c r="AR49" s="50"/>
      <c r="AS49" s="50"/>
      <c r="AT49" s="50"/>
      <c r="AU49" s="50"/>
      <c r="AV49" s="50"/>
    </row>
    <row r="50" spans="11:48" ht="11.5" customHeight="1" x14ac:dyDescent="0.35">
      <c r="K50" s="64" t="str">
        <f>"   Adjusted Shares for A   =  "&amp;TEXT(P9/1000000,"$#,##0")&amp;"m  / "&amp;TEXT(P31/L27,"$0#,##")&amp;" per share"</f>
        <v xml:space="preserve">   Adjusted Shares for A   =  $3,0m  / $0,29 per share</v>
      </c>
      <c r="L50" s="50"/>
      <c r="M50" s="50"/>
      <c r="N50" s="50"/>
      <c r="O50" s="50"/>
      <c r="P50" s="50"/>
      <c r="Q50" s="50"/>
      <c r="R50" s="50"/>
      <c r="S50" s="50"/>
      <c r="T50" s="50"/>
      <c r="U50" s="65" t="s">
        <v>40</v>
      </c>
      <c r="V50" s="50"/>
      <c r="W50" s="55"/>
      <c r="X50" s="55"/>
      <c r="Y50" s="50"/>
      <c r="Z50" s="50"/>
      <c r="AA50" s="50"/>
      <c r="AB50" s="50"/>
      <c r="AC50" s="50"/>
      <c r="AM50" s="50"/>
      <c r="AN50" s="50"/>
      <c r="AO50" s="65" t="s">
        <v>40</v>
      </c>
      <c r="AP50" s="50"/>
      <c r="AQ50" s="55"/>
      <c r="AR50" s="55"/>
      <c r="AS50" s="50"/>
      <c r="AT50" s="50"/>
      <c r="AU50" s="50"/>
      <c r="AV50" s="50"/>
    </row>
    <row r="51" spans="11:48" ht="11.5" customHeight="1" x14ac:dyDescent="0.35">
      <c r="K51" s="64" t="str">
        <f>"   Adjusted Shares for A   =  "&amp;TEXT(((B24*D9)/N25)/1000000,"#,0")&amp;"m Shares"</f>
        <v xml:space="preserve">   Adjusted Shares for A   =  10,5m Shares</v>
      </c>
      <c r="L51" s="50"/>
      <c r="M51" s="50"/>
      <c r="N51" s="50"/>
      <c r="O51" s="50"/>
      <c r="P51" s="50"/>
      <c r="Q51" s="50"/>
      <c r="R51" s="50"/>
      <c r="S51" s="50"/>
      <c r="T51" s="50"/>
      <c r="U51" s="69" t="s">
        <v>44</v>
      </c>
      <c r="V51" s="50"/>
      <c r="W51" s="50"/>
      <c r="X51" s="50"/>
      <c r="Y51" s="50"/>
      <c r="Z51" s="50"/>
      <c r="AA51" s="50"/>
      <c r="AB51" s="50"/>
      <c r="AC51" s="50"/>
      <c r="AM51" s="50"/>
      <c r="AN51" s="50"/>
      <c r="AO51" s="69" t="s">
        <v>44</v>
      </c>
      <c r="AP51" s="50"/>
      <c r="AQ51" s="50"/>
      <c r="AR51" s="50"/>
      <c r="AS51" s="50"/>
      <c r="AT51" s="50"/>
      <c r="AU51" s="50"/>
      <c r="AV51" s="50"/>
    </row>
    <row r="52" spans="11:48" ht="11.5" customHeight="1" x14ac:dyDescent="0.35">
      <c r="K52" s="50"/>
      <c r="L52" s="50"/>
      <c r="M52" s="52"/>
      <c r="N52" s="50"/>
      <c r="O52" s="50"/>
      <c r="P52" s="50"/>
      <c r="Q52" s="50"/>
      <c r="R52" s="50"/>
      <c r="S52" s="50"/>
      <c r="T52" s="50"/>
      <c r="U52" s="50" t="str">
        <f>"  Final Founders Ownership % =  1 -  ( "&amp;TEXT(AB25,"#,##%")&amp;"  +  "&amp;TEXT(AB24,"#,#%")&amp;" )"</f>
        <v xml:space="preserve">  Final Founders Ownership % =  1 -  ( 37,5%  +  28,1% )</v>
      </c>
      <c r="V52" s="50"/>
      <c r="W52" s="50"/>
      <c r="X52" s="50"/>
      <c r="Y52" s="50"/>
      <c r="Z52" s="50"/>
      <c r="AA52" s="50"/>
      <c r="AB52" s="50"/>
      <c r="AC52" s="50"/>
      <c r="AM52" s="50"/>
      <c r="AN52" s="50"/>
      <c r="AO52" s="50" t="str">
        <f>"  Final Founders Ownership % =  1 -  ( "&amp;TEXT(AV25,"#,#%")&amp;"  +  "&amp;TEXT(AV24,"#,#%")&amp;" )"</f>
        <v xml:space="preserve">  Final Founders Ownership % =  1 -  ( 37,5%  +  23,1% )</v>
      </c>
      <c r="AP52" s="50"/>
      <c r="AQ52" s="50"/>
      <c r="AR52" s="50"/>
      <c r="AS52" s="50"/>
      <c r="AT52" s="50"/>
      <c r="AU52" s="50"/>
      <c r="AV52" s="50"/>
    </row>
    <row r="53" spans="11:48" ht="11.5" customHeight="1" x14ac:dyDescent="0.35">
      <c r="K53" s="75" t="s">
        <v>49</v>
      </c>
      <c r="L53" s="50"/>
      <c r="M53" s="50"/>
      <c r="N53" s="50"/>
      <c r="O53" s="50"/>
      <c r="P53" s="50"/>
      <c r="Q53" s="50"/>
      <c r="R53" s="50"/>
      <c r="S53" s="50"/>
      <c r="T53" s="50"/>
      <c r="U53" s="50" t="str">
        <f>"  Final Founders Ownership % =  "&amp;TEXT(1-AB25-AB24,"#,#%")</f>
        <v xml:space="preserve">  Final Founders Ownership % =  34,4%</v>
      </c>
      <c r="V53" s="50"/>
      <c r="W53" s="50"/>
      <c r="X53" s="50"/>
      <c r="Y53" s="50"/>
      <c r="Z53" s="50"/>
      <c r="AA53" s="50"/>
      <c r="AB53" s="50"/>
      <c r="AC53" s="50"/>
      <c r="AM53" s="50"/>
      <c r="AN53" s="50"/>
      <c r="AO53" s="50" t="str">
        <f>"  Final Founders Ownership % =  "&amp;TEXT(1-AV25-AV24,"#,#%")</f>
        <v xml:space="preserve">  Final Founders Ownership % =  39,4%</v>
      </c>
      <c r="AP53" s="50"/>
      <c r="AQ53" s="50"/>
      <c r="AR53" s="50"/>
      <c r="AS53" s="50"/>
      <c r="AT53" s="50"/>
      <c r="AU53" s="50"/>
      <c r="AV53" s="50"/>
    </row>
    <row r="54" spans="11:48" ht="11.5" customHeight="1" x14ac:dyDescent="0.35">
      <c r="K54" s="64" t="str">
        <f>"   CP   =  "&amp;TEXT(P31/1000000,"$#,##0")&amp;"m / "&amp;TEXT(L27/1000000,"#,##0")&amp;"m shares    ("&amp;TEXT(L23/1000000,"#,##0")&amp;"m Founders +"&amp;TEXT(L24/1000000,"#,0")&amp;"m 'A' + "&amp;TEXT(L25/1000000,"#,0")&amp;"m 'B')"</f>
        <v xml:space="preserve">   CP   =  $8,0m / 28,0m shares    (7,0m Founders +10,5m 'A' + 10,5m 'B')</v>
      </c>
      <c r="L54" s="50"/>
      <c r="M54" s="50"/>
      <c r="N54" s="50"/>
      <c r="O54" s="50"/>
      <c r="P54" s="50"/>
      <c r="Q54" s="50"/>
      <c r="R54" s="50"/>
      <c r="S54" s="50"/>
      <c r="T54" s="50"/>
      <c r="U54" s="69" t="s">
        <v>45</v>
      </c>
      <c r="V54" s="50"/>
      <c r="W54" s="50"/>
      <c r="X54" s="50"/>
      <c r="Y54" s="50"/>
      <c r="Z54" s="50"/>
      <c r="AA54" s="50"/>
      <c r="AB54" s="50"/>
      <c r="AC54" s="50"/>
      <c r="AM54" s="50"/>
      <c r="AN54" s="50"/>
      <c r="AO54" s="69" t="s">
        <v>45</v>
      </c>
      <c r="AP54" s="50"/>
      <c r="AQ54" s="50"/>
      <c r="AR54" s="50"/>
      <c r="AS54" s="50"/>
      <c r="AT54" s="50"/>
      <c r="AU54" s="50"/>
      <c r="AV54" s="50"/>
    </row>
    <row r="55" spans="11:48" ht="11.5" customHeight="1" x14ac:dyDescent="0.35">
      <c r="K55" s="64" t="str">
        <f>"   CP   =  "&amp;TEXT(P31/L27,"$0#,#0")&amp;" per share"</f>
        <v xml:space="preserve">   CP   =  $0,29 per share</v>
      </c>
      <c r="L55" s="50"/>
      <c r="M55" s="50"/>
      <c r="N55" s="50"/>
      <c r="O55" s="50"/>
      <c r="P55" s="50"/>
      <c r="Q55" s="50"/>
      <c r="R55" s="50"/>
      <c r="S55" s="50"/>
      <c r="T55" s="50"/>
      <c r="U55" s="50" t="str">
        <f>"  Adjusted Total Shares =  "&amp;TEXT(V23/1000000,"#,##0")&amp;"m  /  "&amp;TEXT(AB23,"#,#%")</f>
        <v xml:space="preserve">  Adjusted Total Shares =  7,0m  /  34,4%</v>
      </c>
      <c r="V55" s="50"/>
      <c r="W55" s="50"/>
      <c r="X55" s="50"/>
      <c r="Y55" s="50"/>
      <c r="Z55" s="50"/>
      <c r="AA55" s="50"/>
      <c r="AB55" s="50"/>
      <c r="AC55" s="50"/>
      <c r="AM55" s="50"/>
      <c r="AN55" s="50"/>
      <c r="AO55" s="50" t="str">
        <f>"  Adjusted Total Shares =  "&amp;TEXT(AP23/1000000,"#,##0")&amp;"m  /  "&amp;TEXT(AV23,"#,#%")</f>
        <v xml:space="preserve">  Adjusted Total Shares =  7,0m  /  39,4%</v>
      </c>
      <c r="AP55" s="50"/>
      <c r="AQ55" s="50"/>
      <c r="AR55" s="50"/>
      <c r="AS55" s="50"/>
      <c r="AT55" s="50"/>
      <c r="AU55" s="50"/>
      <c r="AV55" s="50"/>
    </row>
    <row r="56" spans="11:48" ht="11.5" customHeight="1" x14ac:dyDescent="0.35">
      <c r="K56" s="56"/>
      <c r="L56" s="55"/>
      <c r="M56" s="50"/>
      <c r="N56" s="50"/>
      <c r="O56" s="50"/>
      <c r="P56" s="50"/>
      <c r="Q56" s="50"/>
      <c r="R56" s="50"/>
      <c r="S56" s="50"/>
      <c r="T56" s="50"/>
      <c r="U56" s="50" t="str">
        <f>"  Adjusted Total Shares =  "&amp;TEXT(V23/AB23/1000000,"#,#")&amp;"m  Total Shares Outstanding"</f>
        <v xml:space="preserve">  Adjusted Total Shares =  20,4m  Total Shares Outstanding</v>
      </c>
      <c r="V56" s="50"/>
      <c r="W56" s="50"/>
      <c r="X56" s="50"/>
      <c r="Y56" s="50"/>
      <c r="Z56" s="50"/>
      <c r="AA56" s="50"/>
      <c r="AB56" s="50"/>
      <c r="AC56" s="50"/>
      <c r="AM56" s="50"/>
      <c r="AN56" s="50"/>
      <c r="AO56" s="50" t="str">
        <f>"  Adjusted Total Shares =  "&amp;TEXT(AP23/AV23/1000000,"#,#")&amp;"m  Total Shares Outstanding"</f>
        <v xml:space="preserve">  Adjusted Total Shares =  17,8m  Total Shares Outstanding</v>
      </c>
      <c r="AP56" s="50"/>
      <c r="AQ56" s="50"/>
      <c r="AR56" s="50"/>
      <c r="AS56" s="50"/>
      <c r="AT56" s="50"/>
      <c r="AU56" s="50"/>
      <c r="AV56" s="50"/>
    </row>
    <row r="57" spans="11:48" x14ac:dyDescent="0.35">
      <c r="U57" s="50"/>
      <c r="V57" s="50"/>
      <c r="W57" s="50"/>
      <c r="X57" s="50"/>
      <c r="Y57" s="50"/>
      <c r="Z57" s="50"/>
      <c r="AA57" s="50"/>
      <c r="AB57" s="50"/>
      <c r="AO57" s="50"/>
      <c r="AP57" s="50"/>
      <c r="AQ57" s="50"/>
      <c r="AR57" s="50"/>
      <c r="AS57" s="50"/>
      <c r="AT57" s="50"/>
      <c r="AU57" s="50"/>
      <c r="AV57" s="50"/>
    </row>
    <row r="58" spans="11:48" x14ac:dyDescent="0.35">
      <c r="U58" s="51"/>
      <c r="V58" s="50"/>
      <c r="W58" s="50"/>
      <c r="X58" s="50"/>
      <c r="Y58" s="50"/>
      <c r="Z58" s="50"/>
      <c r="AA58" s="50"/>
      <c r="AB58" s="50"/>
      <c r="AO58" s="51"/>
      <c r="AP58" s="50"/>
      <c r="AQ58" s="50"/>
      <c r="AR58" s="50"/>
      <c r="AS58" s="50"/>
      <c r="AT58" s="50"/>
      <c r="AU58" s="50"/>
      <c r="AV58" s="50"/>
    </row>
    <row r="59" spans="11:48" x14ac:dyDescent="0.35">
      <c r="U59" s="51"/>
      <c r="V59" s="53"/>
      <c r="W59" s="50"/>
      <c r="X59" s="50"/>
      <c r="Y59" s="50"/>
      <c r="Z59" s="50"/>
      <c r="AA59" s="50"/>
      <c r="AB59" s="50"/>
      <c r="AO59" s="51"/>
      <c r="AP59" s="53"/>
      <c r="AQ59" s="50"/>
      <c r="AR59" s="50"/>
      <c r="AS59" s="50"/>
      <c r="AT59" s="50"/>
      <c r="AU59" s="50"/>
      <c r="AV59" s="50"/>
    </row>
  </sheetData>
  <pageMargins left="0.75" right="0.75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VC Example</vt:lpstr>
      <vt:lpstr>Anti-Dilution Example (AV)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Miedema, Joshua</dc:creator>
  <cp:lastModifiedBy>Andres</cp:lastModifiedBy>
  <cp:lastPrinted>2010-12-31T13:49:29Z</cp:lastPrinted>
  <dcterms:created xsi:type="dcterms:W3CDTF">2010-12-15T11:27:55Z</dcterms:created>
  <dcterms:modified xsi:type="dcterms:W3CDTF">2022-06-21T17:44:59Z</dcterms:modified>
</cp:coreProperties>
</file>