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0-AV\UTDT\MFIN\2020 MFIN\Curso FC\FC - EJECUTIVO\2-VC y PE\2b-PE\Case\"/>
    </mc:Choice>
  </mc:AlternateContent>
  <xr:revisionPtr revIDLastSave="0" documentId="13_ncr:1_{CD659253-5545-462B-B89C-850353CD50A1}" xr6:coauthVersionLast="45" xr6:coauthVersionMax="45" xr10:uidLastSave="{00000000-0000-0000-0000-000000000000}"/>
  <bookViews>
    <workbookView xWindow="-96" yWindow="-96" windowWidth="23232" windowHeight="12552" activeTab="3" xr2:uid="{00000000-000D-0000-FFFF-FFFF00000000}"/>
  </bookViews>
  <sheets>
    <sheet name="Copyright" sheetId="47" r:id="rId1"/>
    <sheet name="Instructions" sheetId="34" r:id="rId2"/>
    <sheet name="LBO Model --&gt;" sheetId="10" r:id="rId3"/>
    <sheet name="LBO Model" sheetId="15" r:id="rId4"/>
    <sheet name="Current Balance Sheet" sheetId="16" r:id="rId5"/>
    <sheet name="Output" sheetId="19" r:id="rId6"/>
    <sheet name="Case Data --&gt;" sheetId="33" r:id="rId7"/>
    <sheet name="Exhibits" sheetId="32" r:id="rId8"/>
    <sheet name="Raw SEC Filing" sheetId="1" r:id="rId9"/>
  </sheets>
  <externalReferences>
    <externalReference r:id="rId10"/>
  </externalReferences>
  <definedNames>
    <definedName name="_xlnm._FilterDatabase" localSheetId="7" hidden="1">Exhibits!#REF!</definedName>
    <definedName name="_xlnm.Print_Area" localSheetId="3">'LBO Model'!$B$2:$R$75,'LBO Model'!$B$77:$M$133,'LBO Model'!$B$135:$R$189,'LBO Model'!$B$191:$R$235,'LBO Model'!$B$237:$R$287,'LBO Model'!$B$290:$R$338,'LBO Model'!$B$340:$R$401,'LBO Model'!$B$404:$R$509</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lhs1" localSheetId="3" hidden="1">'LBO Model'!$K$15</definedName>
    <definedName name="solver_lhs2" localSheetId="3" hidden="1">'LBO Model'!$K$16</definedName>
    <definedName name="solver_lhs3" localSheetId="3" hidden="1">'LBO Model'!$K$17</definedName>
    <definedName name="solver_lhs4" localSheetId="3" hidden="1">'LBO Model'!$E$46</definedName>
    <definedName name="solver_lhs5" localSheetId="3" hidden="1">'LBO Model'!$F$16</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pre" localSheetId="3" hidden="1">0.000001</definedName>
    <definedName name="solver_rbv" localSheetId="3" hidden="1">1</definedName>
    <definedName name="solver_rel1" localSheetId="3" hidden="1">2</definedName>
    <definedName name="solver_rel2" localSheetId="3" hidden="1">2</definedName>
    <definedName name="solver_rel3" localSheetId="3" hidden="1">2</definedName>
    <definedName name="solver_rel4" localSheetId="3" hidden="1">2</definedName>
    <definedName name="solver_rel5" localSheetId="3" hidden="1">2</definedName>
    <definedName name="solver_rhs1" localSheetId="3" hidden="1">750</definedName>
    <definedName name="solver_rhs2" localSheetId="3" hidden="1">2250</definedName>
    <definedName name="solver_rhs3" localSheetId="3" hidden="1">0</definedName>
    <definedName name="solver_rhs4" localSheetId="3" hidden="1">3000</definedName>
    <definedName name="solver_rhs5" localSheetId="3" hidden="1">315</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1</definedName>
    <definedName name="solver_val" localSheetId="3" hidden="1">0</definedName>
    <definedName name="solver_ver" localSheetId="3" hidden="1">3</definedName>
  </definedNames>
  <calcPr calcId="18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435" i="15" l="1"/>
  <c r="O435" i="15" s="1"/>
  <c r="P435" i="15" s="1"/>
  <c r="Q435" i="15" s="1"/>
  <c r="R435" i="15" s="1"/>
  <c r="N434" i="15"/>
  <c r="O434" i="15" s="1"/>
  <c r="P434" i="15" s="1"/>
  <c r="Q434" i="15" s="1"/>
  <c r="J431" i="15"/>
  <c r="K431" i="15" s="1"/>
  <c r="L431" i="15" s="1"/>
  <c r="M431" i="15" s="1"/>
  <c r="N431" i="15" s="1"/>
  <c r="O431" i="15" s="1"/>
  <c r="P431" i="15" s="1"/>
  <c r="Q431" i="15" s="1"/>
  <c r="R431" i="15" s="1"/>
  <c r="K429" i="15"/>
  <c r="L429" i="15" s="1"/>
  <c r="M429" i="15" s="1"/>
  <c r="N429" i="15" s="1"/>
  <c r="O429" i="15" s="1"/>
  <c r="P429" i="15" s="1"/>
  <c r="Q429" i="15" s="1"/>
  <c r="R429" i="15" s="1"/>
  <c r="J429" i="15"/>
  <c r="L428" i="15"/>
  <c r="M428" i="15" s="1"/>
  <c r="N428" i="15" s="1"/>
  <c r="O428" i="15" s="1"/>
  <c r="P428" i="15" s="1"/>
  <c r="Q428" i="15" s="1"/>
  <c r="R428" i="15" s="1"/>
  <c r="K428" i="15"/>
  <c r="J428" i="15"/>
  <c r="N427" i="15"/>
  <c r="O427" i="15" s="1"/>
  <c r="P427" i="15" s="1"/>
  <c r="Q427" i="15" s="1"/>
  <c r="R427" i="15" s="1"/>
  <c r="N426" i="15"/>
  <c r="O426" i="15" s="1"/>
  <c r="P426" i="15" s="1"/>
  <c r="Q426" i="15" s="1"/>
  <c r="I503" i="15" l="1"/>
  <c r="H503" i="15"/>
  <c r="G503" i="15"/>
  <c r="F503" i="15"/>
  <c r="O39" i="34" l="1"/>
  <c r="E39" i="34"/>
  <c r="DY7" i="32" l="1"/>
  <c r="DX7" i="32"/>
  <c r="DW7" i="32"/>
  <c r="GU8" i="32" l="1"/>
  <c r="GU9" i="32"/>
  <c r="P36" i="34" l="1"/>
  <c r="O36" i="34"/>
  <c r="B36" i="34"/>
  <c r="O31" i="34"/>
  <c r="J4" i="15"/>
  <c r="B2" i="19" s="1"/>
  <c r="E31" i="34"/>
  <c r="E36" i="34"/>
  <c r="B72" i="19" l="1"/>
  <c r="B3" i="19"/>
  <c r="B30" i="19"/>
  <c r="F9" i="19" l="1"/>
  <c r="F16" i="19"/>
  <c r="F17" i="19"/>
  <c r="B52" i="19" l="1"/>
  <c r="O29" i="34"/>
  <c r="B34" i="34"/>
  <c r="B33" i="34"/>
  <c r="R419" i="15"/>
  <c r="Q419" i="15"/>
  <c r="P419" i="15"/>
  <c r="O419" i="15"/>
  <c r="N419" i="15"/>
  <c r="M419" i="15"/>
  <c r="L419" i="15"/>
  <c r="K419" i="15"/>
  <c r="J419" i="15"/>
  <c r="I419" i="15"/>
  <c r="R418" i="15"/>
  <c r="Q418" i="15"/>
  <c r="P418" i="15"/>
  <c r="O418" i="15"/>
  <c r="N418" i="15"/>
  <c r="M418" i="15"/>
  <c r="L418" i="15"/>
  <c r="K418" i="15"/>
  <c r="J418" i="15"/>
  <c r="I418" i="15"/>
  <c r="R415" i="15"/>
  <c r="Q415" i="15"/>
  <c r="P415" i="15"/>
  <c r="O415" i="15"/>
  <c r="N415" i="15"/>
  <c r="M415" i="15"/>
  <c r="L415" i="15"/>
  <c r="K415" i="15"/>
  <c r="J415" i="15"/>
  <c r="I415" i="15"/>
  <c r="R413" i="15"/>
  <c r="Q413" i="15"/>
  <c r="P413" i="15"/>
  <c r="O413" i="15"/>
  <c r="N413" i="15"/>
  <c r="M413" i="15"/>
  <c r="L413" i="15"/>
  <c r="K413" i="15"/>
  <c r="J413" i="15"/>
  <c r="I413" i="15"/>
  <c r="R412" i="15"/>
  <c r="Q412" i="15"/>
  <c r="P412" i="15"/>
  <c r="O412" i="15"/>
  <c r="N412" i="15"/>
  <c r="M412" i="15"/>
  <c r="L412" i="15"/>
  <c r="K412" i="15"/>
  <c r="J412" i="15"/>
  <c r="I412" i="15"/>
  <c r="R411" i="15"/>
  <c r="Q411" i="15"/>
  <c r="P411" i="15"/>
  <c r="O411" i="15"/>
  <c r="N411" i="15"/>
  <c r="M411" i="15"/>
  <c r="L411" i="15"/>
  <c r="K411" i="15"/>
  <c r="J411" i="15"/>
  <c r="I411" i="15"/>
  <c r="R410" i="15"/>
  <c r="Q410" i="15"/>
  <c r="P410" i="15"/>
  <c r="O410" i="15"/>
  <c r="N410" i="15"/>
  <c r="M410" i="15"/>
  <c r="L410" i="15"/>
  <c r="K410" i="15"/>
  <c r="J410" i="15"/>
  <c r="I410" i="15"/>
  <c r="E29" i="34"/>
  <c r="O45" i="34" l="1"/>
  <c r="O43" i="34"/>
  <c r="E505" i="15"/>
  <c r="F15" i="15" s="1"/>
  <c r="E507" i="15"/>
  <c r="E508" i="15"/>
  <c r="E509" i="15"/>
  <c r="L18" i="15" s="1"/>
  <c r="I408" i="15"/>
  <c r="J408" i="15" s="1"/>
  <c r="K408" i="15" s="1"/>
  <c r="L408" i="15" s="1"/>
  <c r="M408" i="15" s="1"/>
  <c r="N408" i="15" s="1"/>
  <c r="O408" i="15" s="1"/>
  <c r="P408" i="15" s="1"/>
  <c r="Q408" i="15" s="1"/>
  <c r="R408" i="15" s="1"/>
  <c r="B421" i="15"/>
  <c r="I424" i="15"/>
  <c r="J424" i="15" s="1"/>
  <c r="K424" i="15" s="1"/>
  <c r="L424" i="15" s="1"/>
  <c r="M424" i="15" s="1"/>
  <c r="N424" i="15" s="1"/>
  <c r="O424" i="15" s="1"/>
  <c r="P424" i="15" s="1"/>
  <c r="Q424" i="15" s="1"/>
  <c r="R424" i="15" s="1"/>
  <c r="B437" i="15"/>
  <c r="I440" i="15"/>
  <c r="J440" i="15" s="1"/>
  <c r="K440" i="15" s="1"/>
  <c r="L440" i="15" s="1"/>
  <c r="M440" i="15" s="1"/>
  <c r="N440" i="15" s="1"/>
  <c r="O440" i="15" s="1"/>
  <c r="P440" i="15" s="1"/>
  <c r="Q440" i="15" s="1"/>
  <c r="R440" i="15" s="1"/>
  <c r="B453" i="15"/>
  <c r="I456" i="15"/>
  <c r="J456" i="15" s="1"/>
  <c r="K456" i="15" s="1"/>
  <c r="L456" i="15" s="1"/>
  <c r="M456" i="15" s="1"/>
  <c r="N456" i="15" s="1"/>
  <c r="O456" i="15" s="1"/>
  <c r="P456" i="15" s="1"/>
  <c r="Q456" i="15" s="1"/>
  <c r="R456" i="15" s="1"/>
  <c r="B469" i="15"/>
  <c r="I472" i="15"/>
  <c r="J472" i="15" s="1"/>
  <c r="K472" i="15" s="1"/>
  <c r="L472" i="15" s="1"/>
  <c r="M472" i="15" s="1"/>
  <c r="N472" i="15" s="1"/>
  <c r="O472" i="15" s="1"/>
  <c r="P472" i="15" s="1"/>
  <c r="Q472" i="15" s="1"/>
  <c r="R472" i="15" s="1"/>
  <c r="B485" i="15"/>
  <c r="I488" i="15"/>
  <c r="J488" i="15" s="1"/>
  <c r="K488" i="15" s="1"/>
  <c r="L488" i="15" s="1"/>
  <c r="M488" i="15" s="1"/>
  <c r="N488" i="15" s="1"/>
  <c r="O488" i="15" s="1"/>
  <c r="P488" i="15" s="1"/>
  <c r="Q488" i="15" s="1"/>
  <c r="R488" i="15" s="1"/>
  <c r="E4" i="15"/>
  <c r="E43" i="34"/>
  <c r="E44" i="34"/>
  <c r="E45" i="34"/>
  <c r="B112" i="19" l="1"/>
  <c r="B69" i="19"/>
  <c r="F6" i="19"/>
  <c r="B62" i="19"/>
  <c r="B501" i="15"/>
  <c r="B51" i="19"/>
  <c r="F59" i="19"/>
  <c r="B404" i="15"/>
  <c r="F14" i="15"/>
  <c r="F5" i="19" s="1"/>
  <c r="P27" i="34" l="1"/>
  <c r="O27" i="34"/>
  <c r="P26" i="34"/>
  <c r="O26" i="34"/>
  <c r="O25" i="34"/>
  <c r="O24" i="34"/>
  <c r="O23" i="34"/>
  <c r="O21" i="34"/>
  <c r="O20" i="34"/>
  <c r="P35" i="34"/>
  <c r="O35" i="34"/>
  <c r="P34" i="34"/>
  <c r="O34" i="34"/>
  <c r="P33" i="34"/>
  <c r="O33" i="34"/>
  <c r="O30" i="34"/>
  <c r="E21" i="34"/>
  <c r="E35" i="34"/>
  <c r="E42" i="34"/>
  <c r="E34" i="34"/>
  <c r="E20" i="34"/>
  <c r="E38" i="34"/>
  <c r="E26" i="34"/>
  <c r="E27" i="34"/>
  <c r="E33" i="34"/>
  <c r="E30" i="34"/>
  <c r="B35" i="34" l="1"/>
  <c r="DJ11" i="32" l="1"/>
  <c r="DK11" i="32"/>
  <c r="DK7" i="32" s="1"/>
  <c r="DL11" i="32"/>
  <c r="DL7" i="32" s="1"/>
  <c r="DM11" i="32"/>
  <c r="DM8" i="32" s="1"/>
  <c r="DN11" i="32"/>
  <c r="DO11" i="32"/>
  <c r="DO9" i="32" s="1"/>
  <c r="DP11" i="32"/>
  <c r="DP9" i="32" s="1"/>
  <c r="DQ11" i="32"/>
  <c r="DQ9" i="32" s="1"/>
  <c r="DR11" i="32"/>
  <c r="DS11" i="32"/>
  <c r="DS8" i="32" s="1"/>
  <c r="DT11" i="32"/>
  <c r="DT8" i="32" s="1"/>
  <c r="DI11" i="32"/>
  <c r="DI10" i="32" s="1"/>
  <c r="DJ12" i="32"/>
  <c r="DK12" i="32" s="1"/>
  <c r="DL12" i="32" s="1"/>
  <c r="DM12" i="32" s="1"/>
  <c r="DN12" i="32" s="1"/>
  <c r="DO12" i="32" s="1"/>
  <c r="DP12" i="32" s="1"/>
  <c r="DQ12" i="32" s="1"/>
  <c r="DR12" i="32" s="1"/>
  <c r="DS12" i="32" s="1"/>
  <c r="DT12" i="32" s="1"/>
  <c r="DM7" i="32"/>
  <c r="DN7" i="32"/>
  <c r="DJ7" i="32"/>
  <c r="DR7" i="32"/>
  <c r="DS7" i="32"/>
  <c r="DT7" i="32"/>
  <c r="DJ8" i="32"/>
  <c r="DK8" i="32"/>
  <c r="DL8" i="32"/>
  <c r="DR8" i="32"/>
  <c r="DJ9" i="32"/>
  <c r="DK9" i="32"/>
  <c r="DL9" i="32"/>
  <c r="DR9" i="32"/>
  <c r="DS9" i="32"/>
  <c r="DT9" i="32"/>
  <c r="DJ10" i="32"/>
  <c r="DK10" i="32"/>
  <c r="DL10" i="32"/>
  <c r="DR10" i="32"/>
  <c r="DS10" i="32"/>
  <c r="DT10" i="32"/>
  <c r="DI7" i="32"/>
  <c r="DM9" i="32" l="1"/>
  <c r="DM10" i="32"/>
  <c r="DI8" i="32"/>
  <c r="DI9" i="32"/>
  <c r="DP8" i="32"/>
  <c r="DQ8" i="32"/>
  <c r="DP10" i="32"/>
  <c r="DO10" i="32"/>
  <c r="DN10" i="32"/>
  <c r="DN9" i="32"/>
  <c r="DO8" i="32"/>
  <c r="DN8" i="32"/>
  <c r="DQ7" i="32"/>
  <c r="DQ10" i="32"/>
  <c r="DP7" i="32"/>
  <c r="DO7" i="32"/>
  <c r="L17" i="15" l="1"/>
  <c r="F58" i="19" s="1"/>
  <c r="L16" i="15"/>
  <c r="F57" i="19" s="1"/>
  <c r="B29" i="19"/>
  <c r="O44" i="34" l="1"/>
  <c r="O42" i="34"/>
  <c r="K39" i="15"/>
  <c r="K47" i="15"/>
  <c r="L39" i="15" l="1"/>
  <c r="M39" i="15" s="1"/>
  <c r="N39" i="15" s="1"/>
  <c r="O39" i="15" s="1"/>
  <c r="P39" i="15" s="1"/>
  <c r="F34" i="32" l="1"/>
  <c r="F39" i="32"/>
  <c r="FR8" i="32" l="1"/>
  <c r="FS8" i="32"/>
  <c r="FT8" i="32"/>
  <c r="FS9" i="32"/>
  <c r="FT9" i="32"/>
  <c r="FT10" i="32"/>
  <c r="FS11" i="32"/>
  <c r="FT11" i="32"/>
  <c r="FR12" i="32"/>
  <c r="FS12" i="32"/>
  <c r="FT12" i="32"/>
  <c r="FS13" i="32"/>
  <c r="FT13" i="32"/>
  <c r="FS14" i="32"/>
  <c r="FT14" i="32"/>
  <c r="FS15" i="32"/>
  <c r="FT15" i="32"/>
  <c r="FR16" i="32"/>
  <c r="FS16" i="32"/>
  <c r="FT16" i="32"/>
  <c r="FS17" i="32"/>
  <c r="FT17" i="32"/>
  <c r="FS18" i="32"/>
  <c r="FT18" i="32"/>
  <c r="FS19" i="32"/>
  <c r="FT19" i="32"/>
  <c r="FR20" i="32"/>
  <c r="FS20" i="32"/>
  <c r="FT20" i="32"/>
  <c r="FU27" i="32"/>
  <c r="FU11" i="32" s="1"/>
  <c r="FT742" i="32" s="1"/>
  <c r="FU28" i="32"/>
  <c r="FU12" i="32" s="1"/>
  <c r="FT678" i="32" s="1"/>
  <c r="FU30" i="32"/>
  <c r="FU14" i="32" s="1"/>
  <c r="FT554" i="32" s="1"/>
  <c r="FU31" i="32"/>
  <c r="FU15" i="32" s="1"/>
  <c r="FT490" i="32" s="1"/>
  <c r="FU34" i="32"/>
  <c r="FU18" i="32" s="1"/>
  <c r="FT301" i="32" s="1"/>
  <c r="FU35" i="32"/>
  <c r="FU19" i="32" s="1"/>
  <c r="FT237" i="32" s="1"/>
  <c r="GL17" i="32" l="1"/>
  <c r="GM17" i="32" s="1"/>
  <c r="GN17" i="32" s="1"/>
  <c r="GO17" i="32" s="1"/>
  <c r="GP17" i="32" s="1"/>
  <c r="EL19" i="32"/>
  <c r="EM19" i="32"/>
  <c r="EN19" i="32"/>
  <c r="EO19" i="32"/>
  <c r="EP19" i="32"/>
  <c r="ES19" i="32"/>
  <c r="ET19" i="32"/>
  <c r="EU19" i="32"/>
  <c r="EV19" i="32"/>
  <c r="EW19" i="32"/>
  <c r="GP20" i="32"/>
  <c r="GP25" i="32" s="1"/>
  <c r="GB24" i="32"/>
  <c r="FU24" i="32" s="1"/>
  <c r="FU8" i="32" s="1"/>
  <c r="FT930" i="32" s="1"/>
  <c r="EM25" i="32"/>
  <c r="EN25" i="32" s="1"/>
  <c r="EO25" i="32" s="1"/>
  <c r="EP25" i="32" s="1"/>
  <c r="GB25" i="32"/>
  <c r="FU25" i="32" s="1"/>
  <c r="FU9" i="32" s="1"/>
  <c r="FT869" i="32" s="1"/>
  <c r="GB26" i="32"/>
  <c r="FU26" i="32" s="1"/>
  <c r="FU10" i="32" s="1"/>
  <c r="FT806" i="32" s="1"/>
  <c r="GK25" i="32"/>
  <c r="GL25" i="32"/>
  <c r="GM25" i="32"/>
  <c r="GN25" i="32"/>
  <c r="GO25" i="32"/>
  <c r="GB29" i="32"/>
  <c r="FU29" i="32" s="1"/>
  <c r="FU13" i="32" s="1"/>
  <c r="FT617" i="32" s="1"/>
  <c r="ES8" i="32" l="1"/>
  <c r="B27" i="34" l="1"/>
  <c r="B26" i="34"/>
  <c r="EU8" i="32" l="1"/>
  <c r="EV8" i="32"/>
  <c r="EW8" i="32"/>
  <c r="ET8" i="32"/>
  <c r="EE858" i="32" l="1"/>
  <c r="EE857" i="32" s="1"/>
  <c r="EE856" i="32" s="1"/>
  <c r="EE855" i="32" s="1"/>
  <c r="EE854" i="32" s="1"/>
  <c r="EE853" i="32" s="1"/>
  <c r="EE852" i="32" s="1"/>
  <c r="EE851" i="32" s="1"/>
  <c r="EE850" i="32" s="1"/>
  <c r="EE849" i="32" s="1"/>
  <c r="EE848" i="32" s="1"/>
  <c r="EE847" i="32" s="1"/>
  <c r="EE846" i="32" s="1"/>
  <c r="EE845" i="32" s="1"/>
  <c r="EE844" i="32" s="1"/>
  <c r="EE843" i="32" s="1"/>
  <c r="EE842" i="32" s="1"/>
  <c r="EE841" i="32" s="1"/>
  <c r="EE840" i="32" s="1"/>
  <c r="EE839" i="32" s="1"/>
  <c r="EE838" i="32" s="1"/>
  <c r="EE837" i="32" s="1"/>
  <c r="EE836" i="32" s="1"/>
  <c r="EE835" i="32" s="1"/>
  <c r="EE834" i="32" s="1"/>
  <c r="EE833" i="32" s="1"/>
  <c r="EE832" i="32" s="1"/>
  <c r="EE831" i="32" s="1"/>
  <c r="EE830" i="32" s="1"/>
  <c r="EE829" i="32" s="1"/>
  <c r="EE828" i="32" s="1"/>
  <c r="EE827" i="32" s="1"/>
  <c r="EE826" i="32" s="1"/>
  <c r="EE825" i="32" s="1"/>
  <c r="EE824" i="32" s="1"/>
  <c r="EE823" i="32" s="1"/>
  <c r="EE822" i="32" s="1"/>
  <c r="EE821" i="32" s="1"/>
  <c r="EE820" i="32" s="1"/>
  <c r="EE819" i="32" s="1"/>
  <c r="EE818" i="32" s="1"/>
  <c r="EE817" i="32" s="1"/>
  <c r="EE816" i="32" s="1"/>
  <c r="EE815" i="32" s="1"/>
  <c r="EE814" i="32" s="1"/>
  <c r="EE813" i="32" s="1"/>
  <c r="EE812" i="32" s="1"/>
  <c r="EE811" i="32" s="1"/>
  <c r="EE810" i="32" s="1"/>
  <c r="EE809" i="32" s="1"/>
  <c r="EE808" i="32" s="1"/>
  <c r="EE807" i="32" s="1"/>
  <c r="EE806" i="32" s="1"/>
  <c r="EE805" i="32" s="1"/>
  <c r="EE804" i="32" s="1"/>
  <c r="EE803" i="32" s="1"/>
  <c r="EE802" i="32" s="1"/>
  <c r="EE801" i="32" s="1"/>
  <c r="EE800" i="32" s="1"/>
  <c r="EE799" i="32" s="1"/>
  <c r="EE798" i="32" s="1"/>
  <c r="EE797" i="32" s="1"/>
  <c r="EE796" i="32" s="1"/>
  <c r="EF858" i="32"/>
  <c r="EF857" i="32" s="1"/>
  <c r="EF856" i="32" s="1"/>
  <c r="EF855" i="32" s="1"/>
  <c r="EF854" i="32" s="1"/>
  <c r="EF853" i="32" s="1"/>
  <c r="EF852" i="32" s="1"/>
  <c r="EF851" i="32" s="1"/>
  <c r="EF850" i="32" s="1"/>
  <c r="EF849" i="32" s="1"/>
  <c r="EF848" i="32" s="1"/>
  <c r="EF847" i="32" s="1"/>
  <c r="EF846" i="32" s="1"/>
  <c r="EF845" i="32" s="1"/>
  <c r="EF844" i="32" s="1"/>
  <c r="EF843" i="32" s="1"/>
  <c r="EF842" i="32" s="1"/>
  <c r="EF841" i="32" s="1"/>
  <c r="EF840" i="32" s="1"/>
  <c r="EF839" i="32" s="1"/>
  <c r="EF838" i="32" s="1"/>
  <c r="EF837" i="32" s="1"/>
  <c r="EF836" i="32" s="1"/>
  <c r="EF835" i="32" s="1"/>
  <c r="EF834" i="32" s="1"/>
  <c r="EF833" i="32" s="1"/>
  <c r="EF832" i="32" s="1"/>
  <c r="EF831" i="32" s="1"/>
  <c r="EF830" i="32" s="1"/>
  <c r="EF829" i="32" s="1"/>
  <c r="EF828" i="32" s="1"/>
  <c r="EF827" i="32" s="1"/>
  <c r="EF826" i="32" s="1"/>
  <c r="EF825" i="32" s="1"/>
  <c r="EF824" i="32" s="1"/>
  <c r="EF823" i="32" s="1"/>
  <c r="EF822" i="32" s="1"/>
  <c r="EF821" i="32" s="1"/>
  <c r="EF820" i="32" s="1"/>
  <c r="EF819" i="32" s="1"/>
  <c r="EF818" i="32" s="1"/>
  <c r="EF817" i="32" s="1"/>
  <c r="EF816" i="32" s="1"/>
  <c r="EF815" i="32" s="1"/>
  <c r="EF814" i="32" s="1"/>
  <c r="EF813" i="32" s="1"/>
  <c r="EF812" i="32" s="1"/>
  <c r="EF811" i="32" s="1"/>
  <c r="EF810" i="32" s="1"/>
  <c r="EF809" i="32" s="1"/>
  <c r="EF808" i="32" s="1"/>
  <c r="EF807" i="32" s="1"/>
  <c r="EF806" i="32" s="1"/>
  <c r="EF805" i="32" s="1"/>
  <c r="EF804" i="32" s="1"/>
  <c r="EF803" i="32" s="1"/>
  <c r="EF802" i="32" s="1"/>
  <c r="EF801" i="32" s="1"/>
  <c r="EF800" i="32" s="1"/>
  <c r="EF799" i="32" s="1"/>
  <c r="EF798" i="32" s="1"/>
  <c r="EF797" i="32" s="1"/>
  <c r="EF796" i="32" s="1"/>
  <c r="M15" i="15"/>
  <c r="GU7" i="32" s="1"/>
  <c r="P24" i="34" l="1"/>
  <c r="ET16" i="32"/>
  <c r="EU16" i="32"/>
  <c r="EV16" i="32"/>
  <c r="EW16" i="32"/>
  <c r="ES16" i="32"/>
  <c r="EW14" i="32"/>
  <c r="EV14" i="32"/>
  <c r="EU14" i="32"/>
  <c r="ET14" i="32"/>
  <c r="ES14" i="32"/>
  <c r="ET11" i="32"/>
  <c r="EU11" i="32"/>
  <c r="EV11" i="32"/>
  <c r="EW11" i="32"/>
  <c r="ES11" i="32"/>
  <c r="EW13" i="32"/>
  <c r="EV13" i="32"/>
  <c r="EU13" i="32"/>
  <c r="ET13" i="32"/>
  <c r="EV10" i="32"/>
  <c r="ET5" i="32"/>
  <c r="EU5" i="32" s="1"/>
  <c r="EV5" i="32" s="1"/>
  <c r="EW5" i="32" s="1"/>
  <c r="EF795" i="32"/>
  <c r="EF794" i="32" s="1"/>
  <c r="EF793" i="32" s="1"/>
  <c r="EF792" i="32" s="1"/>
  <c r="EF791" i="32" s="1"/>
  <c r="EF790" i="32" s="1"/>
  <c r="EF789" i="32" s="1"/>
  <c r="EF788" i="32" s="1"/>
  <c r="EF787" i="32" s="1"/>
  <c r="EF786" i="32" s="1"/>
  <c r="EF785" i="32" s="1"/>
  <c r="EF784" i="32" s="1"/>
  <c r="EF783" i="32" s="1"/>
  <c r="EF782" i="32" s="1"/>
  <c r="EF781" i="32" s="1"/>
  <c r="EF780" i="32" s="1"/>
  <c r="EF779" i="32" s="1"/>
  <c r="EF778" i="32" s="1"/>
  <c r="EF777" i="32" s="1"/>
  <c r="EF776" i="32" s="1"/>
  <c r="EF775" i="32" s="1"/>
  <c r="EF774" i="32" s="1"/>
  <c r="EF773" i="32" s="1"/>
  <c r="EF772" i="32" s="1"/>
  <c r="EF771" i="32" s="1"/>
  <c r="EF770" i="32" s="1"/>
  <c r="EF769" i="32" s="1"/>
  <c r="EF768" i="32" s="1"/>
  <c r="EF767" i="32" s="1"/>
  <c r="EF766" i="32" s="1"/>
  <c r="EF765" i="32" s="1"/>
  <c r="EF764" i="32" s="1"/>
  <c r="EF763" i="32" s="1"/>
  <c r="EF762" i="32" s="1"/>
  <c r="EF761" i="32" s="1"/>
  <c r="EF760" i="32" s="1"/>
  <c r="EF759" i="32" s="1"/>
  <c r="EF758" i="32" s="1"/>
  <c r="EF757" i="32" s="1"/>
  <c r="EF756" i="32" s="1"/>
  <c r="EF755" i="32" s="1"/>
  <c r="EF754" i="32" s="1"/>
  <c r="EF753" i="32" s="1"/>
  <c r="EF752" i="32" s="1"/>
  <c r="EF751" i="32" s="1"/>
  <c r="EF750" i="32" s="1"/>
  <c r="EF749" i="32" s="1"/>
  <c r="EF748" i="32" s="1"/>
  <c r="EF747" i="32" s="1"/>
  <c r="EF746" i="32" s="1"/>
  <c r="EF745" i="32" s="1"/>
  <c r="EF744" i="32" s="1"/>
  <c r="EF743" i="32" s="1"/>
  <c r="EF742" i="32" s="1"/>
  <c r="EF741" i="32" s="1"/>
  <c r="EF740" i="32" s="1"/>
  <c r="EF739" i="32" s="1"/>
  <c r="EF738" i="32" s="1"/>
  <c r="EF737" i="32" s="1"/>
  <c r="EF736" i="32" s="1"/>
  <c r="EF735" i="32" s="1"/>
  <c r="EF734" i="32" s="1"/>
  <c r="EF733" i="32" s="1"/>
  <c r="EF732" i="32" s="1"/>
  <c r="EF731" i="32" s="1"/>
  <c r="EF730" i="32" s="1"/>
  <c r="EF729" i="32" s="1"/>
  <c r="EF728" i="32" s="1"/>
  <c r="EF727" i="32" s="1"/>
  <c r="EF726" i="32" s="1"/>
  <c r="EF725" i="32" s="1"/>
  <c r="EF724" i="32" s="1"/>
  <c r="EF723" i="32" s="1"/>
  <c r="EF722" i="32" s="1"/>
  <c r="EF721" i="32" s="1"/>
  <c r="EF720" i="32" s="1"/>
  <c r="EF719" i="32" s="1"/>
  <c r="EF718" i="32" s="1"/>
  <c r="EF717" i="32" s="1"/>
  <c r="EF716" i="32" s="1"/>
  <c r="EF715" i="32" s="1"/>
  <c r="EF714" i="32" s="1"/>
  <c r="EF713" i="32" s="1"/>
  <c r="EF712" i="32" s="1"/>
  <c r="EF711" i="32" s="1"/>
  <c r="EF710" i="32" s="1"/>
  <c r="EF709" i="32" s="1"/>
  <c r="EF708" i="32" s="1"/>
  <c r="EF707" i="32" s="1"/>
  <c r="EF706" i="32" s="1"/>
  <c r="EF705" i="32" s="1"/>
  <c r="EF704" i="32" s="1"/>
  <c r="EF703" i="32" s="1"/>
  <c r="EF702" i="32" s="1"/>
  <c r="EF701" i="32" s="1"/>
  <c r="EF700" i="32" s="1"/>
  <c r="EF699" i="32" s="1"/>
  <c r="EF698" i="32" s="1"/>
  <c r="EF697" i="32" s="1"/>
  <c r="EF696" i="32" s="1"/>
  <c r="EF695" i="32" s="1"/>
  <c r="EF694" i="32" s="1"/>
  <c r="EF693" i="32" s="1"/>
  <c r="EF692" i="32" s="1"/>
  <c r="EF691" i="32" s="1"/>
  <c r="EF690" i="32" s="1"/>
  <c r="EF689" i="32" s="1"/>
  <c r="EF688" i="32" s="1"/>
  <c r="EF687" i="32" s="1"/>
  <c r="EF686" i="32" s="1"/>
  <c r="EF685" i="32" s="1"/>
  <c r="EF684" i="32" s="1"/>
  <c r="EF683" i="32" s="1"/>
  <c r="EF682" i="32" s="1"/>
  <c r="EF681" i="32" s="1"/>
  <c r="EF680" i="32" s="1"/>
  <c r="EF679" i="32" s="1"/>
  <c r="EF678" i="32" s="1"/>
  <c r="EF677" i="32" s="1"/>
  <c r="EF676" i="32" s="1"/>
  <c r="EF675" i="32" s="1"/>
  <c r="EF674" i="32" s="1"/>
  <c r="EF673" i="32" s="1"/>
  <c r="EF672" i="32" s="1"/>
  <c r="EF671" i="32" s="1"/>
  <c r="EF670" i="32" s="1"/>
  <c r="EF669" i="32" s="1"/>
  <c r="EF668" i="32" s="1"/>
  <c r="EF667" i="32" s="1"/>
  <c r="EF666" i="32" s="1"/>
  <c r="EF665" i="32" s="1"/>
  <c r="EF664" i="32" s="1"/>
  <c r="EF663" i="32" s="1"/>
  <c r="EF662" i="32" s="1"/>
  <c r="EF661" i="32" s="1"/>
  <c r="EF660" i="32" s="1"/>
  <c r="EF659" i="32" s="1"/>
  <c r="EF658" i="32" s="1"/>
  <c r="EF657" i="32" s="1"/>
  <c r="EF656" i="32" s="1"/>
  <c r="EF655" i="32" s="1"/>
  <c r="EF654" i="32" s="1"/>
  <c r="EF653" i="32" s="1"/>
  <c r="EF652" i="32" s="1"/>
  <c r="EF651" i="32" s="1"/>
  <c r="EF650" i="32" s="1"/>
  <c r="EF649" i="32" s="1"/>
  <c r="EF648" i="32" s="1"/>
  <c r="EF647" i="32" s="1"/>
  <c r="EF646" i="32" s="1"/>
  <c r="EF645" i="32" s="1"/>
  <c r="EF644" i="32" s="1"/>
  <c r="EF643" i="32" s="1"/>
  <c r="EF642" i="32" s="1"/>
  <c r="EF641" i="32" s="1"/>
  <c r="EF640" i="32" s="1"/>
  <c r="EF639" i="32" s="1"/>
  <c r="EF638" i="32" s="1"/>
  <c r="EF637" i="32" s="1"/>
  <c r="EF636" i="32" s="1"/>
  <c r="EF635" i="32" s="1"/>
  <c r="EF634" i="32" s="1"/>
  <c r="EF633" i="32" s="1"/>
  <c r="EF632" i="32" s="1"/>
  <c r="EF631" i="32" s="1"/>
  <c r="EF630" i="32" s="1"/>
  <c r="EF629" i="32" s="1"/>
  <c r="EF628" i="32" s="1"/>
  <c r="EF627" i="32" s="1"/>
  <c r="EF626" i="32" s="1"/>
  <c r="EF625" i="32" s="1"/>
  <c r="EF624" i="32" s="1"/>
  <c r="EF623" i="32" s="1"/>
  <c r="EF622" i="32" s="1"/>
  <c r="EF621" i="32" s="1"/>
  <c r="EF620" i="32" s="1"/>
  <c r="EF619" i="32" s="1"/>
  <c r="EF618" i="32" s="1"/>
  <c r="EF617" i="32" s="1"/>
  <c r="EF616" i="32" s="1"/>
  <c r="EF615" i="32" s="1"/>
  <c r="EF614" i="32" s="1"/>
  <c r="EF613" i="32" s="1"/>
  <c r="EF612" i="32" s="1"/>
  <c r="EF611" i="32" s="1"/>
  <c r="EF610" i="32" s="1"/>
  <c r="EF609" i="32" s="1"/>
  <c r="EF608" i="32" s="1"/>
  <c r="EF607" i="32" s="1"/>
  <c r="EF606" i="32" s="1"/>
  <c r="EF605" i="32" s="1"/>
  <c r="EF604" i="32" s="1"/>
  <c r="EF603" i="32" s="1"/>
  <c r="EF602" i="32" s="1"/>
  <c r="EF601" i="32" s="1"/>
  <c r="EF600" i="32" s="1"/>
  <c r="EF599" i="32" s="1"/>
  <c r="EF598" i="32" s="1"/>
  <c r="EF597" i="32" s="1"/>
  <c r="EF596" i="32" s="1"/>
  <c r="EF595" i="32" s="1"/>
  <c r="EF594" i="32" s="1"/>
  <c r="EF593" i="32" s="1"/>
  <c r="EF592" i="32" s="1"/>
  <c r="EF591" i="32" s="1"/>
  <c r="EF590" i="32" s="1"/>
  <c r="EF589" i="32" s="1"/>
  <c r="EF588" i="32" s="1"/>
  <c r="EF587" i="32" s="1"/>
  <c r="EF586" i="32" s="1"/>
  <c r="EF585" i="32" s="1"/>
  <c r="EF584" i="32" s="1"/>
  <c r="EF583" i="32" s="1"/>
  <c r="EF582" i="32" s="1"/>
  <c r="EF581" i="32" s="1"/>
  <c r="EF580" i="32" s="1"/>
  <c r="EF579" i="32" s="1"/>
  <c r="EF578" i="32" s="1"/>
  <c r="EF577" i="32" s="1"/>
  <c r="EF576" i="32" s="1"/>
  <c r="EF575" i="32" s="1"/>
  <c r="EF574" i="32" s="1"/>
  <c r="EF573" i="32" s="1"/>
  <c r="EF572" i="32" s="1"/>
  <c r="EF571" i="32" s="1"/>
  <c r="EF570" i="32" s="1"/>
  <c r="EF569" i="32" s="1"/>
  <c r="EF568" i="32" s="1"/>
  <c r="EF567" i="32" s="1"/>
  <c r="EF566" i="32" s="1"/>
  <c r="EF565" i="32" s="1"/>
  <c r="EF564" i="32" s="1"/>
  <c r="EF563" i="32" s="1"/>
  <c r="EF562" i="32" s="1"/>
  <c r="EF561" i="32" s="1"/>
  <c r="EF560" i="32" s="1"/>
  <c r="EF559" i="32" s="1"/>
  <c r="EF558" i="32" s="1"/>
  <c r="EF557" i="32" s="1"/>
  <c r="EF556" i="32" s="1"/>
  <c r="EF555" i="32" s="1"/>
  <c r="EF554" i="32" s="1"/>
  <c r="EF553" i="32" s="1"/>
  <c r="EF552" i="32" s="1"/>
  <c r="EF551" i="32" s="1"/>
  <c r="EF550" i="32" s="1"/>
  <c r="EF549" i="32" s="1"/>
  <c r="EF548" i="32" s="1"/>
  <c r="EF547" i="32" s="1"/>
  <c r="EF546" i="32" s="1"/>
  <c r="EF545" i="32" s="1"/>
  <c r="EF544" i="32" s="1"/>
  <c r="EF543" i="32" s="1"/>
  <c r="EF542" i="32" s="1"/>
  <c r="EF541" i="32" s="1"/>
  <c r="EF540" i="32" s="1"/>
  <c r="EF539" i="32" s="1"/>
  <c r="EF538" i="32" s="1"/>
  <c r="EF537" i="32" s="1"/>
  <c r="EF536" i="32" s="1"/>
  <c r="EF535" i="32" s="1"/>
  <c r="EF534" i="32" s="1"/>
  <c r="EF533" i="32" s="1"/>
  <c r="EF532" i="32" s="1"/>
  <c r="EF531" i="32" s="1"/>
  <c r="EF530" i="32" s="1"/>
  <c r="EF529" i="32" s="1"/>
  <c r="EF528" i="32" s="1"/>
  <c r="EF527" i="32" s="1"/>
  <c r="EF526" i="32" s="1"/>
  <c r="EF525" i="32" s="1"/>
  <c r="EF524" i="32" s="1"/>
  <c r="EF523" i="32" s="1"/>
  <c r="EF522" i="32" s="1"/>
  <c r="EF521" i="32" s="1"/>
  <c r="EF520" i="32" s="1"/>
  <c r="EF519" i="32" s="1"/>
  <c r="EF518" i="32" s="1"/>
  <c r="EF517" i="32" s="1"/>
  <c r="EF516" i="32" s="1"/>
  <c r="EF515" i="32" s="1"/>
  <c r="EF514" i="32" s="1"/>
  <c r="EF513" i="32" s="1"/>
  <c r="EF512" i="32" s="1"/>
  <c r="EF511" i="32" s="1"/>
  <c r="EF510" i="32" s="1"/>
  <c r="EF509" i="32" s="1"/>
  <c r="EF508" i="32" s="1"/>
  <c r="EF507" i="32" s="1"/>
  <c r="EF506" i="32" s="1"/>
  <c r="EF505" i="32" s="1"/>
  <c r="EF504" i="32" s="1"/>
  <c r="EF503" i="32" s="1"/>
  <c r="EF502" i="32" s="1"/>
  <c r="EF501" i="32" s="1"/>
  <c r="EF500" i="32" s="1"/>
  <c r="EF499" i="32" s="1"/>
  <c r="EF498" i="32" s="1"/>
  <c r="EF497" i="32" s="1"/>
  <c r="EF496" i="32" s="1"/>
  <c r="EF495" i="32" s="1"/>
  <c r="EF494" i="32" s="1"/>
  <c r="EF493" i="32" s="1"/>
  <c r="EF492" i="32" s="1"/>
  <c r="EF491" i="32" s="1"/>
  <c r="EF490" i="32" s="1"/>
  <c r="EF489" i="32" s="1"/>
  <c r="EF488" i="32" s="1"/>
  <c r="EF487" i="32" s="1"/>
  <c r="EF486" i="32" s="1"/>
  <c r="EF485" i="32" s="1"/>
  <c r="EF484" i="32" s="1"/>
  <c r="EF483" i="32" s="1"/>
  <c r="EF482" i="32" s="1"/>
  <c r="EF481" i="32" s="1"/>
  <c r="EF480" i="32" s="1"/>
  <c r="EF479" i="32" s="1"/>
  <c r="EF478" i="32" s="1"/>
  <c r="EF477" i="32" s="1"/>
  <c r="EF476" i="32" s="1"/>
  <c r="EF475" i="32" s="1"/>
  <c r="EF474" i="32" s="1"/>
  <c r="EF473" i="32" s="1"/>
  <c r="EF472" i="32" s="1"/>
  <c r="EF471" i="32" s="1"/>
  <c r="EF470" i="32" s="1"/>
  <c r="EF469" i="32" s="1"/>
  <c r="EF468" i="32" s="1"/>
  <c r="EF467" i="32" s="1"/>
  <c r="EF466" i="32" s="1"/>
  <c r="EF465" i="32" s="1"/>
  <c r="EF464" i="32" s="1"/>
  <c r="EF463" i="32" s="1"/>
  <c r="EF462" i="32" s="1"/>
  <c r="EF461" i="32" s="1"/>
  <c r="EF460" i="32" s="1"/>
  <c r="EF459" i="32" s="1"/>
  <c r="EF458" i="32" s="1"/>
  <c r="EF457" i="32" s="1"/>
  <c r="EF456" i="32" s="1"/>
  <c r="EF455" i="32" s="1"/>
  <c r="EF454" i="32" s="1"/>
  <c r="EF453" i="32" s="1"/>
  <c r="EF452" i="32" s="1"/>
  <c r="EF451" i="32" s="1"/>
  <c r="EF450" i="32" s="1"/>
  <c r="EF449" i="32" s="1"/>
  <c r="EF448" i="32" s="1"/>
  <c r="EF447" i="32" s="1"/>
  <c r="EF446" i="32" s="1"/>
  <c r="EF445" i="32" s="1"/>
  <c r="EF444" i="32" s="1"/>
  <c r="EF443" i="32" s="1"/>
  <c r="EF442" i="32" s="1"/>
  <c r="EF441" i="32" s="1"/>
  <c r="EF440" i="32" s="1"/>
  <c r="EF439" i="32" s="1"/>
  <c r="EF438" i="32" s="1"/>
  <c r="EF437" i="32" s="1"/>
  <c r="EF436" i="32" s="1"/>
  <c r="EF435" i="32" s="1"/>
  <c r="EF434" i="32" s="1"/>
  <c r="EF433" i="32" s="1"/>
  <c r="EF432" i="32" s="1"/>
  <c r="EF431" i="32" s="1"/>
  <c r="EF430" i="32" s="1"/>
  <c r="EF429" i="32" s="1"/>
  <c r="EF428" i="32" s="1"/>
  <c r="EF427" i="32" s="1"/>
  <c r="EF426" i="32" s="1"/>
  <c r="EF425" i="32" s="1"/>
  <c r="EF424" i="32" s="1"/>
  <c r="EF423" i="32" s="1"/>
  <c r="EF422" i="32" s="1"/>
  <c r="EF421" i="32" s="1"/>
  <c r="EF420" i="32" s="1"/>
  <c r="EF419" i="32" s="1"/>
  <c r="EF418" i="32" s="1"/>
  <c r="EF417" i="32" s="1"/>
  <c r="EF416" i="32" s="1"/>
  <c r="EF415" i="32" s="1"/>
  <c r="EF414" i="32" s="1"/>
  <c r="EF413" i="32" s="1"/>
  <c r="EF412" i="32" s="1"/>
  <c r="EF411" i="32" s="1"/>
  <c r="EF410" i="32" s="1"/>
  <c r="EF409" i="32" s="1"/>
  <c r="EF408" i="32" s="1"/>
  <c r="EF407" i="32" s="1"/>
  <c r="EF406" i="32" s="1"/>
  <c r="EF405" i="32" s="1"/>
  <c r="EF404" i="32" s="1"/>
  <c r="EF403" i="32" s="1"/>
  <c r="EF402" i="32" s="1"/>
  <c r="EF401" i="32" s="1"/>
  <c r="EF400" i="32" s="1"/>
  <c r="EF399" i="32" s="1"/>
  <c r="EF398" i="32" s="1"/>
  <c r="EF397" i="32" s="1"/>
  <c r="EF396" i="32" s="1"/>
  <c r="EF395" i="32" s="1"/>
  <c r="EF394" i="32" s="1"/>
  <c r="EF393" i="32" s="1"/>
  <c r="EF392" i="32" s="1"/>
  <c r="EF391" i="32" s="1"/>
  <c r="EF390" i="32" s="1"/>
  <c r="EF389" i="32" s="1"/>
  <c r="EF388" i="32" s="1"/>
  <c r="EF387" i="32" s="1"/>
  <c r="EF386" i="32" s="1"/>
  <c r="EF385" i="32" s="1"/>
  <c r="EF384" i="32" s="1"/>
  <c r="EF383" i="32" s="1"/>
  <c r="EF382" i="32" s="1"/>
  <c r="EF381" i="32" s="1"/>
  <c r="EF380" i="32" s="1"/>
  <c r="EF379" i="32" s="1"/>
  <c r="EF378" i="32" s="1"/>
  <c r="EF377" i="32" s="1"/>
  <c r="EF376" i="32" s="1"/>
  <c r="EF375" i="32" s="1"/>
  <c r="EF374" i="32" s="1"/>
  <c r="EF373" i="32" s="1"/>
  <c r="EF372" i="32" s="1"/>
  <c r="EF371" i="32" s="1"/>
  <c r="EF370" i="32" s="1"/>
  <c r="EF369" i="32" s="1"/>
  <c r="EF368" i="32" s="1"/>
  <c r="EF367" i="32" s="1"/>
  <c r="EF366" i="32" s="1"/>
  <c r="EF365" i="32" s="1"/>
  <c r="EF364" i="32" s="1"/>
  <c r="EF363" i="32" s="1"/>
  <c r="EF362" i="32" s="1"/>
  <c r="EF361" i="32" s="1"/>
  <c r="EF360" i="32" s="1"/>
  <c r="EF359" i="32" s="1"/>
  <c r="EF358" i="32" s="1"/>
  <c r="EF357" i="32" s="1"/>
  <c r="EF356" i="32" s="1"/>
  <c r="EF355" i="32" s="1"/>
  <c r="EF354" i="32" s="1"/>
  <c r="EF353" i="32" s="1"/>
  <c r="EF352" i="32" s="1"/>
  <c r="EF351" i="32" s="1"/>
  <c r="EF350" i="32" s="1"/>
  <c r="EF349" i="32" s="1"/>
  <c r="EF348" i="32" s="1"/>
  <c r="EF347" i="32" s="1"/>
  <c r="EF346" i="32" s="1"/>
  <c r="EF345" i="32" s="1"/>
  <c r="EF344" i="32" s="1"/>
  <c r="EF343" i="32" s="1"/>
  <c r="EF342" i="32" s="1"/>
  <c r="EF341" i="32" s="1"/>
  <c r="EF340" i="32" s="1"/>
  <c r="EF339" i="32" s="1"/>
  <c r="EF338" i="32" s="1"/>
  <c r="EF337" i="32" s="1"/>
  <c r="EF336" i="32" s="1"/>
  <c r="EF335" i="32" s="1"/>
  <c r="EF334" i="32" s="1"/>
  <c r="EF333" i="32" s="1"/>
  <c r="EF332" i="32" s="1"/>
  <c r="EF331" i="32" s="1"/>
  <c r="EF330" i="32" s="1"/>
  <c r="EF329" i="32" s="1"/>
  <c r="EF328" i="32" s="1"/>
  <c r="EF327" i="32" s="1"/>
  <c r="EF326" i="32" s="1"/>
  <c r="EF325" i="32" s="1"/>
  <c r="EF324" i="32" s="1"/>
  <c r="EF323" i="32" s="1"/>
  <c r="EF322" i="32" s="1"/>
  <c r="EF321" i="32" s="1"/>
  <c r="EF320" i="32" s="1"/>
  <c r="EF319" i="32" s="1"/>
  <c r="EF318" i="32" s="1"/>
  <c r="EF317" i="32" s="1"/>
  <c r="EF316" i="32" s="1"/>
  <c r="EF315" i="32" s="1"/>
  <c r="EF314" i="32" s="1"/>
  <c r="EF313" i="32" s="1"/>
  <c r="EF312" i="32" s="1"/>
  <c r="EF311" i="32" s="1"/>
  <c r="EF310" i="32" s="1"/>
  <c r="EF309" i="32" s="1"/>
  <c r="EF308" i="32" s="1"/>
  <c r="EF307" i="32" s="1"/>
  <c r="EF306" i="32" s="1"/>
  <c r="EF305" i="32" s="1"/>
  <c r="EF304" i="32" s="1"/>
  <c r="EF303" i="32" s="1"/>
  <c r="EF302" i="32" s="1"/>
  <c r="EF301" i="32" s="1"/>
  <c r="EF300" i="32" s="1"/>
  <c r="EF299" i="32" s="1"/>
  <c r="EF298" i="32" s="1"/>
  <c r="EF297" i="32" s="1"/>
  <c r="EF296" i="32" s="1"/>
  <c r="EF295" i="32" s="1"/>
  <c r="EF294" i="32" s="1"/>
  <c r="EF293" i="32" s="1"/>
  <c r="EF292" i="32" s="1"/>
  <c r="EF291" i="32" s="1"/>
  <c r="EF290" i="32" s="1"/>
  <c r="EF289" i="32" s="1"/>
  <c r="EF288" i="32" s="1"/>
  <c r="EF287" i="32" s="1"/>
  <c r="EF286" i="32" s="1"/>
  <c r="EF285" i="32" s="1"/>
  <c r="EF284" i="32" s="1"/>
  <c r="EF283" i="32" s="1"/>
  <c r="EF282" i="32" s="1"/>
  <c r="EF281" i="32" s="1"/>
  <c r="EF280" i="32" s="1"/>
  <c r="EF279" i="32" s="1"/>
  <c r="EF278" i="32" s="1"/>
  <c r="EF277" i="32" s="1"/>
  <c r="EF276" i="32" s="1"/>
  <c r="EF275" i="32" s="1"/>
  <c r="EF274" i="32" s="1"/>
  <c r="EF273" i="32" s="1"/>
  <c r="EF272" i="32" s="1"/>
  <c r="EF271" i="32" s="1"/>
  <c r="EF270" i="32" s="1"/>
  <c r="EF269" i="32" s="1"/>
  <c r="EF268" i="32" s="1"/>
  <c r="EF267" i="32" s="1"/>
  <c r="EF266" i="32" s="1"/>
  <c r="EF265" i="32" s="1"/>
  <c r="EF264" i="32" s="1"/>
  <c r="EF263" i="32" s="1"/>
  <c r="EF262" i="32" s="1"/>
  <c r="EF261" i="32" s="1"/>
  <c r="EF260" i="32" s="1"/>
  <c r="EF259" i="32" s="1"/>
  <c r="EF258" i="32" s="1"/>
  <c r="EF257" i="32" s="1"/>
  <c r="EF256" i="32" s="1"/>
  <c r="EF255" i="32" s="1"/>
  <c r="EF254" i="32" s="1"/>
  <c r="EF253" i="32" s="1"/>
  <c r="EF252" i="32" s="1"/>
  <c r="EF251" i="32" s="1"/>
  <c r="EF250" i="32" s="1"/>
  <c r="EF249" i="32" s="1"/>
  <c r="EF248" i="32" s="1"/>
  <c r="EF247" i="32" s="1"/>
  <c r="EF246" i="32" s="1"/>
  <c r="EF245" i="32" s="1"/>
  <c r="EF244" i="32" s="1"/>
  <c r="EF243" i="32" s="1"/>
  <c r="EF242" i="32" s="1"/>
  <c r="EF241" i="32" s="1"/>
  <c r="EF240" i="32" s="1"/>
  <c r="EF239" i="32" s="1"/>
  <c r="EF238" i="32" s="1"/>
  <c r="EF237" i="32" s="1"/>
  <c r="EF236" i="32" s="1"/>
  <c r="EF235" i="32" s="1"/>
  <c r="EF234" i="32" s="1"/>
  <c r="EF233" i="32" s="1"/>
  <c r="EF232" i="32" s="1"/>
  <c r="EF231" i="32" s="1"/>
  <c r="EF230" i="32" s="1"/>
  <c r="EF229" i="32" s="1"/>
  <c r="EF228" i="32" s="1"/>
  <c r="EF227" i="32" s="1"/>
  <c r="EF226" i="32" s="1"/>
  <c r="EF225" i="32" s="1"/>
  <c r="EF224" i="32" s="1"/>
  <c r="EF223" i="32" s="1"/>
  <c r="EF222" i="32" s="1"/>
  <c r="EF221" i="32" s="1"/>
  <c r="EF220" i="32" s="1"/>
  <c r="EF219" i="32" s="1"/>
  <c r="EF218" i="32" s="1"/>
  <c r="EF217" i="32" s="1"/>
  <c r="EF216" i="32" s="1"/>
  <c r="EF215" i="32" s="1"/>
  <c r="EF214" i="32" s="1"/>
  <c r="EF213" i="32" s="1"/>
  <c r="EF212" i="32" s="1"/>
  <c r="EF211" i="32" s="1"/>
  <c r="EF210" i="32" s="1"/>
  <c r="EF209" i="32" s="1"/>
  <c r="EF208" i="32" s="1"/>
  <c r="EF207" i="32" s="1"/>
  <c r="EF206" i="32" s="1"/>
  <c r="EF205" i="32" s="1"/>
  <c r="EF204" i="32" s="1"/>
  <c r="EF203" i="32" s="1"/>
  <c r="EF202" i="32" s="1"/>
  <c r="EF201" i="32" s="1"/>
  <c r="EF200" i="32" s="1"/>
  <c r="EF199" i="32" s="1"/>
  <c r="EF198" i="32" s="1"/>
  <c r="EF197" i="32" s="1"/>
  <c r="EF196" i="32" s="1"/>
  <c r="EF195" i="32" s="1"/>
  <c r="EF194" i="32" s="1"/>
  <c r="EF193" i="32" s="1"/>
  <c r="EF192" i="32" s="1"/>
  <c r="EF191" i="32" s="1"/>
  <c r="EF190" i="32" s="1"/>
  <c r="EF189" i="32" s="1"/>
  <c r="EF188" i="32" s="1"/>
  <c r="EF187" i="32" s="1"/>
  <c r="EF186" i="32" s="1"/>
  <c r="EF185" i="32" s="1"/>
  <c r="EF184" i="32" s="1"/>
  <c r="EF183" i="32" s="1"/>
  <c r="EF182" i="32" s="1"/>
  <c r="EF181" i="32" s="1"/>
  <c r="EF180" i="32" s="1"/>
  <c r="EF179" i="32" s="1"/>
  <c r="EF178" i="32" s="1"/>
  <c r="EF177" i="32" s="1"/>
  <c r="EF176" i="32" s="1"/>
  <c r="EF175" i="32" s="1"/>
  <c r="EF174" i="32" s="1"/>
  <c r="EF173" i="32" s="1"/>
  <c r="EF172" i="32" s="1"/>
  <c r="EF171" i="32" s="1"/>
  <c r="EF170" i="32" s="1"/>
  <c r="EF169" i="32" s="1"/>
  <c r="EF168" i="32" s="1"/>
  <c r="EF167" i="32" s="1"/>
  <c r="EF166" i="32" s="1"/>
  <c r="EF165" i="32" s="1"/>
  <c r="EF164" i="32" s="1"/>
  <c r="EF163" i="32" s="1"/>
  <c r="EF162" i="32" s="1"/>
  <c r="EF161" i="32" s="1"/>
  <c r="EF160" i="32" s="1"/>
  <c r="EF159" i="32" s="1"/>
  <c r="EF158" i="32" s="1"/>
  <c r="EF157" i="32" s="1"/>
  <c r="EF156" i="32" s="1"/>
  <c r="EF155" i="32" s="1"/>
  <c r="EF154" i="32" s="1"/>
  <c r="EF153" i="32" s="1"/>
  <c r="EF152" i="32" s="1"/>
  <c r="EF151" i="32" s="1"/>
  <c r="EF150" i="32" s="1"/>
  <c r="EF149" i="32" s="1"/>
  <c r="EF148" i="32" s="1"/>
  <c r="EF147" i="32" s="1"/>
  <c r="EF146" i="32" s="1"/>
  <c r="EF145" i="32" s="1"/>
  <c r="EF144" i="32" s="1"/>
  <c r="EF143" i="32" s="1"/>
  <c r="EF142" i="32" s="1"/>
  <c r="EF141" i="32" s="1"/>
  <c r="EF140" i="32" s="1"/>
  <c r="EF139" i="32" s="1"/>
  <c r="EF138" i="32" s="1"/>
  <c r="EF137" i="32" s="1"/>
  <c r="EF136" i="32" s="1"/>
  <c r="EF135" i="32" s="1"/>
  <c r="EF134" i="32" s="1"/>
  <c r="EF133" i="32" s="1"/>
  <c r="EF132" i="32" s="1"/>
  <c r="EF131" i="32" s="1"/>
  <c r="EF130" i="32" s="1"/>
  <c r="EF129" i="32" s="1"/>
  <c r="EF128" i="32" s="1"/>
  <c r="EF127" i="32" s="1"/>
  <c r="EF126" i="32" s="1"/>
  <c r="EF125" i="32" s="1"/>
  <c r="EF124" i="32" s="1"/>
  <c r="EF123" i="32" s="1"/>
  <c r="EF122" i="32" s="1"/>
  <c r="EF121" i="32" s="1"/>
  <c r="EF120" i="32" s="1"/>
  <c r="EF119" i="32" s="1"/>
  <c r="EF118" i="32" s="1"/>
  <c r="EF117" i="32" s="1"/>
  <c r="EF116" i="32" s="1"/>
  <c r="EF115" i="32" s="1"/>
  <c r="EF114" i="32" s="1"/>
  <c r="EF113" i="32" s="1"/>
  <c r="EF112" i="32" s="1"/>
  <c r="EF111" i="32" s="1"/>
  <c r="EF110" i="32" s="1"/>
  <c r="EF109" i="32" s="1"/>
  <c r="EF108" i="32" s="1"/>
  <c r="EF107" i="32" s="1"/>
  <c r="EF106" i="32" s="1"/>
  <c r="EF105" i="32" s="1"/>
  <c r="EF104" i="32" s="1"/>
  <c r="EF103" i="32" s="1"/>
  <c r="EF102" i="32" s="1"/>
  <c r="EF101" i="32" s="1"/>
  <c r="EF100" i="32" s="1"/>
  <c r="EF99" i="32" s="1"/>
  <c r="EF98" i="32" s="1"/>
  <c r="EF97" i="32" s="1"/>
  <c r="EF96" i="32" s="1"/>
  <c r="EF95" i="32" s="1"/>
  <c r="EF94" i="32" s="1"/>
  <c r="EF93" i="32" s="1"/>
  <c r="EF92" i="32" s="1"/>
  <c r="EF91" i="32" s="1"/>
  <c r="EF90" i="32" s="1"/>
  <c r="EF89" i="32" s="1"/>
  <c r="EF88" i="32" s="1"/>
  <c r="EF87" i="32" s="1"/>
  <c r="EF86" i="32" s="1"/>
  <c r="EF85" i="32" s="1"/>
  <c r="EF84" i="32" s="1"/>
  <c r="EF83" i="32" s="1"/>
  <c r="EF82" i="32" s="1"/>
  <c r="EF81" i="32" s="1"/>
  <c r="EF80" i="32" s="1"/>
  <c r="EF79" i="32" s="1"/>
  <c r="EF78" i="32" s="1"/>
  <c r="EF77" i="32" s="1"/>
  <c r="EF76" i="32" s="1"/>
  <c r="EF75" i="32" s="1"/>
  <c r="EF74" i="32" s="1"/>
  <c r="EF73" i="32" s="1"/>
  <c r="EF72" i="32" s="1"/>
  <c r="EF71" i="32" s="1"/>
  <c r="EF70" i="32" s="1"/>
  <c r="EF69" i="32" s="1"/>
  <c r="EF68" i="32" s="1"/>
  <c r="EF67" i="32" s="1"/>
  <c r="EF66" i="32" s="1"/>
  <c r="EF65" i="32" s="1"/>
  <c r="EF64" i="32" s="1"/>
  <c r="EF63" i="32" s="1"/>
  <c r="EF62" i="32" s="1"/>
  <c r="EF61" i="32" s="1"/>
  <c r="EF60" i="32" s="1"/>
  <c r="EF59" i="32" s="1"/>
  <c r="EF58" i="32" s="1"/>
  <c r="EF57" i="32" s="1"/>
  <c r="EF56" i="32" s="1"/>
  <c r="EF55" i="32" s="1"/>
  <c r="EF54" i="32" s="1"/>
  <c r="EF53" i="32" s="1"/>
  <c r="EF52" i="32" s="1"/>
  <c r="EF51" i="32" s="1"/>
  <c r="EF50" i="32" s="1"/>
  <c r="EF49" i="32" s="1"/>
  <c r="EF48" i="32" s="1"/>
  <c r="EF47" i="32" s="1"/>
  <c r="EF46" i="32" s="1"/>
  <c r="EF45" i="32" s="1"/>
  <c r="EF44" i="32" s="1"/>
  <c r="EF43" i="32" s="1"/>
  <c r="EF42" i="32" s="1"/>
  <c r="EF41" i="32" s="1"/>
  <c r="EF40" i="32" s="1"/>
  <c r="EF39" i="32" s="1"/>
  <c r="EF38" i="32" s="1"/>
  <c r="EF37" i="32" s="1"/>
  <c r="EF36" i="32" s="1"/>
  <c r="EF35" i="32" s="1"/>
  <c r="EF34" i="32" s="1"/>
  <c r="EF33" i="32" s="1"/>
  <c r="EF32" i="32" s="1"/>
  <c r="EF31" i="32" s="1"/>
  <c r="EF30" i="32" s="1"/>
  <c r="EF29" i="32" s="1"/>
  <c r="EE795" i="32"/>
  <c r="EE794" i="32" s="1"/>
  <c r="EE793" i="32" s="1"/>
  <c r="EE792" i="32" s="1"/>
  <c r="EE791" i="32" s="1"/>
  <c r="EE790" i="32" s="1"/>
  <c r="EE789" i="32" s="1"/>
  <c r="EE788" i="32" s="1"/>
  <c r="EE787" i="32" s="1"/>
  <c r="EE786" i="32" s="1"/>
  <c r="EE785" i="32" s="1"/>
  <c r="EE784" i="32" s="1"/>
  <c r="EE783" i="32" s="1"/>
  <c r="EE782" i="32" s="1"/>
  <c r="EE781" i="32" s="1"/>
  <c r="EE780" i="32" s="1"/>
  <c r="EE779" i="32" s="1"/>
  <c r="EE778" i="32" s="1"/>
  <c r="EE777" i="32" s="1"/>
  <c r="EE776" i="32" s="1"/>
  <c r="EE775" i="32" s="1"/>
  <c r="EE774" i="32" s="1"/>
  <c r="EE773" i="32" s="1"/>
  <c r="EE772" i="32" s="1"/>
  <c r="EE771" i="32" s="1"/>
  <c r="EE770" i="32" s="1"/>
  <c r="EE769" i="32" s="1"/>
  <c r="EE768" i="32" s="1"/>
  <c r="EE767" i="32" s="1"/>
  <c r="EE766" i="32" s="1"/>
  <c r="EE765" i="32" s="1"/>
  <c r="EE764" i="32" s="1"/>
  <c r="EE763" i="32" s="1"/>
  <c r="EE762" i="32" s="1"/>
  <c r="EE761" i="32" s="1"/>
  <c r="EE760" i="32" s="1"/>
  <c r="EE759" i="32" s="1"/>
  <c r="EE758" i="32" s="1"/>
  <c r="EE757" i="32" s="1"/>
  <c r="EE756" i="32" s="1"/>
  <c r="EE755" i="32" s="1"/>
  <c r="EE754" i="32" s="1"/>
  <c r="EE753" i="32" s="1"/>
  <c r="EE752" i="32" s="1"/>
  <c r="EE751" i="32" s="1"/>
  <c r="EE750" i="32" s="1"/>
  <c r="EE749" i="32" s="1"/>
  <c r="EE748" i="32" s="1"/>
  <c r="EE747" i="32" s="1"/>
  <c r="EM68" i="32"/>
  <c r="EN68" i="32" s="1"/>
  <c r="EO68" i="32" s="1"/>
  <c r="EP68" i="32" s="1"/>
  <c r="EM61" i="32"/>
  <c r="EN61" i="32" s="1"/>
  <c r="EO61" i="32" s="1"/>
  <c r="EP61" i="32" s="1"/>
  <c r="EM54" i="32"/>
  <c r="EN54" i="32" s="1"/>
  <c r="EO54" i="32" s="1"/>
  <c r="EP54" i="32" s="1"/>
  <c r="EM47" i="32"/>
  <c r="EN47" i="32" s="1"/>
  <c r="EO47" i="32" s="1"/>
  <c r="EP47" i="32" s="1"/>
  <c r="EM39" i="32"/>
  <c r="EN39" i="32" s="1"/>
  <c r="EO39" i="32" s="1"/>
  <c r="EP39" i="32" s="1"/>
  <c r="GB36" i="32"/>
  <c r="FU36" i="32" s="1"/>
  <c r="FU20" i="32" s="1"/>
  <c r="FT174" i="32" s="1"/>
  <c r="GE24" i="32"/>
  <c r="GE25" i="32" s="1"/>
  <c r="GB33" i="32"/>
  <c r="FU33" i="32" s="1"/>
  <c r="FU17" i="32" s="1"/>
  <c r="FT365" i="32" s="1"/>
  <c r="GP30" i="32"/>
  <c r="GP31" i="32" s="1"/>
  <c r="GP37" i="32" s="1"/>
  <c r="GO30" i="32"/>
  <c r="GO31" i="32" s="1"/>
  <c r="GO37" i="32" s="1"/>
  <c r="GN30" i="32"/>
  <c r="GN31" i="32" s="1"/>
  <c r="GN37" i="32" s="1"/>
  <c r="GM30" i="32"/>
  <c r="GM31" i="32" s="1"/>
  <c r="GM37" i="32" s="1"/>
  <c r="GL30" i="32"/>
  <c r="GL31" i="32" s="1"/>
  <c r="GL37" i="32" s="1"/>
  <c r="GK30" i="32"/>
  <c r="GK31" i="32" s="1"/>
  <c r="GK37" i="32" s="1"/>
  <c r="GB32" i="32"/>
  <c r="FU32" i="32" s="1"/>
  <c r="FU16" i="32" s="1"/>
  <c r="FT426" i="32" s="1"/>
  <c r="EM32" i="32"/>
  <c r="EN32" i="32" s="1"/>
  <c r="EO32" i="32" s="1"/>
  <c r="EP32" i="32" s="1"/>
  <c r="GO6" i="32"/>
  <c r="GN6" i="32"/>
  <c r="GM6" i="32"/>
  <c r="GL6" i="32"/>
  <c r="GK6" i="32"/>
  <c r="GP6" i="32"/>
  <c r="EP16" i="32"/>
  <c r="EO16" i="32"/>
  <c r="EN16" i="32"/>
  <c r="EM16" i="32"/>
  <c r="EL16" i="32"/>
  <c r="Y13" i="32"/>
  <c r="EP13" i="32"/>
  <c r="EO13" i="32"/>
  <c r="EN13" i="32"/>
  <c r="EM13" i="32"/>
  <c r="EL13" i="32"/>
  <c r="Y12" i="32"/>
  <c r="GG12" i="32"/>
  <c r="V11" i="32"/>
  <c r="U11" i="32"/>
  <c r="T11" i="32"/>
  <c r="S11" i="32"/>
  <c r="R11" i="32"/>
  <c r="Q11" i="32"/>
  <c r="Y11" i="32"/>
  <c r="GG11" i="32"/>
  <c r="V10" i="32"/>
  <c r="U10" i="32"/>
  <c r="T10" i="32"/>
  <c r="S10" i="32"/>
  <c r="R10" i="32"/>
  <c r="Y10" i="32"/>
  <c r="GG10" i="32"/>
  <c r="GF10" i="32"/>
  <c r="EP10" i="32"/>
  <c r="EO10" i="32"/>
  <c r="EN10" i="32"/>
  <c r="EM10" i="32"/>
  <c r="EL10" i="32"/>
  <c r="Y9" i="32"/>
  <c r="GG9" i="32"/>
  <c r="GF9" i="32"/>
  <c r="EP8" i="32"/>
  <c r="EP20" i="32" s="1"/>
  <c r="EO8" i="32"/>
  <c r="EO20" i="32" s="1"/>
  <c r="EN8" i="32"/>
  <c r="EN20" i="32" s="1"/>
  <c r="EM8" i="32"/>
  <c r="EM20" i="32" s="1"/>
  <c r="EL8" i="32"/>
  <c r="AN8" i="32"/>
  <c r="AM8" i="32"/>
  <c r="AL8" i="32"/>
  <c r="AK8" i="32"/>
  <c r="AJ8" i="32"/>
  <c r="V8" i="32"/>
  <c r="U8" i="32"/>
  <c r="T8" i="32"/>
  <c r="S8" i="32"/>
  <c r="R8" i="32"/>
  <c r="Y8" i="32"/>
  <c r="GG8" i="32"/>
  <c r="GF8" i="32"/>
  <c r="Y7" i="32"/>
  <c r="EM6" i="32"/>
  <c r="EN6" i="32" s="1"/>
  <c r="EO6" i="32" s="1"/>
  <c r="EP6" i="32" s="1"/>
  <c r="R6" i="32"/>
  <c r="S6" i="32" s="1"/>
  <c r="T6" i="32" s="1"/>
  <c r="U6" i="32" s="1"/>
  <c r="V6" i="32" s="1"/>
  <c r="GL5" i="32"/>
  <c r="GM5" i="32" s="1"/>
  <c r="GN5" i="32" s="1"/>
  <c r="GO5" i="32" s="1"/>
  <c r="GP5" i="32" s="1"/>
  <c r="E24" i="34"/>
  <c r="EM17" i="32" l="1"/>
  <c r="EL17" i="32"/>
  <c r="EL9" i="32"/>
  <c r="EL20" i="32"/>
  <c r="EN17" i="32"/>
  <c r="EO17" i="32"/>
  <c r="EP17" i="32"/>
  <c r="EO9" i="32"/>
  <c r="EP9" i="32"/>
  <c r="EM15" i="32"/>
  <c r="EM9" i="32"/>
  <c r="EN9" i="32"/>
  <c r="EE746" i="32"/>
  <c r="EE745" i="32" s="1"/>
  <c r="EE744" i="32" s="1"/>
  <c r="EE743" i="32" s="1"/>
  <c r="EE742" i="32" s="1"/>
  <c r="EE741" i="32" s="1"/>
  <c r="EE740" i="32" s="1"/>
  <c r="EE739" i="32" s="1"/>
  <c r="EE738" i="32" s="1"/>
  <c r="EE737" i="32" s="1"/>
  <c r="EE736" i="32" s="1"/>
  <c r="EE735" i="32" s="1"/>
  <c r="EE734" i="32" s="1"/>
  <c r="EE733" i="32" s="1"/>
  <c r="EE732" i="32" s="1"/>
  <c r="EE731" i="32" s="1"/>
  <c r="EE730" i="32" s="1"/>
  <c r="EE729" i="32" s="1"/>
  <c r="EE728" i="32" s="1"/>
  <c r="EE727" i="32" s="1"/>
  <c r="EE726" i="32" s="1"/>
  <c r="EE725" i="32" s="1"/>
  <c r="EE724" i="32" s="1"/>
  <c r="EE723" i="32" s="1"/>
  <c r="EE722" i="32" s="1"/>
  <c r="EE721" i="32" s="1"/>
  <c r="EE720" i="32" s="1"/>
  <c r="EE719" i="32" s="1"/>
  <c r="EE718" i="32" s="1"/>
  <c r="EE717" i="32" s="1"/>
  <c r="EE716" i="32" s="1"/>
  <c r="EE715" i="32" s="1"/>
  <c r="EE714" i="32" s="1"/>
  <c r="EE713" i="32" s="1"/>
  <c r="EE712" i="32" s="1"/>
  <c r="EE711" i="32" s="1"/>
  <c r="EE710" i="32" s="1"/>
  <c r="EE709" i="32" s="1"/>
  <c r="EE708" i="32" s="1"/>
  <c r="EE707" i="32" s="1"/>
  <c r="EE706" i="32" s="1"/>
  <c r="EE705" i="32" s="1"/>
  <c r="EE704" i="32" s="1"/>
  <c r="EE703" i="32" s="1"/>
  <c r="EE702" i="32" s="1"/>
  <c r="EE701" i="32" s="1"/>
  <c r="EE700" i="32" s="1"/>
  <c r="EE699" i="32" s="1"/>
  <c r="EE698" i="32" s="1"/>
  <c r="EE697" i="32" s="1"/>
  <c r="EE696" i="32" s="1"/>
  <c r="EE695" i="32" s="1"/>
  <c r="EE694" i="32" s="1"/>
  <c r="EE693" i="32" s="1"/>
  <c r="EE692" i="32" s="1"/>
  <c r="EE691" i="32" s="1"/>
  <c r="EE690" i="32" s="1"/>
  <c r="EE689" i="32" s="1"/>
  <c r="EE688" i="32" s="1"/>
  <c r="EE687" i="32" s="1"/>
  <c r="EE686" i="32" s="1"/>
  <c r="EE685" i="32" s="1"/>
  <c r="EE684" i="32" s="1"/>
  <c r="EE683" i="32" s="1"/>
  <c r="EE682" i="32" s="1"/>
  <c r="EE681" i="32" s="1"/>
  <c r="EE680" i="32" s="1"/>
  <c r="EE679" i="32" s="1"/>
  <c r="EE678" i="32" s="1"/>
  <c r="EE677" i="32" s="1"/>
  <c r="EE676" i="32" s="1"/>
  <c r="EE675" i="32" s="1"/>
  <c r="EE674" i="32" s="1"/>
  <c r="EE673" i="32" s="1"/>
  <c r="EE672" i="32" s="1"/>
  <c r="EE671" i="32" s="1"/>
  <c r="EE670" i="32" s="1"/>
  <c r="EE669" i="32" s="1"/>
  <c r="EE668" i="32" s="1"/>
  <c r="EE667" i="32" s="1"/>
  <c r="EE666" i="32" s="1"/>
  <c r="EE665" i="32" s="1"/>
  <c r="EE664" i="32" s="1"/>
  <c r="EE663" i="32" s="1"/>
  <c r="EE662" i="32" s="1"/>
  <c r="EE661" i="32" s="1"/>
  <c r="EE660" i="32" s="1"/>
  <c r="EE659" i="32" s="1"/>
  <c r="EE658" i="32" s="1"/>
  <c r="EE657" i="32" s="1"/>
  <c r="EE656" i="32" s="1"/>
  <c r="EE655" i="32" s="1"/>
  <c r="EE654" i="32" s="1"/>
  <c r="EE653" i="32" s="1"/>
  <c r="EE652" i="32" s="1"/>
  <c r="EE651" i="32" s="1"/>
  <c r="EE650" i="32" s="1"/>
  <c r="EE649" i="32" s="1"/>
  <c r="EE648" i="32" s="1"/>
  <c r="EE647" i="32" s="1"/>
  <c r="EE646" i="32" s="1"/>
  <c r="EE645" i="32" s="1"/>
  <c r="EE644" i="32" s="1"/>
  <c r="EE643" i="32" s="1"/>
  <c r="EE642" i="32" s="1"/>
  <c r="EE641" i="32" s="1"/>
  <c r="EE640" i="32" s="1"/>
  <c r="EG747" i="32"/>
  <c r="EO14" i="32"/>
  <c r="EL12" i="32"/>
  <c r="ET10" i="32"/>
  <c r="EO11" i="32"/>
  <c r="GH8" i="32"/>
  <c r="EW10" i="32"/>
  <c r="GE8" i="32"/>
  <c r="EM11" i="32"/>
  <c r="GH9" i="32"/>
  <c r="EL15" i="32"/>
  <c r="EU10" i="32"/>
  <c r="GE26" i="32"/>
  <c r="GE27" i="32" s="1"/>
  <c r="GE10" i="32" s="1"/>
  <c r="GE9" i="32"/>
  <c r="EN11" i="32"/>
  <c r="EP15" i="32"/>
  <c r="EP11" i="32"/>
  <c r="EM14" i="32"/>
  <c r="GH10" i="32"/>
  <c r="EM12" i="32"/>
  <c r="EN14" i="32"/>
  <c r="GN39" i="32"/>
  <c r="GN8" i="32" s="1"/>
  <c r="GN7" i="32"/>
  <c r="GP39" i="32"/>
  <c r="GP8" i="32" s="1"/>
  <c r="GP7" i="32"/>
  <c r="GK39" i="32"/>
  <c r="GK8" i="32" s="1"/>
  <c r="GK7" i="32"/>
  <c r="GO7" i="32"/>
  <c r="GO39" i="32"/>
  <c r="GO8" i="32" s="1"/>
  <c r="GL39" i="32"/>
  <c r="GL8" i="32" s="1"/>
  <c r="GL7" i="32"/>
  <c r="GM39" i="32"/>
  <c r="GM8" i="32" s="1"/>
  <c r="GM7" i="32"/>
  <c r="EN12" i="32"/>
  <c r="EN15" i="32"/>
  <c r="EP14" i="32"/>
  <c r="EO12" i="32"/>
  <c r="EO15" i="32"/>
  <c r="EP12" i="32"/>
  <c r="EE639" i="32" l="1"/>
  <c r="EE638" i="32" s="1"/>
  <c r="EE637" i="32" s="1"/>
  <c r="EE636" i="32" s="1"/>
  <c r="EE635" i="32" s="1"/>
  <c r="EE634" i="32" s="1"/>
  <c r="EE633" i="32" s="1"/>
  <c r="EE632" i="32" s="1"/>
  <c r="EE631" i="32" s="1"/>
  <c r="EE630" i="32" s="1"/>
  <c r="EE629" i="32" s="1"/>
  <c r="EE628" i="32" s="1"/>
  <c r="EE627" i="32" s="1"/>
  <c r="EE626" i="32" s="1"/>
  <c r="EE625" i="32" s="1"/>
  <c r="EE624" i="32" s="1"/>
  <c r="EE623" i="32" s="1"/>
  <c r="EE622" i="32" s="1"/>
  <c r="EE621" i="32" s="1"/>
  <c r="EE620" i="32" s="1"/>
  <c r="EE619" i="32" s="1"/>
  <c r="EE618" i="32" s="1"/>
  <c r="EE617" i="32" s="1"/>
  <c r="EE616" i="32" s="1"/>
  <c r="EE615" i="32" s="1"/>
  <c r="EE614" i="32" s="1"/>
  <c r="EE613" i="32" s="1"/>
  <c r="EE612" i="32" s="1"/>
  <c r="EE611" i="32" s="1"/>
  <c r="EE610" i="32" s="1"/>
  <c r="EE609" i="32" s="1"/>
  <c r="EE608" i="32" s="1"/>
  <c r="EE607" i="32" s="1"/>
  <c r="EE606" i="32" s="1"/>
  <c r="EE605" i="32" s="1"/>
  <c r="EE604" i="32" s="1"/>
  <c r="EE603" i="32" s="1"/>
  <c r="EE602" i="32" s="1"/>
  <c r="EE601" i="32" s="1"/>
  <c r="EE600" i="32" s="1"/>
  <c r="EE599" i="32" s="1"/>
  <c r="EE598" i="32" s="1"/>
  <c r="EE597" i="32" s="1"/>
  <c r="EE596" i="32" s="1"/>
  <c r="EG640" i="32"/>
  <c r="GE28" i="32"/>
  <c r="GE29" i="32" s="1"/>
  <c r="GE12" i="32" s="1"/>
  <c r="GE11" i="32" l="1"/>
  <c r="EE595" i="32"/>
  <c r="EE594" i="32" s="1"/>
  <c r="EE593" i="32" s="1"/>
  <c r="EE592" i="32" s="1"/>
  <c r="EE591" i="32" s="1"/>
  <c r="EE590" i="32" s="1"/>
  <c r="EE589" i="32" s="1"/>
  <c r="EE588" i="32" s="1"/>
  <c r="EE587" i="32" s="1"/>
  <c r="EE586" i="32" s="1"/>
  <c r="EE585" i="32" s="1"/>
  <c r="EE584" i="32" s="1"/>
  <c r="EE583" i="32" s="1"/>
  <c r="EG596" i="32"/>
  <c r="EE582" i="32" l="1"/>
  <c r="EE581" i="32" s="1"/>
  <c r="EE580" i="32" s="1"/>
  <c r="EE579" i="32" s="1"/>
  <c r="EE578" i="32" s="1"/>
  <c r="EE577" i="32" s="1"/>
  <c r="EE576" i="32" s="1"/>
  <c r="EE575" i="32" s="1"/>
  <c r="EE574" i="32" s="1"/>
  <c r="EE573" i="32" s="1"/>
  <c r="EE572" i="32" s="1"/>
  <c r="EE571" i="32" s="1"/>
  <c r="EE570" i="32" s="1"/>
  <c r="EE569" i="32" s="1"/>
  <c r="EE568" i="32" s="1"/>
  <c r="EE567" i="32" s="1"/>
  <c r="EE566" i="32" s="1"/>
  <c r="EE565" i="32" s="1"/>
  <c r="EE564" i="32" s="1"/>
  <c r="EE563" i="32" s="1"/>
  <c r="EE562" i="32" s="1"/>
  <c r="EE561" i="32" s="1"/>
  <c r="EE560" i="32" s="1"/>
  <c r="EE559" i="32" s="1"/>
  <c r="EE558" i="32" s="1"/>
  <c r="EE557" i="32" s="1"/>
  <c r="EE556" i="32" s="1"/>
  <c r="EE555" i="32" s="1"/>
  <c r="EE554" i="32" s="1"/>
  <c r="EE553" i="32" s="1"/>
  <c r="EE552" i="32" s="1"/>
  <c r="EE551" i="32" s="1"/>
  <c r="EE550" i="32" s="1"/>
  <c r="EE549" i="32" s="1"/>
  <c r="EE548" i="32" s="1"/>
  <c r="EE547" i="32" s="1"/>
  <c r="EE546" i="32" s="1"/>
  <c r="EE545" i="32" s="1"/>
  <c r="EE544" i="32" s="1"/>
  <c r="EE543" i="32" s="1"/>
  <c r="EE542" i="32" s="1"/>
  <c r="EE541" i="32" s="1"/>
  <c r="EE540" i="32" s="1"/>
  <c r="EE539" i="32" s="1"/>
  <c r="EE538" i="32" s="1"/>
  <c r="EE537" i="32" s="1"/>
  <c r="EE536" i="32" s="1"/>
  <c r="EE535" i="32" s="1"/>
  <c r="EE534" i="32" s="1"/>
  <c r="EE533" i="32" s="1"/>
  <c r="EE532" i="32" s="1"/>
  <c r="EE531" i="32" s="1"/>
  <c r="EE530" i="32" s="1"/>
  <c r="EE529" i="32" s="1"/>
  <c r="EE528" i="32" s="1"/>
  <c r="EE527" i="32" s="1"/>
  <c r="EE526" i="32" s="1"/>
  <c r="EE525" i="32" s="1"/>
  <c r="EE524" i="32" s="1"/>
  <c r="EG583" i="32"/>
  <c r="EE523" i="32" l="1"/>
  <c r="EE522" i="32" s="1"/>
  <c r="EE521" i="32" s="1"/>
  <c r="EE520" i="32" s="1"/>
  <c r="EE519" i="32" s="1"/>
  <c r="EE518" i="32" s="1"/>
  <c r="EE517" i="32" s="1"/>
  <c r="EE516" i="32" s="1"/>
  <c r="EE515" i="32" s="1"/>
  <c r="EE514" i="32" s="1"/>
  <c r="EE513" i="32" s="1"/>
  <c r="EE512" i="32" s="1"/>
  <c r="EE511" i="32" s="1"/>
  <c r="EE510" i="32" s="1"/>
  <c r="EE509" i="32" s="1"/>
  <c r="EE508" i="32" s="1"/>
  <c r="EE507" i="32" s="1"/>
  <c r="EE506" i="32" s="1"/>
  <c r="EE505" i="32" s="1"/>
  <c r="EE504" i="32" s="1"/>
  <c r="EE503" i="32" s="1"/>
  <c r="EE502" i="32" s="1"/>
  <c r="EE501" i="32" s="1"/>
  <c r="EE500" i="32" s="1"/>
  <c r="EE499" i="32" s="1"/>
  <c r="EE498" i="32" s="1"/>
  <c r="EE497" i="32" s="1"/>
  <c r="EE496" i="32" s="1"/>
  <c r="EE495" i="32" s="1"/>
  <c r="EE494" i="32" s="1"/>
  <c r="EE493" i="32" s="1"/>
  <c r="EE492" i="32" s="1"/>
  <c r="EE491" i="32" s="1"/>
  <c r="EE490" i="32" s="1"/>
  <c r="EE489" i="32" s="1"/>
  <c r="EE488" i="32" s="1"/>
  <c r="EE487" i="32" s="1"/>
  <c r="EE486" i="32" s="1"/>
  <c r="EE485" i="32" s="1"/>
  <c r="EE484" i="32" s="1"/>
  <c r="EE483" i="32" s="1"/>
  <c r="EE482" i="32" s="1"/>
  <c r="EE481" i="32" s="1"/>
  <c r="EE480" i="32" s="1"/>
  <c r="EE479" i="32" s="1"/>
  <c r="EE478" i="32" s="1"/>
  <c r="EE477" i="32" s="1"/>
  <c r="EE476" i="32" s="1"/>
  <c r="EE475" i="32" s="1"/>
  <c r="EE474" i="32" s="1"/>
  <c r="EE473" i="32" s="1"/>
  <c r="EE472" i="32" s="1"/>
  <c r="EE471" i="32" s="1"/>
  <c r="EE470" i="32" s="1"/>
  <c r="EE469" i="32" s="1"/>
  <c r="EE468" i="32" s="1"/>
  <c r="EE467" i="32" s="1"/>
  <c r="EE466" i="32" s="1"/>
  <c r="EE465" i="32" s="1"/>
  <c r="EE464" i="32" s="1"/>
  <c r="EE463" i="32" s="1"/>
  <c r="EE462" i="32" s="1"/>
  <c r="EE461" i="32" s="1"/>
  <c r="EE460" i="32" s="1"/>
  <c r="EE459" i="32" s="1"/>
  <c r="EE458" i="32" s="1"/>
  <c r="EE457" i="32" s="1"/>
  <c r="EE456" i="32" s="1"/>
  <c r="EE455" i="32" s="1"/>
  <c r="EE454" i="32" s="1"/>
  <c r="EE453" i="32" s="1"/>
  <c r="EE452" i="32" s="1"/>
  <c r="EE451" i="32" s="1"/>
  <c r="EE450" i="32" s="1"/>
  <c r="EE449" i="32" s="1"/>
  <c r="EE448" i="32" s="1"/>
  <c r="EE447" i="32" s="1"/>
  <c r="EE446" i="32" s="1"/>
  <c r="EG524" i="32"/>
  <c r="EE445" i="32" l="1"/>
  <c r="EE444" i="32" s="1"/>
  <c r="EE443" i="32" s="1"/>
  <c r="EE442" i="32" s="1"/>
  <c r="EE441" i="32" s="1"/>
  <c r="EE440" i="32" s="1"/>
  <c r="EE439" i="32" s="1"/>
  <c r="EE438" i="32" s="1"/>
  <c r="EE437" i="32" s="1"/>
  <c r="EE436" i="32" s="1"/>
  <c r="EE435" i="32" s="1"/>
  <c r="EE434" i="32" s="1"/>
  <c r="EE433" i="32" s="1"/>
  <c r="EE432" i="32" s="1"/>
  <c r="EE431" i="32" s="1"/>
  <c r="EE430" i="32" s="1"/>
  <c r="EE429" i="32" s="1"/>
  <c r="EE428" i="32" s="1"/>
  <c r="EE427" i="32" s="1"/>
  <c r="EE426" i="32" s="1"/>
  <c r="EE425" i="32" s="1"/>
  <c r="EE424" i="32" s="1"/>
  <c r="EE423" i="32" s="1"/>
  <c r="EE422" i="32" s="1"/>
  <c r="EE421" i="32" s="1"/>
  <c r="EE420" i="32" s="1"/>
  <c r="EE419" i="32" s="1"/>
  <c r="EE418" i="32" s="1"/>
  <c r="EE417" i="32" s="1"/>
  <c r="EE416" i="32" s="1"/>
  <c r="EE415" i="32" s="1"/>
  <c r="EE414" i="32" s="1"/>
  <c r="EE413" i="32" s="1"/>
  <c r="EE412" i="32" s="1"/>
  <c r="EE411" i="32" s="1"/>
  <c r="EE410" i="32" s="1"/>
  <c r="EE409" i="32" s="1"/>
  <c r="EE408" i="32" s="1"/>
  <c r="EE407" i="32" s="1"/>
  <c r="EE406" i="32" s="1"/>
  <c r="EE405" i="32" s="1"/>
  <c r="EE404" i="32" s="1"/>
  <c r="EE403" i="32" s="1"/>
  <c r="EE402" i="32" s="1"/>
  <c r="EE401" i="32" s="1"/>
  <c r="EE400" i="32" s="1"/>
  <c r="EE399" i="32" s="1"/>
  <c r="EE398" i="32" s="1"/>
  <c r="EE397" i="32" s="1"/>
  <c r="EE396" i="32" s="1"/>
  <c r="EE395" i="32" s="1"/>
  <c r="EE394" i="32" s="1"/>
  <c r="EE393" i="32" s="1"/>
  <c r="EE392" i="32" s="1"/>
  <c r="EG450" i="32"/>
  <c r="EE391" i="32" l="1"/>
  <c r="EE390" i="32" s="1"/>
  <c r="EE389" i="32" s="1"/>
  <c r="EE388" i="32" s="1"/>
  <c r="EE387" i="32" s="1"/>
  <c r="EE386" i="32" s="1"/>
  <c r="EE385" i="32" s="1"/>
  <c r="EE384" i="32" s="1"/>
  <c r="EE383" i="32" s="1"/>
  <c r="EE382" i="32" s="1"/>
  <c r="EE381" i="32" s="1"/>
  <c r="EE380" i="32" s="1"/>
  <c r="EE379" i="32" s="1"/>
  <c r="EE378" i="32" s="1"/>
  <c r="EE377" i="32" s="1"/>
  <c r="EE376" i="32" s="1"/>
  <c r="EE375" i="32" s="1"/>
  <c r="EE374" i="32" s="1"/>
  <c r="EE373" i="32" s="1"/>
  <c r="EE372" i="32" s="1"/>
  <c r="EE371" i="32" s="1"/>
  <c r="EE370" i="32" s="1"/>
  <c r="EE369" i="32" s="1"/>
  <c r="EE368" i="32" s="1"/>
  <c r="EE367" i="32" s="1"/>
  <c r="EE366" i="32" s="1"/>
  <c r="EE365" i="32" s="1"/>
  <c r="EE364" i="32" s="1"/>
  <c r="EE363" i="32" s="1"/>
  <c r="EE362" i="32" s="1"/>
  <c r="EE361" i="32" s="1"/>
  <c r="EE360" i="32" s="1"/>
  <c r="EE359" i="32" s="1"/>
  <c r="EE358" i="32" s="1"/>
  <c r="EE357" i="32" s="1"/>
  <c r="EE356" i="32" s="1"/>
  <c r="EE355" i="32" s="1"/>
  <c r="EE354" i="32" s="1"/>
  <c r="EE353" i="32" s="1"/>
  <c r="EE352" i="32" s="1"/>
  <c r="EE351" i="32" s="1"/>
  <c r="EE350" i="32" s="1"/>
  <c r="EE349" i="32" s="1"/>
  <c r="EE348" i="32" s="1"/>
  <c r="EE347" i="32" s="1"/>
  <c r="EE346" i="32" s="1"/>
  <c r="EE345" i="32" s="1"/>
  <c r="EE344" i="32" s="1"/>
  <c r="EE343" i="32" s="1"/>
  <c r="EE342" i="32" s="1"/>
  <c r="EE341" i="32" s="1"/>
  <c r="EE340" i="32" s="1"/>
  <c r="EE339" i="32" s="1"/>
  <c r="EE338" i="32" s="1"/>
  <c r="EE337" i="32" s="1"/>
  <c r="EE336" i="32" s="1"/>
  <c r="EE335" i="32" s="1"/>
  <c r="EE334" i="32" s="1"/>
  <c r="EE333" i="32" s="1"/>
  <c r="EE332" i="32" s="1"/>
  <c r="EE331" i="32" s="1"/>
  <c r="EE330" i="32" s="1"/>
  <c r="EE329" i="32" s="1"/>
  <c r="EE328" i="32" s="1"/>
  <c r="EE327" i="32" s="1"/>
  <c r="EE326" i="32" s="1"/>
  <c r="EE325" i="32" s="1"/>
  <c r="EE324" i="32" s="1"/>
  <c r="EE323" i="32" s="1"/>
  <c r="EE322" i="32" s="1"/>
  <c r="EE321" i="32" s="1"/>
  <c r="EE320" i="32" s="1"/>
  <c r="EE319" i="32" s="1"/>
  <c r="EE318" i="32" s="1"/>
  <c r="EE317" i="32" s="1"/>
  <c r="EE316" i="32" s="1"/>
  <c r="EE315" i="32" s="1"/>
  <c r="EE314" i="32" s="1"/>
  <c r="EE313" i="32" s="1"/>
  <c r="EE312" i="32" s="1"/>
  <c r="EE311" i="32" s="1"/>
  <c r="EE310" i="32" s="1"/>
  <c r="EE309" i="32" s="1"/>
  <c r="EE308" i="32" s="1"/>
  <c r="EE307" i="32" s="1"/>
  <c r="EE306" i="32" s="1"/>
  <c r="EE305" i="32" s="1"/>
  <c r="EE304" i="32" s="1"/>
  <c r="EE303" i="32" s="1"/>
  <c r="EE302" i="32" s="1"/>
  <c r="EE301" i="32" s="1"/>
  <c r="EE300" i="32" s="1"/>
  <c r="EE299" i="32" s="1"/>
  <c r="EE298" i="32" s="1"/>
  <c r="EE297" i="32" s="1"/>
  <c r="EE296" i="32" s="1"/>
  <c r="EE295" i="32" s="1"/>
  <c r="EE294" i="32" s="1"/>
  <c r="EE293" i="32" s="1"/>
  <c r="EE292" i="32" s="1"/>
  <c r="EE291" i="32" s="1"/>
  <c r="EE290" i="32" s="1"/>
  <c r="EE289" i="32" s="1"/>
  <c r="EE288" i="32" s="1"/>
  <c r="EE287" i="32" s="1"/>
  <c r="EE286" i="32" s="1"/>
  <c r="EE285" i="32" s="1"/>
  <c r="EE284" i="32" s="1"/>
  <c r="EE283" i="32" s="1"/>
  <c r="EE282" i="32" s="1"/>
  <c r="EE281" i="32" s="1"/>
  <c r="EE280" i="32" s="1"/>
  <c r="EE279" i="32" s="1"/>
  <c r="EE278" i="32" s="1"/>
  <c r="EE277" i="32" s="1"/>
  <c r="EE276" i="32" s="1"/>
  <c r="EE275" i="32" s="1"/>
  <c r="EE274" i="32" s="1"/>
  <c r="EE273" i="32" s="1"/>
  <c r="EE272" i="32" s="1"/>
  <c r="EE271" i="32" s="1"/>
  <c r="EE270" i="32" s="1"/>
  <c r="EE269" i="32" s="1"/>
  <c r="EE268" i="32" s="1"/>
  <c r="EE267" i="32" s="1"/>
  <c r="EE266" i="32" s="1"/>
  <c r="EE265" i="32" s="1"/>
  <c r="EE264" i="32" s="1"/>
  <c r="EE263" i="32" s="1"/>
  <c r="EE262" i="32" s="1"/>
  <c r="EE261" i="32" s="1"/>
  <c r="EE260" i="32" s="1"/>
  <c r="EE259" i="32" s="1"/>
  <c r="EE258" i="32" s="1"/>
  <c r="EE257" i="32" s="1"/>
  <c r="EE256" i="32" s="1"/>
  <c r="EE255" i="32" s="1"/>
  <c r="EE254" i="32" s="1"/>
  <c r="EE253" i="32" s="1"/>
  <c r="EE252" i="32" s="1"/>
  <c r="EE251" i="32" s="1"/>
  <c r="EE250" i="32" s="1"/>
  <c r="EE249" i="32" s="1"/>
  <c r="EE248" i="32" s="1"/>
  <c r="EE247" i="32" s="1"/>
  <c r="EE246" i="32" s="1"/>
  <c r="EE245" i="32" s="1"/>
  <c r="EE244" i="32" s="1"/>
  <c r="EG392" i="32"/>
  <c r="EE243" i="32" l="1"/>
  <c r="EE242" i="32" s="1"/>
  <c r="EE241" i="32" s="1"/>
  <c r="EE240" i="32" s="1"/>
  <c r="EE239" i="32" s="1"/>
  <c r="EE238" i="32" s="1"/>
  <c r="EE237" i="32" s="1"/>
  <c r="EE236" i="32" s="1"/>
  <c r="EE235" i="32" s="1"/>
  <c r="EE234" i="32" s="1"/>
  <c r="EE233" i="32" s="1"/>
  <c r="EE232" i="32" s="1"/>
  <c r="EE231" i="32" s="1"/>
  <c r="EE230" i="32" s="1"/>
  <c r="EE229" i="32" s="1"/>
  <c r="EE228" i="32" s="1"/>
  <c r="EE227" i="32" s="1"/>
  <c r="EE226" i="32" s="1"/>
  <c r="EE225" i="32" s="1"/>
  <c r="EE224" i="32" s="1"/>
  <c r="EE223" i="32" s="1"/>
  <c r="EE222" i="32" s="1"/>
  <c r="EE221" i="32" s="1"/>
  <c r="EE220" i="32" s="1"/>
  <c r="EE219" i="32" s="1"/>
  <c r="EE218" i="32" s="1"/>
  <c r="EE217" i="32" s="1"/>
  <c r="EE216" i="32" s="1"/>
  <c r="EE215" i="32" s="1"/>
  <c r="EE214" i="32" s="1"/>
  <c r="EE213" i="32" s="1"/>
  <c r="EE212" i="32" s="1"/>
  <c r="EE211" i="32" s="1"/>
  <c r="EE210" i="32" s="1"/>
  <c r="EE209" i="32" s="1"/>
  <c r="EE208" i="32" s="1"/>
  <c r="EE207" i="32" s="1"/>
  <c r="EE206" i="32" s="1"/>
  <c r="EE205" i="32" s="1"/>
  <c r="EE204" i="32" s="1"/>
  <c r="EE203" i="32" s="1"/>
  <c r="EE202" i="32" s="1"/>
  <c r="EE201" i="32" s="1"/>
  <c r="EE200" i="32" s="1"/>
  <c r="EE199" i="32" s="1"/>
  <c r="EE198" i="32" s="1"/>
  <c r="EE197" i="32" s="1"/>
  <c r="EE196" i="32" s="1"/>
  <c r="EE195" i="32" s="1"/>
  <c r="EE194" i="32" s="1"/>
  <c r="EE193" i="32" s="1"/>
  <c r="EE192" i="32" s="1"/>
  <c r="EE191" i="32" s="1"/>
  <c r="EE190" i="32" s="1"/>
  <c r="EE189" i="32" s="1"/>
  <c r="EE188" i="32" s="1"/>
  <c r="EE187" i="32" s="1"/>
  <c r="EE186" i="32" s="1"/>
  <c r="EE185" i="32" s="1"/>
  <c r="EE184" i="32" s="1"/>
  <c r="EE183" i="32" s="1"/>
  <c r="EE182" i="32" s="1"/>
  <c r="EE181" i="32" s="1"/>
  <c r="EE180" i="32" s="1"/>
  <c r="EE179" i="32" s="1"/>
  <c r="EE178" i="32" s="1"/>
  <c r="EG244" i="32"/>
  <c r="EE177" i="32" l="1"/>
  <c r="EE176" i="32" s="1"/>
  <c r="EE175" i="32" s="1"/>
  <c r="EE174" i="32" s="1"/>
  <c r="EE173" i="32" s="1"/>
  <c r="EE172" i="32" s="1"/>
  <c r="EE171" i="32" s="1"/>
  <c r="EE170" i="32" s="1"/>
  <c r="EE169" i="32" s="1"/>
  <c r="EE168" i="32" s="1"/>
  <c r="EE167" i="32" s="1"/>
  <c r="EE166" i="32" s="1"/>
  <c r="EE165" i="32" s="1"/>
  <c r="EE164" i="32" s="1"/>
  <c r="EE163" i="32" s="1"/>
  <c r="EE162" i="32" s="1"/>
  <c r="EE161" i="32" s="1"/>
  <c r="EE160" i="32" s="1"/>
  <c r="EE159" i="32" s="1"/>
  <c r="EE158" i="32" s="1"/>
  <c r="EE157" i="32" s="1"/>
  <c r="EE156" i="32" s="1"/>
  <c r="EE155" i="32" s="1"/>
  <c r="EE154" i="32" s="1"/>
  <c r="EE153" i="32" s="1"/>
  <c r="EE152" i="32" s="1"/>
  <c r="EE151" i="32" s="1"/>
  <c r="EE150" i="32" s="1"/>
  <c r="EE149" i="32" s="1"/>
  <c r="EE148" i="32" s="1"/>
  <c r="EE147" i="32" s="1"/>
  <c r="EE146" i="32" s="1"/>
  <c r="EE145" i="32" s="1"/>
  <c r="EE144" i="32" s="1"/>
  <c r="EE143" i="32" s="1"/>
  <c r="EE142" i="32" s="1"/>
  <c r="EE141" i="32" s="1"/>
  <c r="EE140" i="32" s="1"/>
  <c r="EE139" i="32" s="1"/>
  <c r="EE138" i="32" s="1"/>
  <c r="EG178" i="32"/>
  <c r="EE137" i="32" l="1"/>
  <c r="EE136" i="32" s="1"/>
  <c r="EE135" i="32" s="1"/>
  <c r="EE134" i="32" s="1"/>
  <c r="EE133" i="32" s="1"/>
  <c r="EE132" i="32" s="1"/>
  <c r="EE131" i="32" s="1"/>
  <c r="EE130" i="32" s="1"/>
  <c r="EE129" i="32" s="1"/>
  <c r="EE128" i="32" s="1"/>
  <c r="EE127" i="32" s="1"/>
  <c r="EE126" i="32" s="1"/>
  <c r="EE125" i="32" s="1"/>
  <c r="EE124" i="32" s="1"/>
  <c r="EE123" i="32" s="1"/>
  <c r="EE122" i="32" s="1"/>
  <c r="EE121" i="32" s="1"/>
  <c r="EE120" i="32" s="1"/>
  <c r="EE119" i="32" s="1"/>
  <c r="EE118" i="32" s="1"/>
  <c r="EE117" i="32" s="1"/>
  <c r="EE116" i="32" s="1"/>
  <c r="EE115" i="32" s="1"/>
  <c r="EE114" i="32" s="1"/>
  <c r="EE113" i="32" s="1"/>
  <c r="EE112" i="32" s="1"/>
  <c r="EE111" i="32" s="1"/>
  <c r="EE110" i="32" s="1"/>
  <c r="EE109" i="32" s="1"/>
  <c r="EE108" i="32" s="1"/>
  <c r="EE107" i="32" s="1"/>
  <c r="EE106" i="32" s="1"/>
  <c r="EE105" i="32" s="1"/>
  <c r="EE104" i="32" s="1"/>
  <c r="EE103" i="32" s="1"/>
  <c r="EE102" i="32" s="1"/>
  <c r="EE101" i="32" s="1"/>
  <c r="EE100" i="32" s="1"/>
  <c r="EE99" i="32" s="1"/>
  <c r="EE98" i="32" s="1"/>
  <c r="EE97" i="32" s="1"/>
  <c r="EE96" i="32" s="1"/>
  <c r="EE95" i="32" s="1"/>
  <c r="EE94" i="32" s="1"/>
  <c r="EE93" i="32" s="1"/>
  <c r="EE92" i="32" s="1"/>
  <c r="EE91" i="32" s="1"/>
  <c r="EE90" i="32" s="1"/>
  <c r="EE89" i="32" s="1"/>
  <c r="EE88" i="32" s="1"/>
  <c r="EE87" i="32" s="1"/>
  <c r="EE86" i="32" s="1"/>
  <c r="EE85" i="32" s="1"/>
  <c r="EE84" i="32" s="1"/>
  <c r="EE83" i="32" s="1"/>
  <c r="EE82" i="32" s="1"/>
  <c r="EE81" i="32" s="1"/>
  <c r="EE80" i="32" s="1"/>
  <c r="EE79" i="32" s="1"/>
  <c r="EE78" i="32" s="1"/>
  <c r="EE77" i="32" s="1"/>
  <c r="EE76" i="32" s="1"/>
  <c r="EE75" i="32" s="1"/>
  <c r="EE74" i="32" s="1"/>
  <c r="EE73" i="32" s="1"/>
  <c r="EE72" i="32" s="1"/>
  <c r="EE71" i="32" s="1"/>
  <c r="EE70" i="32" s="1"/>
  <c r="EE69" i="32" s="1"/>
  <c r="EE68" i="32" s="1"/>
  <c r="EE67" i="32" s="1"/>
  <c r="EE66" i="32" s="1"/>
  <c r="EE65" i="32" s="1"/>
  <c r="EE64" i="32" s="1"/>
  <c r="EE63" i="32" s="1"/>
  <c r="EE62" i="32" s="1"/>
  <c r="EE61" i="32" s="1"/>
  <c r="EE60" i="32" s="1"/>
  <c r="EE59" i="32" s="1"/>
  <c r="EE58" i="32" s="1"/>
  <c r="EE57" i="32" s="1"/>
  <c r="EE56" i="32" s="1"/>
  <c r="EE55" i="32" s="1"/>
  <c r="EE54" i="32" s="1"/>
  <c r="EE53" i="32" s="1"/>
  <c r="EE52" i="32" s="1"/>
  <c r="EE51" i="32" s="1"/>
  <c r="EE50" i="32" s="1"/>
  <c r="EE49" i="32" s="1"/>
  <c r="EE48" i="32" s="1"/>
  <c r="EE47" i="32" s="1"/>
  <c r="EE46" i="32" s="1"/>
  <c r="EE45" i="32" s="1"/>
  <c r="EE44" i="32" s="1"/>
  <c r="EE43" i="32" s="1"/>
  <c r="EE42" i="32" s="1"/>
  <c r="EE41" i="32" s="1"/>
  <c r="EE40" i="32" s="1"/>
  <c r="EE39" i="32" s="1"/>
  <c r="EE38" i="32" s="1"/>
  <c r="EE37" i="32" s="1"/>
  <c r="EE36" i="32" s="1"/>
  <c r="EE35" i="32" s="1"/>
  <c r="EE34" i="32" s="1"/>
  <c r="EE33" i="32" s="1"/>
  <c r="EE32" i="32" s="1"/>
  <c r="EE31" i="32" s="1"/>
  <c r="EE30" i="32" s="1"/>
  <c r="EE29" i="32" s="1"/>
  <c r="EG138" i="32"/>
  <c r="F16" i="15" l="1"/>
  <c r="F7" i="19" s="1"/>
  <c r="F21" i="15" l="1"/>
  <c r="F12" i="19" s="1"/>
  <c r="R14" i="15"/>
  <c r="C381" i="15"/>
  <c r="C150" i="19"/>
  <c r="C149" i="19"/>
  <c r="C148" i="19"/>
  <c r="C147" i="19"/>
  <c r="C146" i="19"/>
  <c r="C145" i="19"/>
  <c r="C144" i="19"/>
  <c r="L150" i="19"/>
  <c r="J150" i="19"/>
  <c r="H150" i="19"/>
  <c r="F150" i="19"/>
  <c r="D150" i="19"/>
  <c r="L149" i="19"/>
  <c r="J149" i="19"/>
  <c r="H149" i="19"/>
  <c r="F149" i="19"/>
  <c r="D149" i="19"/>
  <c r="L148" i="19"/>
  <c r="J148" i="19"/>
  <c r="H148" i="19"/>
  <c r="F148" i="19"/>
  <c r="D148" i="19"/>
  <c r="L147" i="19"/>
  <c r="J147" i="19"/>
  <c r="H147" i="19"/>
  <c r="F147" i="19"/>
  <c r="D147" i="19"/>
  <c r="L146" i="19"/>
  <c r="J146" i="19"/>
  <c r="H146" i="19"/>
  <c r="F146" i="19"/>
  <c r="D146" i="19"/>
  <c r="L145" i="19"/>
  <c r="J145" i="19"/>
  <c r="H145" i="19"/>
  <c r="F145" i="19"/>
  <c r="D145" i="19"/>
  <c r="K55" i="19" l="1"/>
  <c r="J144" i="19"/>
  <c r="F144" i="19"/>
  <c r="H144" i="19"/>
  <c r="D144" i="19"/>
  <c r="B144" i="19"/>
  <c r="B396" i="15"/>
  <c r="B397" i="15" s="1"/>
  <c r="B398" i="15" s="1"/>
  <c r="B399" i="15" s="1"/>
  <c r="B400" i="15" s="1"/>
  <c r="B401" i="15" s="1"/>
  <c r="L144" i="19"/>
  <c r="D131" i="19"/>
  <c r="F131" i="19"/>
  <c r="H131" i="19"/>
  <c r="J131" i="19"/>
  <c r="L131" i="19"/>
  <c r="D132" i="19"/>
  <c r="F132" i="19"/>
  <c r="H132" i="19"/>
  <c r="J132" i="19"/>
  <c r="L132" i="19"/>
  <c r="D133" i="19"/>
  <c r="F133" i="19"/>
  <c r="H133" i="19"/>
  <c r="J133" i="19"/>
  <c r="L133" i="19"/>
  <c r="D134" i="19"/>
  <c r="F134" i="19"/>
  <c r="H134" i="19"/>
  <c r="J134" i="19"/>
  <c r="L134" i="19"/>
  <c r="D135" i="19"/>
  <c r="F135" i="19"/>
  <c r="H135" i="19"/>
  <c r="J135" i="19"/>
  <c r="L135" i="19"/>
  <c r="D136" i="19"/>
  <c r="F136" i="19"/>
  <c r="H136" i="19"/>
  <c r="J136" i="19"/>
  <c r="L136" i="19"/>
  <c r="D130" i="19"/>
  <c r="F130" i="19"/>
  <c r="H130" i="19"/>
  <c r="J130" i="19"/>
  <c r="L130" i="19"/>
  <c r="B130" i="19"/>
  <c r="C130" i="19"/>
  <c r="B383" i="15"/>
  <c r="C131" i="19" s="1"/>
  <c r="H84" i="19"/>
  <c r="H89" i="19"/>
  <c r="G89" i="19"/>
  <c r="F89" i="19"/>
  <c r="G84" i="19"/>
  <c r="F84" i="19"/>
  <c r="G72" i="19"/>
  <c r="H72" i="19"/>
  <c r="I72" i="19" s="1"/>
  <c r="J72" i="19" s="1"/>
  <c r="K72" i="19" s="1"/>
  <c r="L72" i="19" s="1"/>
  <c r="M72" i="19" s="1"/>
  <c r="N72" i="19" s="1"/>
  <c r="O72" i="19" s="1"/>
  <c r="P72" i="19" s="1"/>
  <c r="Q72" i="19" s="1"/>
  <c r="R72" i="19" s="1"/>
  <c r="F72" i="19"/>
  <c r="F48" i="19"/>
  <c r="B145" i="19" l="1"/>
  <c r="B146" i="19"/>
  <c r="B147" i="19"/>
  <c r="B131" i="19"/>
  <c r="B384" i="15"/>
  <c r="B132" i="19" s="1"/>
  <c r="E99" i="19"/>
  <c r="B71" i="19"/>
  <c r="B148" i="19" l="1"/>
  <c r="C132" i="19"/>
  <c r="B385" i="15"/>
  <c r="B133" i="19" s="1"/>
  <c r="B150" i="19" l="1"/>
  <c r="B149" i="19"/>
  <c r="B386" i="15"/>
  <c r="B134" i="19" s="1"/>
  <c r="C133" i="19"/>
  <c r="B387" i="15" l="1"/>
  <c r="B135" i="19" s="1"/>
  <c r="C134" i="19"/>
  <c r="C135" i="19" l="1"/>
  <c r="B388" i="15"/>
  <c r="C136" i="19" l="1"/>
  <c r="B136" i="19"/>
  <c r="I222" i="15"/>
  <c r="F35" i="19" l="1"/>
  <c r="O338" i="15" l="1"/>
  <c r="N338" i="15"/>
  <c r="M338" i="15"/>
  <c r="L338" i="15"/>
  <c r="K338" i="15"/>
  <c r="J338" i="15"/>
  <c r="I338" i="15"/>
  <c r="B138" i="15"/>
  <c r="J337" i="15" l="1"/>
  <c r="L337" i="15"/>
  <c r="K337" i="15"/>
  <c r="M337" i="15"/>
  <c r="I337" i="15"/>
  <c r="K182" i="15"/>
  <c r="L182" i="15"/>
  <c r="J182" i="15"/>
  <c r="K181" i="15"/>
  <c r="J181" i="15"/>
  <c r="M181" i="15"/>
  <c r="M182" i="15"/>
  <c r="L181" i="15"/>
  <c r="I189" i="15"/>
  <c r="I184" i="15"/>
  <c r="I183" i="15"/>
  <c r="I182" i="15"/>
  <c r="I181" i="15"/>
  <c r="B125" i="19"/>
  <c r="B92" i="19"/>
  <c r="B139" i="19"/>
  <c r="P338" i="15"/>
  <c r="K189" i="15" l="1"/>
  <c r="Q338" i="15"/>
  <c r="N41" i="15"/>
  <c r="N44" i="15"/>
  <c r="L44" i="15"/>
  <c r="L41" i="15"/>
  <c r="O41" i="15"/>
  <c r="O44" i="15"/>
  <c r="M44" i="15"/>
  <c r="M41" i="15"/>
  <c r="P41" i="15"/>
  <c r="P44" i="15"/>
  <c r="O337" i="15"/>
  <c r="N337" i="15"/>
  <c r="J189" i="15"/>
  <c r="K183" i="15"/>
  <c r="K184" i="15"/>
  <c r="N182" i="15"/>
  <c r="N181" i="15"/>
  <c r="J184" i="15"/>
  <c r="O182" i="15"/>
  <c r="J183" i="15"/>
  <c r="O181" i="15"/>
  <c r="P25" i="34" l="1"/>
  <c r="P23" i="34"/>
  <c r="L189" i="15"/>
  <c r="P181" i="15"/>
  <c r="R338" i="15"/>
  <c r="P337" i="15"/>
  <c r="P182" i="15"/>
  <c r="E23" i="34"/>
  <c r="E25" i="34"/>
  <c r="Q182" i="15" l="1"/>
  <c r="L183" i="15"/>
  <c r="L184" i="15"/>
  <c r="Q337" i="15"/>
  <c r="Q181" i="15"/>
  <c r="M189" i="15" l="1"/>
  <c r="M183" i="15"/>
  <c r="R337" i="15"/>
  <c r="R182" i="15"/>
  <c r="R181" i="15"/>
  <c r="M184" i="15"/>
  <c r="N189" i="15" l="1"/>
  <c r="O189" i="15"/>
  <c r="N184" i="15"/>
  <c r="N183" i="15"/>
  <c r="P189" i="15" l="1"/>
  <c r="O183" i="15"/>
  <c r="P183" i="15"/>
  <c r="O184" i="15"/>
  <c r="P184" i="15"/>
  <c r="Q189" i="15" l="1"/>
  <c r="Q184" i="15"/>
  <c r="Q183" i="15"/>
  <c r="R184" i="15" l="1"/>
  <c r="R183" i="15"/>
  <c r="R189" i="15"/>
  <c r="H299" i="15" l="1"/>
  <c r="D75" i="15" l="1"/>
  <c r="L95" i="15" l="1"/>
  <c r="H258" i="15" s="1"/>
  <c r="F15" i="16" l="1"/>
  <c r="H15" i="16"/>
  <c r="F23" i="16"/>
  <c r="F25" i="16" s="1"/>
  <c r="H23" i="16"/>
  <c r="F32" i="16"/>
  <c r="F39" i="16" s="1"/>
  <c r="H32" i="16"/>
  <c r="H39" i="16" s="1"/>
  <c r="H52" i="16" s="1"/>
  <c r="F50" i="16"/>
  <c r="F121" i="15" s="1"/>
  <c r="F122" i="15" s="1"/>
  <c r="H50" i="16"/>
  <c r="F69" i="15"/>
  <c r="B79" i="15"/>
  <c r="F82" i="15"/>
  <c r="H82" i="15"/>
  <c r="K14" i="15" s="1"/>
  <c r="F83" i="15"/>
  <c r="G317" i="15" s="1"/>
  <c r="H83" i="15"/>
  <c r="L83" i="15" s="1"/>
  <c r="H246" i="15" s="1"/>
  <c r="F84" i="15"/>
  <c r="G319" i="15" s="1"/>
  <c r="H84" i="15"/>
  <c r="L84" i="15" s="1"/>
  <c r="H247" i="15" s="1"/>
  <c r="F85" i="15"/>
  <c r="G321" i="15" s="1"/>
  <c r="G322" i="15" s="1"/>
  <c r="H85" i="15"/>
  <c r="H321" i="15" s="1"/>
  <c r="F86" i="15"/>
  <c r="H86" i="15"/>
  <c r="L86" i="15" s="1"/>
  <c r="H249" i="15" s="1"/>
  <c r="I249" i="15" s="1"/>
  <c r="J249" i="15" s="1"/>
  <c r="K249" i="15" s="1"/>
  <c r="L249" i="15" s="1"/>
  <c r="M249" i="15" s="1"/>
  <c r="N249" i="15" s="1"/>
  <c r="O249" i="15" s="1"/>
  <c r="P249" i="15" s="1"/>
  <c r="Q249" i="15" s="1"/>
  <c r="R249" i="15" s="1"/>
  <c r="F89" i="15"/>
  <c r="H89" i="15"/>
  <c r="L89" i="15" s="1"/>
  <c r="H252" i="15" s="1"/>
  <c r="F91" i="15"/>
  <c r="H91" i="15"/>
  <c r="J91" i="15" s="1"/>
  <c r="L91" i="15" s="1"/>
  <c r="H254" i="15" s="1"/>
  <c r="I254" i="15" s="1"/>
  <c r="J254" i="15" s="1"/>
  <c r="K254" i="15" s="1"/>
  <c r="L254" i="15" s="1"/>
  <c r="M254" i="15" s="1"/>
  <c r="N254" i="15" s="1"/>
  <c r="O254" i="15" s="1"/>
  <c r="P254" i="15" s="1"/>
  <c r="Q254" i="15" s="1"/>
  <c r="R254" i="15" s="1"/>
  <c r="F96" i="15"/>
  <c r="H96" i="15"/>
  <c r="L96" i="15" s="1"/>
  <c r="H259" i="15" s="1"/>
  <c r="F101" i="15"/>
  <c r="G323" i="15" s="1"/>
  <c r="H101" i="15"/>
  <c r="L101" i="15" s="1"/>
  <c r="H264" i="15" s="1"/>
  <c r="F102" i="15"/>
  <c r="G325" i="15" s="1"/>
  <c r="H102" i="15"/>
  <c r="L102" i="15" s="1"/>
  <c r="H265" i="15" s="1"/>
  <c r="F103" i="15"/>
  <c r="H103" i="15"/>
  <c r="L103" i="15" s="1"/>
  <c r="H266" i="15" s="1"/>
  <c r="I266" i="15" s="1"/>
  <c r="J266" i="15" s="1"/>
  <c r="K266" i="15" s="1"/>
  <c r="L266" i="15" s="1"/>
  <c r="M266" i="15" s="1"/>
  <c r="N266" i="15" s="1"/>
  <c r="O266" i="15" s="1"/>
  <c r="P266" i="15" s="1"/>
  <c r="Q266" i="15" s="1"/>
  <c r="R266" i="15" s="1"/>
  <c r="F106" i="15"/>
  <c r="F110" i="15" s="1"/>
  <c r="H106" i="15"/>
  <c r="F24" i="15" s="1"/>
  <c r="F112" i="15"/>
  <c r="H112" i="15"/>
  <c r="L112" i="15" s="1"/>
  <c r="H275" i="15" s="1"/>
  <c r="I275" i="15" s="1"/>
  <c r="J275" i="15" s="1"/>
  <c r="K275" i="15" s="1"/>
  <c r="L275" i="15" s="1"/>
  <c r="M275" i="15" s="1"/>
  <c r="N275" i="15" s="1"/>
  <c r="O275" i="15" s="1"/>
  <c r="P275" i="15" s="1"/>
  <c r="Q275" i="15" s="1"/>
  <c r="R275" i="15" s="1"/>
  <c r="F113" i="15"/>
  <c r="H113" i="15"/>
  <c r="L113" i="15" s="1"/>
  <c r="H276" i="15" s="1"/>
  <c r="F117" i="15"/>
  <c r="H117" i="15"/>
  <c r="L117" i="15" s="1"/>
  <c r="H280" i="15" s="1"/>
  <c r="I280" i="15" s="1"/>
  <c r="J280" i="15" s="1"/>
  <c r="K280" i="15" s="1"/>
  <c r="L280" i="15" s="1"/>
  <c r="M280" i="15" s="1"/>
  <c r="N280" i="15" s="1"/>
  <c r="O280" i="15" s="1"/>
  <c r="P280" i="15" s="1"/>
  <c r="Q280" i="15" s="1"/>
  <c r="R280" i="15" s="1"/>
  <c r="H121" i="15"/>
  <c r="J121" i="15" s="1"/>
  <c r="B136" i="15"/>
  <c r="I141" i="15"/>
  <c r="F146" i="15"/>
  <c r="G146" i="15"/>
  <c r="H146" i="15"/>
  <c r="F153" i="15"/>
  <c r="F155" i="15" s="1"/>
  <c r="G153" i="15"/>
  <c r="G155" i="15" s="1"/>
  <c r="H153" i="15"/>
  <c r="H155" i="15" s="1"/>
  <c r="J177" i="15"/>
  <c r="K177" i="15" s="1"/>
  <c r="L177" i="15" s="1"/>
  <c r="M177" i="15" s="1"/>
  <c r="N177" i="15" s="1"/>
  <c r="O177" i="15" s="1"/>
  <c r="P177" i="15" s="1"/>
  <c r="Q177" i="15" s="1"/>
  <c r="R177" i="15" s="1"/>
  <c r="J178" i="15"/>
  <c r="K178" i="15" s="1"/>
  <c r="L178" i="15" s="1"/>
  <c r="M178" i="15" s="1"/>
  <c r="N178" i="15" s="1"/>
  <c r="O178" i="15" s="1"/>
  <c r="P178" i="15" s="1"/>
  <c r="Q178" i="15" s="1"/>
  <c r="R178" i="15" s="1"/>
  <c r="B192" i="15"/>
  <c r="B194" i="15"/>
  <c r="B196" i="15"/>
  <c r="F197" i="15"/>
  <c r="G197" i="15"/>
  <c r="H197" i="15"/>
  <c r="I197" i="15" s="1"/>
  <c r="J197" i="15" s="1"/>
  <c r="K197" i="15" s="1"/>
  <c r="L197" i="15" s="1"/>
  <c r="M197" i="15" s="1"/>
  <c r="N197" i="15" s="1"/>
  <c r="O197" i="15" s="1"/>
  <c r="P197" i="15" s="1"/>
  <c r="Q197" i="15" s="1"/>
  <c r="R197" i="15" s="1"/>
  <c r="I204" i="15"/>
  <c r="I205" i="15"/>
  <c r="J222" i="15"/>
  <c r="K222" i="15" s="1"/>
  <c r="L222" i="15" s="1"/>
  <c r="M222" i="15" s="1"/>
  <c r="N222" i="15" s="1"/>
  <c r="O222" i="15" s="1"/>
  <c r="P222" i="15" s="1"/>
  <c r="Q222" i="15" s="1"/>
  <c r="R222" i="15" s="1"/>
  <c r="B238" i="15"/>
  <c r="B240" i="15"/>
  <c r="B242" i="15"/>
  <c r="F243" i="15"/>
  <c r="G243" i="15"/>
  <c r="H243" i="15"/>
  <c r="I243" i="15" s="1"/>
  <c r="J243" i="15" s="1"/>
  <c r="K243" i="15" s="1"/>
  <c r="L243" i="15" s="1"/>
  <c r="M243" i="15" s="1"/>
  <c r="N243" i="15" s="1"/>
  <c r="O243" i="15" s="1"/>
  <c r="P243" i="15" s="1"/>
  <c r="Q243" i="15" s="1"/>
  <c r="R243" i="15" s="1"/>
  <c r="B291" i="15"/>
  <c r="B293" i="15"/>
  <c r="B295" i="15"/>
  <c r="F296" i="15"/>
  <c r="G296" i="15"/>
  <c r="H296" i="15"/>
  <c r="I296" i="15" s="1"/>
  <c r="J296" i="15" s="1"/>
  <c r="K296" i="15" s="1"/>
  <c r="L296" i="15" s="1"/>
  <c r="M296" i="15" s="1"/>
  <c r="M315" i="15" s="1"/>
  <c r="H311" i="15"/>
  <c r="I311" i="15" s="1"/>
  <c r="J311" i="15" s="1"/>
  <c r="K311" i="15" s="1"/>
  <c r="H300" i="15"/>
  <c r="I299" i="15" s="1"/>
  <c r="J299" i="15" s="1"/>
  <c r="K299" i="15" s="1"/>
  <c r="H301" i="15"/>
  <c r="I301" i="15" s="1"/>
  <c r="H302" i="15"/>
  <c r="I302" i="15" s="1"/>
  <c r="J318" i="15"/>
  <c r="K318" i="15" s="1"/>
  <c r="L318" i="15" s="1"/>
  <c r="M318" i="15" s="1"/>
  <c r="N318" i="15" s="1"/>
  <c r="J320" i="15"/>
  <c r="K320" i="15" s="1"/>
  <c r="L320" i="15" s="1"/>
  <c r="M320" i="15" s="1"/>
  <c r="N320" i="15" s="1"/>
  <c r="J322" i="15"/>
  <c r="K322" i="15" s="1"/>
  <c r="L322" i="15" s="1"/>
  <c r="M322" i="15" s="1"/>
  <c r="N322" i="15" s="1"/>
  <c r="O322" i="15" s="1"/>
  <c r="P322" i="15" s="1"/>
  <c r="Q322" i="15" s="1"/>
  <c r="J324" i="15"/>
  <c r="J326" i="15"/>
  <c r="K326" i="15" s="1"/>
  <c r="J333" i="15"/>
  <c r="K333" i="15" s="1"/>
  <c r="J334" i="15"/>
  <c r="B341" i="15"/>
  <c r="C355" i="15"/>
  <c r="C368" i="15"/>
  <c r="F52" i="16" l="1"/>
  <c r="F54" i="16" s="1"/>
  <c r="H25" i="16"/>
  <c r="K57" i="19"/>
  <c r="R16" i="15"/>
  <c r="F15" i="19"/>
  <c r="J82" i="15"/>
  <c r="L82" i="15" s="1"/>
  <c r="H245" i="15" s="1"/>
  <c r="E55" i="19"/>
  <c r="K40" i="15"/>
  <c r="H76" i="19"/>
  <c r="F76" i="19"/>
  <c r="G76" i="19"/>
  <c r="H54" i="16"/>
  <c r="I146" i="15"/>
  <c r="H73" i="19"/>
  <c r="G337" i="15"/>
  <c r="G418" i="15" s="1"/>
  <c r="G73" i="19"/>
  <c r="F184" i="15"/>
  <c r="F413" i="15" s="1"/>
  <c r="F73" i="19"/>
  <c r="E94" i="19"/>
  <c r="F94" i="19" s="1"/>
  <c r="G94" i="19" s="1"/>
  <c r="H94" i="19" s="1"/>
  <c r="I94" i="19" s="1"/>
  <c r="J94" i="19" s="1"/>
  <c r="F74" i="15"/>
  <c r="F73" i="15"/>
  <c r="H319" i="15"/>
  <c r="H338" i="15"/>
  <c r="H419" i="15" s="1"/>
  <c r="E130" i="15"/>
  <c r="G315" i="15"/>
  <c r="G320" i="15" s="1"/>
  <c r="F337" i="15"/>
  <c r="F418" i="15" s="1"/>
  <c r="F338" i="15"/>
  <c r="F419" i="15" s="1"/>
  <c r="I259" i="15"/>
  <c r="J204" i="15"/>
  <c r="I315" i="15"/>
  <c r="I276" i="15"/>
  <c r="H315" i="15"/>
  <c r="F183" i="15"/>
  <c r="F412" i="15" s="1"/>
  <c r="H325" i="15"/>
  <c r="H326" i="15" s="1"/>
  <c r="G181" i="15"/>
  <c r="G410" i="15" s="1"/>
  <c r="G183" i="15"/>
  <c r="G412" i="15" s="1"/>
  <c r="H183" i="15"/>
  <c r="H412" i="15" s="1"/>
  <c r="N296" i="15"/>
  <c r="O296" i="15" s="1"/>
  <c r="O315" i="15" s="1"/>
  <c r="G338" i="15"/>
  <c r="G419" i="15" s="1"/>
  <c r="I300" i="15"/>
  <c r="J300" i="15" s="1"/>
  <c r="K300" i="15" s="1"/>
  <c r="L300" i="15" s="1"/>
  <c r="M300" i="15" s="1"/>
  <c r="N300" i="15" s="1"/>
  <c r="O300" i="15" s="1"/>
  <c r="G184" i="15"/>
  <c r="G413" i="15" s="1"/>
  <c r="H181" i="15"/>
  <c r="H410" i="15" s="1"/>
  <c r="G328" i="15"/>
  <c r="H322" i="15"/>
  <c r="F156" i="15"/>
  <c r="F182" i="15" s="1"/>
  <c r="F411" i="15" s="1"/>
  <c r="H323" i="15"/>
  <c r="F87" i="15"/>
  <c r="F98" i="15" s="1"/>
  <c r="R322" i="15"/>
  <c r="O320" i="15"/>
  <c r="P320" i="15" s="1"/>
  <c r="G156" i="15"/>
  <c r="H267" i="15"/>
  <c r="L315" i="15"/>
  <c r="H184" i="15"/>
  <c r="H413" i="15" s="1"/>
  <c r="E129" i="15"/>
  <c r="J315" i="15"/>
  <c r="H156" i="15"/>
  <c r="L121" i="15"/>
  <c r="H284" i="15" s="1"/>
  <c r="I284" i="15" s="1"/>
  <c r="J284" i="15" s="1"/>
  <c r="K284" i="15" s="1"/>
  <c r="L284" i="15" s="1"/>
  <c r="M284" i="15" s="1"/>
  <c r="N284" i="15" s="1"/>
  <c r="O284" i="15" s="1"/>
  <c r="P284" i="15" s="1"/>
  <c r="Q284" i="15" s="1"/>
  <c r="R284" i="15" s="1"/>
  <c r="G326" i="15"/>
  <c r="G329" i="15"/>
  <c r="H337" i="15"/>
  <c r="H418" i="15" s="1"/>
  <c r="H110" i="15"/>
  <c r="H317" i="15"/>
  <c r="J302" i="15"/>
  <c r="O318" i="15"/>
  <c r="L299" i="15"/>
  <c r="L311" i="15"/>
  <c r="K204" i="15"/>
  <c r="L333" i="15"/>
  <c r="J205" i="15"/>
  <c r="K334" i="15"/>
  <c r="L326" i="15"/>
  <c r="K324" i="15"/>
  <c r="J301" i="15"/>
  <c r="K315" i="15"/>
  <c r="F104" i="15"/>
  <c r="F115" i="15" s="1"/>
  <c r="F124" i="15" s="1"/>
  <c r="L104" i="15"/>
  <c r="L85" i="15"/>
  <c r="H248" i="15" s="1"/>
  <c r="H87" i="15"/>
  <c r="H98" i="15" s="1"/>
  <c r="H122" i="15"/>
  <c r="J141" i="15"/>
  <c r="H104" i="15"/>
  <c r="G77" i="19" l="1"/>
  <c r="F90" i="19"/>
  <c r="H77" i="19"/>
  <c r="L40" i="15"/>
  <c r="H78" i="19"/>
  <c r="I207" i="15"/>
  <c r="K50" i="15"/>
  <c r="E104" i="19" s="1"/>
  <c r="K41" i="15"/>
  <c r="K44" i="15"/>
  <c r="I73" i="19"/>
  <c r="I199" i="15"/>
  <c r="J146" i="15"/>
  <c r="I158" i="15"/>
  <c r="I162" i="15"/>
  <c r="I155" i="15"/>
  <c r="I159" i="15"/>
  <c r="F78" i="19"/>
  <c r="G74" i="19"/>
  <c r="G90" i="19"/>
  <c r="H74" i="19"/>
  <c r="H90" i="19"/>
  <c r="I317" i="15"/>
  <c r="I246" i="15" s="1"/>
  <c r="G78" i="19"/>
  <c r="H250" i="15"/>
  <c r="H73" i="15"/>
  <c r="G73" i="15"/>
  <c r="H74" i="15"/>
  <c r="G74" i="15"/>
  <c r="G324" i="15"/>
  <c r="G318" i="15"/>
  <c r="H320" i="15"/>
  <c r="J259" i="15"/>
  <c r="K259" i="15" s="1"/>
  <c r="J276" i="15"/>
  <c r="F160" i="15"/>
  <c r="N315" i="15"/>
  <c r="G330" i="15"/>
  <c r="H329" i="15"/>
  <c r="P296" i="15"/>
  <c r="Q296" i="15" s="1"/>
  <c r="Q315" i="15" s="1"/>
  <c r="L87" i="15"/>
  <c r="H115" i="15"/>
  <c r="H124" i="15" s="1"/>
  <c r="H125" i="15" s="1"/>
  <c r="F125" i="15"/>
  <c r="H324" i="15"/>
  <c r="H318" i="15"/>
  <c r="H328" i="15"/>
  <c r="G160" i="15"/>
  <c r="G182" i="15"/>
  <c r="G411" i="15" s="1"/>
  <c r="H160" i="15"/>
  <c r="H182" i="15"/>
  <c r="H411" i="15" s="1"/>
  <c r="K301" i="15"/>
  <c r="P300" i="15"/>
  <c r="M311" i="15"/>
  <c r="P318" i="15"/>
  <c r="M326" i="15"/>
  <c r="M299" i="15"/>
  <c r="L324" i="15"/>
  <c r="K141" i="15"/>
  <c r="K205" i="15"/>
  <c r="L334" i="15"/>
  <c r="L204" i="15"/>
  <c r="M333" i="15"/>
  <c r="Q320" i="15"/>
  <c r="K302" i="15"/>
  <c r="M40" i="15" l="1"/>
  <c r="K43" i="15"/>
  <c r="F40" i="19" s="1"/>
  <c r="I89" i="19"/>
  <c r="I74" i="19"/>
  <c r="I156" i="15"/>
  <c r="I160" i="15" s="1"/>
  <c r="F80" i="19"/>
  <c r="J73" i="19"/>
  <c r="I321" i="15"/>
  <c r="I248" i="15" s="1"/>
  <c r="I252" i="15"/>
  <c r="J162" i="15"/>
  <c r="J159" i="15"/>
  <c r="K146" i="15"/>
  <c r="J199" i="15"/>
  <c r="J155" i="15"/>
  <c r="J158" i="15"/>
  <c r="J317" i="15"/>
  <c r="J246" i="15" s="1"/>
  <c r="I325" i="15"/>
  <c r="I265" i="15" s="1"/>
  <c r="I319" i="15"/>
  <c r="I247" i="15" s="1"/>
  <c r="I76" i="19"/>
  <c r="I323" i="15"/>
  <c r="I264" i="15" s="1"/>
  <c r="G164" i="15"/>
  <c r="G80" i="19"/>
  <c r="H164" i="15"/>
  <c r="H80" i="19"/>
  <c r="F198" i="15"/>
  <c r="F164" i="15"/>
  <c r="G75" i="15"/>
  <c r="F19" i="15" s="1"/>
  <c r="F10" i="19" s="1"/>
  <c r="H75" i="15"/>
  <c r="F22" i="15" s="1"/>
  <c r="F13" i="19" s="1"/>
  <c r="K276" i="15"/>
  <c r="F186" i="15"/>
  <c r="H330" i="15"/>
  <c r="P315" i="15"/>
  <c r="R296" i="15"/>
  <c r="R315" i="15" s="1"/>
  <c r="L259" i="15"/>
  <c r="H186" i="15"/>
  <c r="K45" i="15" s="1"/>
  <c r="F32" i="15"/>
  <c r="H198" i="15"/>
  <c r="G198" i="15"/>
  <c r="G186" i="15"/>
  <c r="R320" i="15"/>
  <c r="Q318" i="15"/>
  <c r="L301" i="15"/>
  <c r="L205" i="15"/>
  <c r="M334" i="15"/>
  <c r="M324" i="15"/>
  <c r="L302" i="15"/>
  <c r="N299" i="15"/>
  <c r="Q300" i="15"/>
  <c r="L141" i="15"/>
  <c r="N311" i="15"/>
  <c r="M204" i="15"/>
  <c r="N333" i="15"/>
  <c r="N326" i="15"/>
  <c r="E40" i="15" l="1"/>
  <c r="F23" i="19"/>
  <c r="R15" i="15"/>
  <c r="F20" i="15"/>
  <c r="F82" i="19"/>
  <c r="F99" i="19"/>
  <c r="L43" i="15"/>
  <c r="N40" i="15"/>
  <c r="G187" i="15"/>
  <c r="H170" i="15"/>
  <c r="H175" i="15" s="1"/>
  <c r="H179" i="15" s="1"/>
  <c r="H187" i="15"/>
  <c r="I90" i="19"/>
  <c r="J89" i="19"/>
  <c r="J319" i="15"/>
  <c r="J247" i="15" s="1"/>
  <c r="J74" i="19"/>
  <c r="I78" i="19"/>
  <c r="F85" i="19"/>
  <c r="H85" i="19"/>
  <c r="G85" i="19"/>
  <c r="G170" i="15"/>
  <c r="G175" i="15" s="1"/>
  <c r="G179" i="15" s="1"/>
  <c r="I80" i="19"/>
  <c r="K162" i="15"/>
  <c r="K317" i="15"/>
  <c r="K246" i="15" s="1"/>
  <c r="I198" i="15"/>
  <c r="K159" i="15"/>
  <c r="I186" i="15"/>
  <c r="K199" i="15"/>
  <c r="E96" i="19"/>
  <c r="K158" i="15"/>
  <c r="L146" i="15"/>
  <c r="K155" i="15"/>
  <c r="J325" i="15"/>
  <c r="J265" i="15" s="1"/>
  <c r="J156" i="15"/>
  <c r="J160" i="15" s="1"/>
  <c r="K73" i="19"/>
  <c r="J252" i="15"/>
  <c r="J76" i="19"/>
  <c r="J323" i="15"/>
  <c r="J264" i="15" s="1"/>
  <c r="J321" i="15"/>
  <c r="J248" i="15" s="1"/>
  <c r="I267" i="15"/>
  <c r="I329" i="15"/>
  <c r="I328" i="15"/>
  <c r="I77" i="19"/>
  <c r="H81" i="19"/>
  <c r="H82" i="19"/>
  <c r="G82" i="19"/>
  <c r="G81" i="19"/>
  <c r="E95" i="19"/>
  <c r="I48" i="19"/>
  <c r="F170" i="15"/>
  <c r="F187" i="15"/>
  <c r="L276" i="15"/>
  <c r="M259" i="15"/>
  <c r="R300" i="15"/>
  <c r="M302" i="15"/>
  <c r="R318" i="15"/>
  <c r="M301" i="15"/>
  <c r="N204" i="15"/>
  <c r="O333" i="15"/>
  <c r="N324" i="15"/>
  <c r="O326" i="15"/>
  <c r="O311" i="15"/>
  <c r="M205" i="15"/>
  <c r="N334" i="15"/>
  <c r="M141" i="15"/>
  <c r="O299" i="15"/>
  <c r="K56" i="19" l="1"/>
  <c r="F23" i="15"/>
  <c r="E68" i="15" s="1"/>
  <c r="E66" i="19" s="1"/>
  <c r="F11" i="19"/>
  <c r="H189" i="15"/>
  <c r="F87" i="19"/>
  <c r="H87" i="19"/>
  <c r="J90" i="19"/>
  <c r="O40" i="15"/>
  <c r="M43" i="15"/>
  <c r="L45" i="15"/>
  <c r="G86" i="19"/>
  <c r="F95" i="19"/>
  <c r="G99" i="19"/>
  <c r="K89" i="19"/>
  <c r="J77" i="19"/>
  <c r="K74" i="19"/>
  <c r="I82" i="19"/>
  <c r="I200" i="15"/>
  <c r="G189" i="15"/>
  <c r="H86" i="19"/>
  <c r="G87" i="19"/>
  <c r="I81" i="19"/>
  <c r="L159" i="15"/>
  <c r="J80" i="19"/>
  <c r="L158" i="15"/>
  <c r="K252" i="15"/>
  <c r="K321" i="15"/>
  <c r="K248" i="15" s="1"/>
  <c r="K325" i="15"/>
  <c r="K265" i="15" s="1"/>
  <c r="K156" i="15"/>
  <c r="K160" i="15" s="1"/>
  <c r="K319" i="15"/>
  <c r="K247" i="15" s="1"/>
  <c r="L73" i="19"/>
  <c r="K76" i="19"/>
  <c r="L199" i="15"/>
  <c r="L162" i="15"/>
  <c r="L317" i="15"/>
  <c r="L246" i="15" s="1"/>
  <c r="L155" i="15"/>
  <c r="M146" i="15"/>
  <c r="K323" i="15"/>
  <c r="K264" i="15" s="1"/>
  <c r="J78" i="19"/>
  <c r="I330" i="15"/>
  <c r="I332" i="15" s="1"/>
  <c r="I202" i="15" s="1"/>
  <c r="J329" i="15"/>
  <c r="J267" i="15"/>
  <c r="J186" i="15"/>
  <c r="F96" i="19"/>
  <c r="J198" i="15"/>
  <c r="J328" i="15"/>
  <c r="F175" i="15"/>
  <c r="F179" i="15" s="1"/>
  <c r="F189" i="15"/>
  <c r="F415" i="15" s="1"/>
  <c r="M276" i="15"/>
  <c r="N259" i="15"/>
  <c r="N205" i="15"/>
  <c r="O334" i="15"/>
  <c r="O204" i="15"/>
  <c r="P333" i="15"/>
  <c r="P311" i="15"/>
  <c r="O324" i="15"/>
  <c r="N141" i="15"/>
  <c r="P326" i="15"/>
  <c r="N301" i="15"/>
  <c r="N302" i="15"/>
  <c r="P299" i="15"/>
  <c r="E67" i="15" l="1"/>
  <c r="E65" i="19" s="1"/>
  <c r="E66" i="15"/>
  <c r="E64" i="19" s="1"/>
  <c r="E128" i="15"/>
  <c r="E131" i="15" s="1"/>
  <c r="F33" i="19"/>
  <c r="F14" i="19"/>
  <c r="H99" i="19"/>
  <c r="P40" i="15"/>
  <c r="Q40" i="15" s="1"/>
  <c r="N43" i="15"/>
  <c r="M45" i="15"/>
  <c r="G95" i="19"/>
  <c r="K90" i="19"/>
  <c r="L89" i="19"/>
  <c r="L323" i="15"/>
  <c r="L264" i="15" s="1"/>
  <c r="J82" i="19"/>
  <c r="K77" i="19"/>
  <c r="L74" i="19"/>
  <c r="J200" i="15"/>
  <c r="L321" i="15"/>
  <c r="L248" i="15" s="1"/>
  <c r="J81" i="19"/>
  <c r="M73" i="19"/>
  <c r="K267" i="15"/>
  <c r="K186" i="15"/>
  <c r="K198" i="15"/>
  <c r="L252" i="15"/>
  <c r="G96" i="19"/>
  <c r="K328" i="15"/>
  <c r="K80" i="19"/>
  <c r="K78" i="19"/>
  <c r="M317" i="15"/>
  <c r="M246" i="15" s="1"/>
  <c r="M155" i="15"/>
  <c r="L325" i="15"/>
  <c r="L265" i="15" s="1"/>
  <c r="L76" i="19"/>
  <c r="M158" i="15"/>
  <c r="N146" i="15"/>
  <c r="L156" i="15"/>
  <c r="L160" i="15" s="1"/>
  <c r="K329" i="15"/>
  <c r="L319" i="15"/>
  <c r="L247" i="15" s="1"/>
  <c r="M159" i="15"/>
  <c r="M199" i="15"/>
  <c r="M162" i="15"/>
  <c r="J330" i="15"/>
  <c r="J332" i="15" s="1"/>
  <c r="J202" i="15" s="1"/>
  <c r="N276" i="15"/>
  <c r="O259" i="15"/>
  <c r="P324" i="15"/>
  <c r="P204" i="15"/>
  <c r="Q333" i="15"/>
  <c r="O205" i="15"/>
  <c r="P334" i="15"/>
  <c r="Q311" i="15"/>
  <c r="Q299" i="15"/>
  <c r="O301" i="15"/>
  <c r="Q326" i="15"/>
  <c r="O302" i="15"/>
  <c r="D355" i="15"/>
  <c r="D368" i="15"/>
  <c r="O141" i="15"/>
  <c r="I99" i="19" l="1"/>
  <c r="O43" i="15"/>
  <c r="N45" i="15"/>
  <c r="H95" i="19"/>
  <c r="L90" i="19"/>
  <c r="M89" i="19"/>
  <c r="L267" i="15"/>
  <c r="M156" i="15"/>
  <c r="M160" i="15" s="1"/>
  <c r="O146" i="15"/>
  <c r="K82" i="19"/>
  <c r="L78" i="19"/>
  <c r="M74" i="19"/>
  <c r="K200" i="15"/>
  <c r="J128" i="15"/>
  <c r="J130" i="15" s="1"/>
  <c r="L80" i="19"/>
  <c r="E97" i="19"/>
  <c r="M252" i="15"/>
  <c r="E69" i="15"/>
  <c r="R18" i="15" s="1"/>
  <c r="K59" i="19" s="1"/>
  <c r="K330" i="15"/>
  <c r="K332" i="15" s="1"/>
  <c r="K202" i="15" s="1"/>
  <c r="K81" i="19"/>
  <c r="M319" i="15"/>
  <c r="M247" i="15" s="1"/>
  <c r="M323" i="15"/>
  <c r="M264" i="15" s="1"/>
  <c r="L329" i="15"/>
  <c r="N73" i="19"/>
  <c r="N159" i="15"/>
  <c r="L77" i="19"/>
  <c r="N199" i="15"/>
  <c r="N317" i="15"/>
  <c r="N246" i="15" s="1"/>
  <c r="N158" i="15"/>
  <c r="N155" i="15"/>
  <c r="L328" i="15"/>
  <c r="L198" i="15"/>
  <c r="N162" i="15"/>
  <c r="M76" i="19"/>
  <c r="M321" i="15"/>
  <c r="M248" i="15" s="1"/>
  <c r="M325" i="15"/>
  <c r="M265" i="15" s="1"/>
  <c r="H96" i="19"/>
  <c r="L186" i="15"/>
  <c r="O276" i="15"/>
  <c r="P259" i="15"/>
  <c r="P302" i="15"/>
  <c r="R326" i="15"/>
  <c r="Q204" i="15"/>
  <c r="R333" i="15"/>
  <c r="P141" i="15"/>
  <c r="R311" i="15"/>
  <c r="Q324" i="15"/>
  <c r="P205" i="15"/>
  <c r="Q334" i="15"/>
  <c r="P301" i="15"/>
  <c r="R299" i="15"/>
  <c r="J93" i="15" l="1"/>
  <c r="L93" i="15" s="1"/>
  <c r="H256" i="15" s="1"/>
  <c r="E132" i="15"/>
  <c r="P276" i="15"/>
  <c r="M90" i="19"/>
  <c r="P43" i="15"/>
  <c r="O45" i="15"/>
  <c r="I95" i="19"/>
  <c r="J99" i="19"/>
  <c r="N89" i="19"/>
  <c r="O317" i="15"/>
  <c r="O246" i="15" s="1"/>
  <c r="O162" i="15"/>
  <c r="O199" i="15"/>
  <c r="O159" i="15"/>
  <c r="O155" i="15"/>
  <c r="O158" i="15"/>
  <c r="P146" i="15"/>
  <c r="N323" i="15"/>
  <c r="N264" i="15" s="1"/>
  <c r="O73" i="19"/>
  <c r="L81" i="19"/>
  <c r="M78" i="19"/>
  <c r="N74" i="19"/>
  <c r="J132" i="15"/>
  <c r="L163" i="15" s="1"/>
  <c r="L200" i="15"/>
  <c r="L82" i="19"/>
  <c r="F97" i="19"/>
  <c r="L330" i="15"/>
  <c r="L332" i="15" s="1"/>
  <c r="L202" i="15" s="1"/>
  <c r="M267" i="15"/>
  <c r="N321" i="15"/>
  <c r="N248" i="15" s="1"/>
  <c r="N252" i="15"/>
  <c r="N325" i="15"/>
  <c r="N265" i="15" s="1"/>
  <c r="N156" i="15"/>
  <c r="N160" i="15" s="1"/>
  <c r="N319" i="15"/>
  <c r="N247" i="15" s="1"/>
  <c r="N76" i="19"/>
  <c r="M198" i="15"/>
  <c r="M328" i="15"/>
  <c r="M329" i="15"/>
  <c r="M77" i="19"/>
  <c r="I96" i="19"/>
  <c r="M80" i="19"/>
  <c r="M186" i="15"/>
  <c r="Q259" i="15"/>
  <c r="R204" i="15"/>
  <c r="Q205" i="15"/>
  <c r="Q276" i="15" s="1"/>
  <c r="R334" i="15"/>
  <c r="Q141" i="15"/>
  <c r="Q302" i="15"/>
  <c r="R324" i="15"/>
  <c r="Q301" i="15"/>
  <c r="E133" i="15" l="1"/>
  <c r="J92" i="15" s="1"/>
  <c r="L92" i="15" s="1"/>
  <c r="H255" i="15" s="1"/>
  <c r="I255" i="15" s="1"/>
  <c r="J255" i="15" s="1"/>
  <c r="K255" i="15" s="1"/>
  <c r="L255" i="15" s="1"/>
  <c r="M255" i="15" s="1"/>
  <c r="N255" i="15" s="1"/>
  <c r="O255" i="15" s="1"/>
  <c r="P255" i="15" s="1"/>
  <c r="Q255" i="15" s="1"/>
  <c r="R255" i="15" s="1"/>
  <c r="N90" i="19"/>
  <c r="O74" i="19"/>
  <c r="Q43" i="15"/>
  <c r="P45" i="15"/>
  <c r="M163" i="15"/>
  <c r="J95" i="19"/>
  <c r="O89" i="19"/>
  <c r="O156" i="15"/>
  <c r="O160" i="15" s="1"/>
  <c r="J163" i="15"/>
  <c r="N267" i="15"/>
  <c r="P159" i="15"/>
  <c r="P317" i="15"/>
  <c r="P246" i="15" s="1"/>
  <c r="P199" i="15"/>
  <c r="P158" i="15"/>
  <c r="P73" i="19"/>
  <c r="P162" i="15"/>
  <c r="Q146" i="15"/>
  <c r="P155" i="15"/>
  <c r="Q163" i="15"/>
  <c r="N163" i="15"/>
  <c r="P163" i="15"/>
  <c r="I163" i="15"/>
  <c r="K163" i="15"/>
  <c r="O163" i="15"/>
  <c r="O323" i="15"/>
  <c r="O264" i="15" s="1"/>
  <c r="O321" i="15"/>
  <c r="O248" i="15" s="1"/>
  <c r="O76" i="19"/>
  <c r="N80" i="19"/>
  <c r="O325" i="15"/>
  <c r="O265" i="15" s="1"/>
  <c r="O319" i="15"/>
  <c r="O247" i="15" s="1"/>
  <c r="O252" i="15"/>
  <c r="M82" i="19"/>
  <c r="N78" i="19"/>
  <c r="M200" i="15"/>
  <c r="G97" i="19"/>
  <c r="N329" i="15"/>
  <c r="N186" i="15"/>
  <c r="N198" i="15"/>
  <c r="M330" i="15"/>
  <c r="M332" i="15" s="1"/>
  <c r="M202" i="15" s="1"/>
  <c r="J96" i="19"/>
  <c r="N328" i="15"/>
  <c r="N77" i="19"/>
  <c r="M81" i="19"/>
  <c r="L164" i="15"/>
  <c r="L84" i="19"/>
  <c r="R259" i="15"/>
  <c r="R205" i="15"/>
  <c r="R276" i="15" s="1"/>
  <c r="R302" i="15"/>
  <c r="R301" i="15"/>
  <c r="R141" i="15"/>
  <c r="R163" i="15" s="1"/>
  <c r="O84" i="19" l="1"/>
  <c r="O90" i="19"/>
  <c r="N82" i="19"/>
  <c r="O77" i="19"/>
  <c r="P74" i="19"/>
  <c r="M84" i="19"/>
  <c r="M164" i="15"/>
  <c r="J84" i="19"/>
  <c r="K95" i="19"/>
  <c r="J164" i="15"/>
  <c r="H97" i="19"/>
  <c r="P89" i="19"/>
  <c r="N164" i="15"/>
  <c r="K164" i="15"/>
  <c r="I84" i="19"/>
  <c r="N84" i="19"/>
  <c r="P319" i="15"/>
  <c r="P247" i="15" s="1"/>
  <c r="P252" i="15"/>
  <c r="P321" i="15"/>
  <c r="P248" i="15" s="1"/>
  <c r="R146" i="15"/>
  <c r="P84" i="19"/>
  <c r="Q317" i="15"/>
  <c r="Q246" i="15" s="1"/>
  <c r="P156" i="15"/>
  <c r="P160" i="15" s="1"/>
  <c r="Q155" i="15"/>
  <c r="Q158" i="15"/>
  <c r="Q159" i="15"/>
  <c r="P76" i="19"/>
  <c r="P325" i="15"/>
  <c r="P265" i="15" s="1"/>
  <c r="P323" i="15"/>
  <c r="P264" i="15" s="1"/>
  <c r="Q199" i="15"/>
  <c r="Q162" i="15"/>
  <c r="Q73" i="19"/>
  <c r="I256" i="15"/>
  <c r="J256" i="15" s="1"/>
  <c r="K256" i="15" s="1"/>
  <c r="L256" i="15" s="1"/>
  <c r="M256" i="15" s="1"/>
  <c r="N256" i="15" s="1"/>
  <c r="O256" i="15" s="1"/>
  <c r="P256" i="15" s="1"/>
  <c r="Q256" i="15" s="1"/>
  <c r="R256" i="15" s="1"/>
  <c r="N81" i="19"/>
  <c r="I164" i="15"/>
  <c r="K84" i="19"/>
  <c r="O164" i="15"/>
  <c r="O267" i="15"/>
  <c r="O186" i="15"/>
  <c r="O198" i="15"/>
  <c r="O200" i="15" s="1"/>
  <c r="O80" i="19"/>
  <c r="O78" i="19"/>
  <c r="O329" i="15"/>
  <c r="O328" i="15"/>
  <c r="L187" i="15"/>
  <c r="N200" i="15"/>
  <c r="N330" i="15"/>
  <c r="N332" i="15" s="1"/>
  <c r="N202" i="15" s="1"/>
  <c r="L85" i="19"/>
  <c r="P90" i="19" l="1"/>
  <c r="L87" i="19"/>
  <c r="O82" i="19"/>
  <c r="P77" i="19"/>
  <c r="Q74" i="19"/>
  <c r="M85" i="19"/>
  <c r="M187" i="15"/>
  <c r="J187" i="15"/>
  <c r="J85" i="19"/>
  <c r="K187" i="15"/>
  <c r="I97" i="19"/>
  <c r="K85" i="19"/>
  <c r="R199" i="15"/>
  <c r="N85" i="19"/>
  <c r="N187" i="15"/>
  <c r="Q89" i="19"/>
  <c r="P78" i="19"/>
  <c r="O187" i="15"/>
  <c r="I187" i="15"/>
  <c r="Q84" i="19"/>
  <c r="P186" i="15"/>
  <c r="P328" i="15"/>
  <c r="Q156" i="15"/>
  <c r="Q160" i="15" s="1"/>
  <c r="R317" i="15"/>
  <c r="R246" i="15" s="1"/>
  <c r="R158" i="15"/>
  <c r="R155" i="15"/>
  <c r="R159" i="15"/>
  <c r="R73" i="19"/>
  <c r="R162" i="15"/>
  <c r="P80" i="19"/>
  <c r="P164" i="15"/>
  <c r="P198" i="15"/>
  <c r="P200" i="15" s="1"/>
  <c r="Q319" i="15"/>
  <c r="Q247" i="15" s="1"/>
  <c r="Q323" i="15"/>
  <c r="Q264" i="15" s="1"/>
  <c r="Q321" i="15"/>
  <c r="Q248" i="15" s="1"/>
  <c r="Q325" i="15"/>
  <c r="Q265" i="15" s="1"/>
  <c r="P267" i="15"/>
  <c r="Q76" i="19"/>
  <c r="P329" i="15"/>
  <c r="I85" i="19"/>
  <c r="Q252" i="15"/>
  <c r="O85" i="19"/>
  <c r="O81" i="19"/>
  <c r="O330" i="15"/>
  <c r="O332" i="15" s="1"/>
  <c r="O202" i="15" s="1"/>
  <c r="M86" i="19" l="1"/>
  <c r="Q90" i="19"/>
  <c r="N87" i="19"/>
  <c r="L86" i="19"/>
  <c r="M87" i="19"/>
  <c r="J87" i="19"/>
  <c r="P82" i="19"/>
  <c r="Q78" i="19"/>
  <c r="J86" i="19"/>
  <c r="K87" i="19"/>
  <c r="K86" i="19"/>
  <c r="R89" i="19"/>
  <c r="J97" i="19"/>
  <c r="N86" i="19"/>
  <c r="O86" i="19"/>
  <c r="P187" i="15"/>
  <c r="R84" i="19"/>
  <c r="P85" i="19"/>
  <c r="P330" i="15"/>
  <c r="P332" i="15" s="1"/>
  <c r="P202" i="15" s="1"/>
  <c r="Q164" i="15"/>
  <c r="R321" i="15"/>
  <c r="R248" i="15" s="1"/>
  <c r="R323" i="15"/>
  <c r="R264" i="15" s="1"/>
  <c r="Q267" i="15"/>
  <c r="R156" i="15"/>
  <c r="R160" i="15" s="1"/>
  <c r="R319" i="15"/>
  <c r="R247" i="15" s="1"/>
  <c r="R325" i="15"/>
  <c r="R265" i="15" s="1"/>
  <c r="R74" i="19"/>
  <c r="R76" i="19"/>
  <c r="R252" i="15"/>
  <c r="P81" i="19"/>
  <c r="Q329" i="15"/>
  <c r="Q328" i="15"/>
  <c r="Q77" i="19"/>
  <c r="Q198" i="15"/>
  <c r="Q200" i="15" s="1"/>
  <c r="I87" i="19"/>
  <c r="Q80" i="19"/>
  <c r="Q186" i="15"/>
  <c r="I86" i="19"/>
  <c r="O87" i="19"/>
  <c r="R90" i="19" l="1"/>
  <c r="P87" i="19"/>
  <c r="Q81" i="19"/>
  <c r="R78" i="19"/>
  <c r="Q187" i="15"/>
  <c r="Q85" i="19"/>
  <c r="P86" i="19"/>
  <c r="R164" i="15"/>
  <c r="R267" i="15"/>
  <c r="R77" i="19"/>
  <c r="R328" i="15"/>
  <c r="R329" i="15"/>
  <c r="R186" i="15"/>
  <c r="R198" i="15"/>
  <c r="E345" i="15" s="1"/>
  <c r="R80" i="19"/>
  <c r="Q330" i="15"/>
  <c r="Q332" i="15" s="1"/>
  <c r="Q202" i="15" s="1"/>
  <c r="Q82" i="19"/>
  <c r="Q87" i="19" l="1"/>
  <c r="R82" i="19"/>
  <c r="Q86" i="19"/>
  <c r="R187" i="15"/>
  <c r="R85" i="19"/>
  <c r="R330" i="15"/>
  <c r="R332" i="15" s="1"/>
  <c r="R202" i="15" s="1"/>
  <c r="R81" i="19"/>
  <c r="R200" i="15"/>
  <c r="R86" i="19" l="1"/>
  <c r="R87" i="19"/>
  <c r="K22" i="15" l="1"/>
  <c r="E45" i="15" s="1"/>
  <c r="F45" i="15" s="1"/>
  <c r="F43" i="19" l="1"/>
  <c r="R22" i="15"/>
  <c r="I43" i="19" l="1"/>
  <c r="J106" i="15"/>
  <c r="L106" i="15" s="1"/>
  <c r="F27" i="15" l="1"/>
  <c r="F18" i="19" s="1"/>
  <c r="F34" i="19"/>
  <c r="H269" i="15"/>
  <c r="F34" i="15" l="1"/>
  <c r="F36" i="19"/>
  <c r="F25" i="19" l="1"/>
  <c r="I36" i="19"/>
  <c r="E101" i="19" l="1"/>
  <c r="O38" i="34" l="1"/>
  <c r="G344" i="15"/>
  <c r="F345" i="15"/>
  <c r="G345" i="15" s="1"/>
  <c r="B356" i="15"/>
  <c r="I62" i="15" s="1"/>
  <c r="B117" i="19" s="1"/>
  <c r="B369" i="15"/>
  <c r="F346" i="15" l="1"/>
  <c r="G346" i="15" s="1"/>
  <c r="B370" i="15"/>
  <c r="B357" i="15"/>
  <c r="I63" i="15" s="1"/>
  <c r="B118" i="19" s="1"/>
  <c r="B358" i="15" l="1"/>
  <c r="I64" i="15" s="1"/>
  <c r="B119" i="19" s="1"/>
  <c r="B371" i="15"/>
  <c r="F347" i="15"/>
  <c r="F348" i="15" s="1"/>
  <c r="G347" i="15" l="1"/>
  <c r="B359" i="15"/>
  <c r="I65" i="15" s="1"/>
  <c r="B372" i="15"/>
  <c r="B360" i="15"/>
  <c r="I66" i="15" s="1"/>
  <c r="B121" i="19" s="1"/>
  <c r="G348" i="15"/>
  <c r="B373" i="15"/>
  <c r="F349" i="15"/>
  <c r="D394" i="15" l="1"/>
  <c r="D381" i="15"/>
  <c r="B120" i="19"/>
  <c r="F350" i="15"/>
  <c r="B361" i="15"/>
  <c r="I67" i="15" s="1"/>
  <c r="B122" i="19" s="1"/>
  <c r="B374" i="15"/>
  <c r="G349" i="15"/>
  <c r="G350" i="15" l="1"/>
  <c r="B375" i="15"/>
  <c r="B362" i="15"/>
  <c r="I68" i="15" s="1"/>
  <c r="B123" i="19" s="1"/>
  <c r="L14" i="15" l="1"/>
  <c r="K15" i="15"/>
  <c r="L15" i="15"/>
  <c r="K16" i="15"/>
  <c r="K17" i="15"/>
  <c r="R17" i="15"/>
  <c r="T17" i="15"/>
  <c r="K18" i="15"/>
  <c r="K20" i="15"/>
  <c r="L20" i="15"/>
  <c r="R20" i="15"/>
  <c r="L22" i="15"/>
  <c r="K24" i="15"/>
  <c r="L24" i="15"/>
  <c r="R24" i="15"/>
  <c r="F29" i="15"/>
  <c r="F30" i="15"/>
  <c r="F36" i="15"/>
  <c r="E42" i="15"/>
  <c r="F42" i="15"/>
  <c r="G42" i="15"/>
  <c r="E43" i="15"/>
  <c r="F43" i="15"/>
  <c r="G43" i="15"/>
  <c r="E44" i="15"/>
  <c r="F44" i="15"/>
  <c r="G44" i="15"/>
  <c r="G45" i="15"/>
  <c r="E46" i="15"/>
  <c r="F46" i="15"/>
  <c r="G46" i="15"/>
  <c r="L47" i="15"/>
  <c r="M47" i="15"/>
  <c r="N47" i="15"/>
  <c r="O47" i="15"/>
  <c r="P47" i="15"/>
  <c r="K49" i="15"/>
  <c r="L49" i="15"/>
  <c r="M49" i="15"/>
  <c r="N49" i="15"/>
  <c r="O49" i="15"/>
  <c r="P49" i="15"/>
  <c r="Q49" i="15"/>
  <c r="L50" i="15"/>
  <c r="M50" i="15"/>
  <c r="N50" i="15"/>
  <c r="O50" i="15"/>
  <c r="P50" i="15"/>
  <c r="K51" i="15"/>
  <c r="L51" i="15"/>
  <c r="M51" i="15"/>
  <c r="N51" i="15"/>
  <c r="O51" i="15"/>
  <c r="P51" i="15"/>
  <c r="K53" i="15"/>
  <c r="L53" i="15"/>
  <c r="M53" i="15"/>
  <c r="N53" i="15"/>
  <c r="O53" i="15"/>
  <c r="P53" i="15"/>
  <c r="D54" i="15"/>
  <c r="F54" i="15"/>
  <c r="G54" i="15"/>
  <c r="K54" i="15"/>
  <c r="L54" i="15"/>
  <c r="M54" i="15"/>
  <c r="N54" i="15"/>
  <c r="O54" i="15"/>
  <c r="P54" i="15"/>
  <c r="F55" i="15"/>
  <c r="L55" i="15"/>
  <c r="M55" i="15"/>
  <c r="N55" i="15"/>
  <c r="O55" i="15"/>
  <c r="P55" i="15"/>
  <c r="D56" i="15"/>
  <c r="F56" i="15"/>
  <c r="G56" i="15"/>
  <c r="L56" i="15"/>
  <c r="M56" i="15"/>
  <c r="N56" i="15"/>
  <c r="O56" i="15"/>
  <c r="P56" i="15"/>
  <c r="E60" i="15"/>
  <c r="E61" i="15"/>
  <c r="E62" i="15"/>
  <c r="K62" i="15"/>
  <c r="M62" i="15"/>
  <c r="O62" i="15"/>
  <c r="Q62" i="15"/>
  <c r="E63" i="15"/>
  <c r="K63" i="15"/>
  <c r="M63" i="15"/>
  <c r="O63" i="15"/>
  <c r="Q63" i="15"/>
  <c r="K64" i="15"/>
  <c r="M64" i="15"/>
  <c r="O64" i="15"/>
  <c r="Q64" i="15"/>
  <c r="K65" i="15"/>
  <c r="M65" i="15"/>
  <c r="O65" i="15"/>
  <c r="Q65" i="15"/>
  <c r="K66" i="15"/>
  <c r="M66" i="15"/>
  <c r="O66" i="15"/>
  <c r="Q66" i="15"/>
  <c r="K67" i="15"/>
  <c r="M67" i="15"/>
  <c r="O67" i="15"/>
  <c r="Q67" i="15"/>
  <c r="K68" i="15"/>
  <c r="M68" i="15"/>
  <c r="O68" i="15"/>
  <c r="Q68" i="15"/>
  <c r="J94" i="15"/>
  <c r="L94" i="15"/>
  <c r="L98" i="15"/>
  <c r="J107" i="15"/>
  <c r="L107" i="15"/>
  <c r="J108" i="15"/>
  <c r="L108" i="15"/>
  <c r="J109" i="15"/>
  <c r="L109" i="15"/>
  <c r="L110" i="15"/>
  <c r="L115" i="15"/>
  <c r="J120" i="15"/>
  <c r="L120" i="15"/>
  <c r="L122" i="15"/>
  <c r="L124" i="15"/>
  <c r="L125" i="15"/>
  <c r="I167" i="15"/>
  <c r="J167" i="15"/>
  <c r="K167" i="15"/>
  <c r="L167" i="15"/>
  <c r="M167" i="15"/>
  <c r="N167" i="15"/>
  <c r="O167" i="15"/>
  <c r="P167" i="15"/>
  <c r="Q167" i="15"/>
  <c r="R167" i="15"/>
  <c r="T167" i="15"/>
  <c r="I168" i="15"/>
  <c r="J168" i="15"/>
  <c r="K168" i="15"/>
  <c r="L168" i="15"/>
  <c r="M168" i="15"/>
  <c r="N168" i="15"/>
  <c r="O168" i="15"/>
  <c r="P168" i="15"/>
  <c r="Q168" i="15"/>
  <c r="R168" i="15"/>
  <c r="T168" i="15"/>
  <c r="I169" i="15"/>
  <c r="J169" i="15"/>
  <c r="K169" i="15"/>
  <c r="L169" i="15"/>
  <c r="M169" i="15"/>
  <c r="N169" i="15"/>
  <c r="O169" i="15"/>
  <c r="P169" i="15"/>
  <c r="Q169" i="15"/>
  <c r="R169" i="15"/>
  <c r="I170" i="15"/>
  <c r="J170" i="15"/>
  <c r="K170" i="15"/>
  <c r="L170" i="15"/>
  <c r="M170" i="15"/>
  <c r="N170" i="15"/>
  <c r="O170" i="15"/>
  <c r="P170" i="15"/>
  <c r="Q170" i="15"/>
  <c r="R170" i="15"/>
  <c r="I172" i="15"/>
  <c r="J172" i="15"/>
  <c r="K172" i="15"/>
  <c r="L172" i="15"/>
  <c r="M172" i="15"/>
  <c r="N172" i="15"/>
  <c r="O172" i="15"/>
  <c r="P172" i="15"/>
  <c r="Q172" i="15"/>
  <c r="R172" i="15"/>
  <c r="I174" i="15"/>
  <c r="J174" i="15"/>
  <c r="K174" i="15"/>
  <c r="L174" i="15"/>
  <c r="M174" i="15"/>
  <c r="N174" i="15"/>
  <c r="O174" i="15"/>
  <c r="P174" i="15"/>
  <c r="Q174" i="15"/>
  <c r="R174" i="15"/>
  <c r="I175" i="15"/>
  <c r="J175" i="15"/>
  <c r="K175" i="15"/>
  <c r="L175" i="15"/>
  <c r="M175" i="15"/>
  <c r="N175" i="15"/>
  <c r="O175" i="15"/>
  <c r="P175" i="15"/>
  <c r="Q175" i="15"/>
  <c r="R175" i="15"/>
  <c r="I179" i="15"/>
  <c r="J179" i="15"/>
  <c r="K179" i="15"/>
  <c r="L179" i="15"/>
  <c r="M179" i="15"/>
  <c r="N179" i="15"/>
  <c r="O179" i="15"/>
  <c r="P179" i="15"/>
  <c r="Q179" i="15"/>
  <c r="R179" i="15"/>
  <c r="I203" i="15"/>
  <c r="J203" i="15"/>
  <c r="K203" i="15"/>
  <c r="L203" i="15"/>
  <c r="M203" i="15"/>
  <c r="N203" i="15"/>
  <c r="O203" i="15"/>
  <c r="P203" i="15"/>
  <c r="Q203" i="15"/>
  <c r="R203" i="15"/>
  <c r="I206" i="15"/>
  <c r="J206" i="15"/>
  <c r="K206" i="15"/>
  <c r="L206" i="15"/>
  <c r="M206" i="15"/>
  <c r="N206" i="15"/>
  <c r="O206" i="15"/>
  <c r="P206" i="15"/>
  <c r="Q206" i="15"/>
  <c r="R206" i="15"/>
  <c r="J207" i="15"/>
  <c r="K207" i="15"/>
  <c r="L207" i="15"/>
  <c r="M207" i="15"/>
  <c r="N207" i="15"/>
  <c r="O207" i="15"/>
  <c r="P207" i="15"/>
  <c r="Q207" i="15"/>
  <c r="R207" i="15"/>
  <c r="I208" i="15"/>
  <c r="J208" i="15"/>
  <c r="K208" i="15"/>
  <c r="L208" i="15"/>
  <c r="M208" i="15"/>
  <c r="N208" i="15"/>
  <c r="O208" i="15"/>
  <c r="P208" i="15"/>
  <c r="Q208" i="15"/>
  <c r="R208" i="15"/>
  <c r="I210" i="15"/>
  <c r="J210" i="15"/>
  <c r="K210" i="15"/>
  <c r="L210" i="15"/>
  <c r="M210" i="15"/>
  <c r="N210" i="15"/>
  <c r="O210" i="15"/>
  <c r="P210" i="15"/>
  <c r="Q210" i="15"/>
  <c r="R210" i="15"/>
  <c r="I212" i="15"/>
  <c r="J212" i="15"/>
  <c r="K212" i="15"/>
  <c r="L212" i="15"/>
  <c r="M212" i="15"/>
  <c r="N212" i="15"/>
  <c r="O212" i="15"/>
  <c r="P212" i="15"/>
  <c r="Q212" i="15"/>
  <c r="R212" i="15"/>
  <c r="I213" i="15"/>
  <c r="J213" i="15"/>
  <c r="K213" i="15"/>
  <c r="L213" i="15"/>
  <c r="M213" i="15"/>
  <c r="N213" i="15"/>
  <c r="O213" i="15"/>
  <c r="P213" i="15"/>
  <c r="Q213" i="15"/>
  <c r="R213" i="15"/>
  <c r="I214" i="15"/>
  <c r="J214" i="15"/>
  <c r="K214" i="15"/>
  <c r="L214" i="15"/>
  <c r="M214" i="15"/>
  <c r="N214" i="15"/>
  <c r="O214" i="15"/>
  <c r="P214" i="15"/>
  <c r="Q214" i="15"/>
  <c r="R214" i="15"/>
  <c r="I216" i="15"/>
  <c r="J216" i="15"/>
  <c r="K216" i="15"/>
  <c r="L216" i="15"/>
  <c r="M216" i="15"/>
  <c r="N216" i="15"/>
  <c r="O216" i="15"/>
  <c r="P216" i="15"/>
  <c r="Q216" i="15"/>
  <c r="R216" i="15"/>
  <c r="I217" i="15"/>
  <c r="J217" i="15"/>
  <c r="K217" i="15"/>
  <c r="L217" i="15"/>
  <c r="M217" i="15"/>
  <c r="N217" i="15"/>
  <c r="O217" i="15"/>
  <c r="P217" i="15"/>
  <c r="Q217" i="15"/>
  <c r="R217" i="15"/>
  <c r="I218" i="15"/>
  <c r="J218" i="15"/>
  <c r="K218" i="15"/>
  <c r="L218" i="15"/>
  <c r="M218" i="15"/>
  <c r="N218" i="15"/>
  <c r="O218" i="15"/>
  <c r="P218" i="15"/>
  <c r="Q218" i="15"/>
  <c r="R218" i="15"/>
  <c r="I219" i="15"/>
  <c r="J219" i="15"/>
  <c r="K219" i="15"/>
  <c r="L219" i="15"/>
  <c r="M219" i="15"/>
  <c r="N219" i="15"/>
  <c r="O219" i="15"/>
  <c r="P219" i="15"/>
  <c r="Q219" i="15"/>
  <c r="R219" i="15"/>
  <c r="I221" i="15"/>
  <c r="J221" i="15"/>
  <c r="K221" i="15"/>
  <c r="L221" i="15"/>
  <c r="M221" i="15"/>
  <c r="N221" i="15"/>
  <c r="O221" i="15"/>
  <c r="P221" i="15"/>
  <c r="Q221" i="15"/>
  <c r="R221" i="15"/>
  <c r="I223" i="15"/>
  <c r="J223" i="15"/>
  <c r="K223" i="15"/>
  <c r="L223" i="15"/>
  <c r="M223" i="15"/>
  <c r="N223" i="15"/>
  <c r="O223" i="15"/>
  <c r="P223" i="15"/>
  <c r="Q223" i="15"/>
  <c r="R223" i="15"/>
  <c r="H226" i="15"/>
  <c r="I226" i="15"/>
  <c r="J226" i="15"/>
  <c r="K226" i="15"/>
  <c r="L226" i="15"/>
  <c r="M226" i="15"/>
  <c r="N226" i="15"/>
  <c r="O226" i="15"/>
  <c r="P226" i="15"/>
  <c r="Q226" i="15"/>
  <c r="R226" i="15"/>
  <c r="H227" i="15"/>
  <c r="I227" i="15"/>
  <c r="J227" i="15"/>
  <c r="K227" i="15"/>
  <c r="L227" i="15"/>
  <c r="M227" i="15"/>
  <c r="N227" i="15"/>
  <c r="O227" i="15"/>
  <c r="P227" i="15"/>
  <c r="Q227" i="15"/>
  <c r="R227" i="15"/>
  <c r="I228" i="15"/>
  <c r="J228" i="15"/>
  <c r="K228" i="15"/>
  <c r="L228" i="15"/>
  <c r="M228" i="15"/>
  <c r="N228" i="15"/>
  <c r="O228" i="15"/>
  <c r="P228" i="15"/>
  <c r="Q228" i="15"/>
  <c r="R228" i="15"/>
  <c r="I229" i="15"/>
  <c r="J229" i="15"/>
  <c r="K229" i="15"/>
  <c r="L229" i="15"/>
  <c r="M229" i="15"/>
  <c r="N229" i="15"/>
  <c r="O229" i="15"/>
  <c r="P229" i="15"/>
  <c r="Q229" i="15"/>
  <c r="R229" i="15"/>
  <c r="J232" i="15"/>
  <c r="K232" i="15"/>
  <c r="L232" i="15"/>
  <c r="M232" i="15"/>
  <c r="N232" i="15"/>
  <c r="O232" i="15"/>
  <c r="P232" i="15"/>
  <c r="Q232" i="15"/>
  <c r="R232" i="15"/>
  <c r="I233" i="15"/>
  <c r="J233" i="15"/>
  <c r="K233" i="15"/>
  <c r="L233" i="15"/>
  <c r="M233" i="15"/>
  <c r="N233" i="15"/>
  <c r="O233" i="15"/>
  <c r="P233" i="15"/>
  <c r="Q233" i="15"/>
  <c r="R233" i="15"/>
  <c r="I234" i="15"/>
  <c r="J234" i="15"/>
  <c r="K234" i="15"/>
  <c r="L234" i="15"/>
  <c r="M234" i="15"/>
  <c r="N234" i="15"/>
  <c r="O234" i="15"/>
  <c r="P234" i="15"/>
  <c r="Q234" i="15"/>
  <c r="R234" i="15"/>
  <c r="I235" i="15"/>
  <c r="J235" i="15"/>
  <c r="K235" i="15"/>
  <c r="L235" i="15"/>
  <c r="M235" i="15"/>
  <c r="N235" i="15"/>
  <c r="O235" i="15"/>
  <c r="P235" i="15"/>
  <c r="Q235" i="15"/>
  <c r="R235" i="15"/>
  <c r="I245" i="15"/>
  <c r="J245" i="15"/>
  <c r="K245" i="15"/>
  <c r="L245" i="15"/>
  <c r="M245" i="15"/>
  <c r="N245" i="15"/>
  <c r="O245" i="15"/>
  <c r="P245" i="15"/>
  <c r="Q245" i="15"/>
  <c r="R245" i="15"/>
  <c r="I250" i="15"/>
  <c r="J250" i="15"/>
  <c r="K250" i="15"/>
  <c r="L250" i="15"/>
  <c r="M250" i="15"/>
  <c r="N250" i="15"/>
  <c r="O250" i="15"/>
  <c r="P250" i="15"/>
  <c r="Q250" i="15"/>
  <c r="R250" i="15"/>
  <c r="H257" i="15"/>
  <c r="I257" i="15"/>
  <c r="J257" i="15"/>
  <c r="K257" i="15"/>
  <c r="L257" i="15"/>
  <c r="M257" i="15"/>
  <c r="N257" i="15"/>
  <c r="O257" i="15"/>
  <c r="P257" i="15"/>
  <c r="Q257" i="15"/>
  <c r="R257" i="15"/>
  <c r="I258" i="15"/>
  <c r="J258" i="15"/>
  <c r="K258" i="15"/>
  <c r="L258" i="15"/>
  <c r="M258" i="15"/>
  <c r="N258" i="15"/>
  <c r="O258" i="15"/>
  <c r="P258" i="15"/>
  <c r="Q258" i="15"/>
  <c r="R258" i="15"/>
  <c r="H261" i="15"/>
  <c r="I261" i="15"/>
  <c r="J261" i="15"/>
  <c r="K261" i="15"/>
  <c r="L261" i="15"/>
  <c r="M261" i="15"/>
  <c r="N261" i="15"/>
  <c r="O261" i="15"/>
  <c r="P261" i="15"/>
  <c r="Q261" i="15"/>
  <c r="R261" i="15"/>
  <c r="I269" i="15"/>
  <c r="J269" i="15"/>
  <c r="K269" i="15"/>
  <c r="L269" i="15"/>
  <c r="M269" i="15"/>
  <c r="N269" i="15"/>
  <c r="O269" i="15"/>
  <c r="P269" i="15"/>
  <c r="Q269" i="15"/>
  <c r="R269" i="15"/>
  <c r="H270" i="15"/>
  <c r="I270" i="15"/>
  <c r="J270" i="15"/>
  <c r="K270" i="15"/>
  <c r="L270" i="15"/>
  <c r="M270" i="15"/>
  <c r="N270" i="15"/>
  <c r="O270" i="15"/>
  <c r="P270" i="15"/>
  <c r="Q270" i="15"/>
  <c r="R270" i="15"/>
  <c r="H271" i="15"/>
  <c r="I271" i="15"/>
  <c r="J271" i="15"/>
  <c r="K271" i="15"/>
  <c r="L271" i="15"/>
  <c r="M271" i="15"/>
  <c r="N271" i="15"/>
  <c r="O271" i="15"/>
  <c r="P271" i="15"/>
  <c r="Q271" i="15"/>
  <c r="R271" i="15"/>
  <c r="H272" i="15"/>
  <c r="I272" i="15"/>
  <c r="J272" i="15"/>
  <c r="K272" i="15"/>
  <c r="L272" i="15"/>
  <c r="M272" i="15"/>
  <c r="N272" i="15"/>
  <c r="O272" i="15"/>
  <c r="P272" i="15"/>
  <c r="Q272" i="15"/>
  <c r="R272" i="15"/>
  <c r="H273" i="15"/>
  <c r="I273" i="15"/>
  <c r="J273" i="15"/>
  <c r="K273" i="15"/>
  <c r="L273" i="15"/>
  <c r="M273" i="15"/>
  <c r="N273" i="15"/>
  <c r="O273" i="15"/>
  <c r="P273" i="15"/>
  <c r="Q273" i="15"/>
  <c r="R273" i="15"/>
  <c r="H278" i="15"/>
  <c r="I278" i="15"/>
  <c r="J278" i="15"/>
  <c r="K278" i="15"/>
  <c r="L278" i="15"/>
  <c r="M278" i="15"/>
  <c r="N278" i="15"/>
  <c r="O278" i="15"/>
  <c r="P278" i="15"/>
  <c r="Q278" i="15"/>
  <c r="R278" i="15"/>
  <c r="H283" i="15"/>
  <c r="I283" i="15"/>
  <c r="J283" i="15"/>
  <c r="K283" i="15"/>
  <c r="L283" i="15"/>
  <c r="M283" i="15"/>
  <c r="N283" i="15"/>
  <c r="O283" i="15"/>
  <c r="P283" i="15"/>
  <c r="Q283" i="15"/>
  <c r="R283" i="15"/>
  <c r="H285" i="15"/>
  <c r="I285" i="15"/>
  <c r="J285" i="15"/>
  <c r="K285" i="15"/>
  <c r="L285" i="15"/>
  <c r="M285" i="15"/>
  <c r="N285" i="15"/>
  <c r="O285" i="15"/>
  <c r="P285" i="15"/>
  <c r="Q285" i="15"/>
  <c r="R285" i="15"/>
  <c r="H287" i="15"/>
  <c r="I287" i="15"/>
  <c r="J287" i="15"/>
  <c r="K287" i="15"/>
  <c r="L287" i="15"/>
  <c r="M287" i="15"/>
  <c r="N287" i="15"/>
  <c r="O287" i="15"/>
  <c r="P287" i="15"/>
  <c r="Q287" i="15"/>
  <c r="R287" i="15"/>
  <c r="H288" i="15"/>
  <c r="I288" i="15"/>
  <c r="J288" i="15"/>
  <c r="K288" i="15"/>
  <c r="L288" i="15"/>
  <c r="M288" i="15"/>
  <c r="N288" i="15"/>
  <c r="O288" i="15"/>
  <c r="P288" i="15"/>
  <c r="Q288" i="15"/>
  <c r="R288" i="15"/>
  <c r="I305" i="15"/>
  <c r="J305" i="15"/>
  <c r="K305" i="15"/>
  <c r="L305" i="15"/>
  <c r="M305" i="15"/>
  <c r="N305" i="15"/>
  <c r="O305" i="15"/>
  <c r="P305" i="15"/>
  <c r="Q305" i="15"/>
  <c r="R305" i="15"/>
  <c r="I306" i="15"/>
  <c r="J306" i="15"/>
  <c r="K306" i="15"/>
  <c r="L306" i="15"/>
  <c r="M306" i="15"/>
  <c r="N306" i="15"/>
  <c r="O306" i="15"/>
  <c r="P306" i="15"/>
  <c r="Q306" i="15"/>
  <c r="R306" i="15"/>
  <c r="I307" i="15"/>
  <c r="J307" i="15"/>
  <c r="K307" i="15"/>
  <c r="L307" i="15"/>
  <c r="M307" i="15"/>
  <c r="N307" i="15"/>
  <c r="O307" i="15"/>
  <c r="P307" i="15"/>
  <c r="Q307" i="15"/>
  <c r="R307" i="15"/>
  <c r="I308" i="15"/>
  <c r="J308" i="15"/>
  <c r="K308" i="15"/>
  <c r="L308" i="15"/>
  <c r="M308" i="15"/>
  <c r="N308" i="15"/>
  <c r="O308" i="15"/>
  <c r="P308" i="15"/>
  <c r="Q308" i="15"/>
  <c r="R308" i="15"/>
  <c r="I309" i="15"/>
  <c r="J309" i="15"/>
  <c r="K309" i="15"/>
  <c r="L309" i="15"/>
  <c r="M309" i="15"/>
  <c r="N309" i="15"/>
  <c r="O309" i="15"/>
  <c r="P309" i="15"/>
  <c r="Q309" i="15"/>
  <c r="R309" i="15"/>
  <c r="I312" i="15"/>
  <c r="J312" i="15"/>
  <c r="K312" i="15"/>
  <c r="L312" i="15"/>
  <c r="M312" i="15"/>
  <c r="N312" i="15"/>
  <c r="O312" i="15"/>
  <c r="P312" i="15"/>
  <c r="Q312" i="15"/>
  <c r="R312" i="15"/>
  <c r="H344" i="15"/>
  <c r="I344" i="15"/>
  <c r="J344" i="15"/>
  <c r="K344" i="15"/>
  <c r="L344" i="15"/>
  <c r="M344" i="15"/>
  <c r="N344" i="15"/>
  <c r="P344" i="15"/>
  <c r="Q344" i="15"/>
  <c r="R344" i="15"/>
  <c r="T344" i="15"/>
  <c r="H345" i="15"/>
  <c r="I345" i="15"/>
  <c r="J345" i="15"/>
  <c r="K345" i="15"/>
  <c r="L345" i="15"/>
  <c r="M345" i="15"/>
  <c r="N345" i="15"/>
  <c r="P345" i="15"/>
  <c r="Q345" i="15"/>
  <c r="R345" i="15"/>
  <c r="T345" i="15"/>
  <c r="H346" i="15"/>
  <c r="I346" i="15"/>
  <c r="J346" i="15"/>
  <c r="K346" i="15"/>
  <c r="L346" i="15"/>
  <c r="M346" i="15"/>
  <c r="N346" i="15"/>
  <c r="P346" i="15"/>
  <c r="Q346" i="15"/>
  <c r="R346" i="15"/>
  <c r="T346" i="15"/>
  <c r="H347" i="15"/>
  <c r="I347" i="15"/>
  <c r="J347" i="15"/>
  <c r="K347" i="15"/>
  <c r="L347" i="15"/>
  <c r="M347" i="15"/>
  <c r="N347" i="15"/>
  <c r="P347" i="15"/>
  <c r="Q347" i="15"/>
  <c r="R347" i="15"/>
  <c r="T347" i="15"/>
  <c r="H348" i="15"/>
  <c r="I348" i="15"/>
  <c r="J348" i="15"/>
  <c r="K348" i="15"/>
  <c r="L348" i="15"/>
  <c r="M348" i="15"/>
  <c r="N348" i="15"/>
  <c r="P348" i="15"/>
  <c r="Q348" i="15"/>
  <c r="R348" i="15"/>
  <c r="T348" i="15"/>
  <c r="H349" i="15"/>
  <c r="I349" i="15"/>
  <c r="J349" i="15"/>
  <c r="K349" i="15"/>
  <c r="L349" i="15"/>
  <c r="M349" i="15"/>
  <c r="N349" i="15"/>
  <c r="P349" i="15"/>
  <c r="Q349" i="15"/>
  <c r="R349" i="15"/>
  <c r="T349" i="15"/>
  <c r="H350" i="15"/>
  <c r="I350" i="15"/>
  <c r="J350" i="15"/>
  <c r="K350" i="15"/>
  <c r="L350" i="15"/>
  <c r="M350" i="15"/>
  <c r="N350" i="15"/>
  <c r="P350" i="15"/>
  <c r="Q350" i="15"/>
  <c r="R350" i="15"/>
  <c r="T350" i="15"/>
  <c r="C356" i="15"/>
  <c r="D356" i="15"/>
  <c r="E356" i="15"/>
  <c r="F356" i="15"/>
  <c r="C357" i="15"/>
  <c r="D357" i="15"/>
  <c r="E357" i="15"/>
  <c r="F357" i="15"/>
  <c r="C358" i="15"/>
  <c r="D358" i="15"/>
  <c r="E358" i="15"/>
  <c r="F358" i="15"/>
  <c r="C359" i="15"/>
  <c r="D359" i="15"/>
  <c r="E359" i="15"/>
  <c r="F359" i="15"/>
  <c r="C360" i="15"/>
  <c r="D360" i="15"/>
  <c r="E360" i="15"/>
  <c r="F360" i="15"/>
  <c r="C361" i="15"/>
  <c r="D361" i="15"/>
  <c r="E361" i="15"/>
  <c r="F361" i="15"/>
  <c r="C362" i="15"/>
  <c r="D362" i="15"/>
  <c r="E362" i="15"/>
  <c r="F362" i="15"/>
  <c r="C369" i="15"/>
  <c r="D369" i="15"/>
  <c r="E369" i="15"/>
  <c r="F369" i="15"/>
  <c r="C370" i="15"/>
  <c r="D370" i="15"/>
  <c r="E370" i="15"/>
  <c r="F370" i="15"/>
  <c r="C371" i="15"/>
  <c r="D371" i="15"/>
  <c r="E371" i="15"/>
  <c r="F371" i="15"/>
  <c r="C372" i="15"/>
  <c r="D372" i="15"/>
  <c r="E372" i="15"/>
  <c r="F372" i="15"/>
  <c r="C373" i="15"/>
  <c r="D373" i="15"/>
  <c r="E373" i="15"/>
  <c r="F373" i="15"/>
  <c r="C374" i="15"/>
  <c r="D374" i="15"/>
  <c r="E374" i="15"/>
  <c r="F374" i="15"/>
  <c r="C375" i="15"/>
  <c r="D375" i="15"/>
  <c r="E375" i="15"/>
  <c r="F375" i="15"/>
  <c r="E381" i="15"/>
  <c r="F381" i="15"/>
  <c r="G381" i="15"/>
  <c r="H381" i="15"/>
  <c r="C394" i="15"/>
  <c r="E394" i="15"/>
  <c r="F394" i="15"/>
  <c r="G394" i="15"/>
  <c r="H394" i="15"/>
  <c r="F20" i="19"/>
  <c r="F21" i="19"/>
  <c r="F27" i="19"/>
  <c r="F37" i="19"/>
  <c r="F38" i="19"/>
  <c r="I38" i="19"/>
  <c r="F44" i="19"/>
  <c r="I44" i="19"/>
  <c r="F45" i="19"/>
  <c r="I45" i="19"/>
  <c r="F46" i="19"/>
  <c r="I46" i="19"/>
  <c r="F47" i="19"/>
  <c r="I47" i="19"/>
  <c r="F49" i="19"/>
  <c r="I49" i="19"/>
  <c r="F55" i="19"/>
  <c r="E56" i="19"/>
  <c r="F56" i="19"/>
  <c r="E57" i="19"/>
  <c r="E58" i="19"/>
  <c r="K58" i="19"/>
  <c r="E59" i="19"/>
  <c r="E60" i="19"/>
  <c r="F60" i="19"/>
  <c r="K60" i="19"/>
  <c r="E63" i="19"/>
  <c r="E67" i="19"/>
  <c r="F101" i="19"/>
  <c r="G101" i="19"/>
  <c r="H101" i="19"/>
  <c r="I101" i="19"/>
  <c r="J101" i="19"/>
  <c r="E103" i="19"/>
  <c r="F103" i="19"/>
  <c r="G103" i="19"/>
  <c r="H103" i="19"/>
  <c r="I103" i="19"/>
  <c r="J103" i="19"/>
  <c r="F104" i="19"/>
  <c r="G104" i="19"/>
  <c r="H104" i="19"/>
  <c r="I104" i="19"/>
  <c r="J104" i="19"/>
  <c r="E105" i="19"/>
  <c r="F105" i="19"/>
  <c r="G105" i="19"/>
  <c r="H105" i="19"/>
  <c r="I105" i="19"/>
  <c r="J105" i="19"/>
  <c r="E107" i="19"/>
  <c r="F107" i="19"/>
  <c r="G107" i="19"/>
  <c r="H107" i="19"/>
  <c r="I107" i="19"/>
  <c r="J107" i="19"/>
  <c r="E108" i="19"/>
  <c r="F108" i="19"/>
  <c r="G108" i="19"/>
  <c r="H108" i="19"/>
  <c r="I108" i="19"/>
  <c r="J108" i="19"/>
  <c r="F109" i="19"/>
  <c r="G109" i="19"/>
  <c r="H109" i="19"/>
  <c r="I109" i="19"/>
  <c r="J109" i="19"/>
  <c r="F110" i="19"/>
  <c r="G110" i="19"/>
  <c r="H110" i="19"/>
  <c r="I110" i="19"/>
  <c r="J110" i="19"/>
  <c r="D117" i="19"/>
  <c r="F117" i="19"/>
  <c r="H117" i="19"/>
  <c r="J117" i="19"/>
  <c r="D118" i="19"/>
  <c r="F118" i="19"/>
  <c r="H118" i="19"/>
  <c r="J118" i="19"/>
  <c r="D119" i="19"/>
  <c r="F119" i="19"/>
  <c r="H119" i="19"/>
  <c r="J119" i="19"/>
  <c r="D120" i="19"/>
  <c r="F120" i="19"/>
  <c r="H120" i="19"/>
  <c r="J120" i="19"/>
  <c r="D121" i="19"/>
  <c r="F121" i="19"/>
  <c r="H121" i="19"/>
  <c r="J121" i="19"/>
  <c r="D122" i="19"/>
  <c r="F122" i="19"/>
  <c r="H122" i="19"/>
  <c r="J122" i="19"/>
  <c r="D123" i="19"/>
  <c r="F123" i="19"/>
  <c r="H123" i="19"/>
  <c r="J123" i="19"/>
</calcChain>
</file>

<file path=xl/sharedStrings.xml><?xml version="1.0" encoding="utf-8"?>
<sst xmlns="http://schemas.openxmlformats.org/spreadsheetml/2006/main" count="1650" uniqueCount="813">
  <si>
    <t>Consolidated Statements of Income - USD ($)</t>
  </si>
  <si>
    <t>shares in Thousands</t>
  </si>
  <si>
    <t>12 Months Ended</t>
  </si>
  <si>
    <t>Revenues:</t>
  </si>
  <si>
    <t>Total revenue</t>
  </si>
  <si>
    <t>Bakery-cafe expenses:</t>
  </si>
  <si>
    <t>Cost of food and paper products</t>
  </si>
  <si>
    <t>Labor</t>
  </si>
  <si>
    <t>Occupancy</t>
  </si>
  <si>
    <t>Other operating expenses</t>
  </si>
  <si>
    <t>Total bakery cafe expenses</t>
  </si>
  <si>
    <t>Fresh dough and other product cost of sales to franchisees</t>
  </si>
  <si>
    <t>Depreciation and amortization</t>
  </si>
  <si>
    <t>General and administrative expenses</t>
  </si>
  <si>
    <t>Pre-opening expenses</t>
  </si>
  <si>
    <t>Refranchising loss</t>
  </si>
  <si>
    <t>Total costs and expenses</t>
  </si>
  <si>
    <t>Operating profit</t>
  </si>
  <si>
    <t>Interest expense</t>
  </si>
  <si>
    <t>Other (income) expense, net</t>
  </si>
  <si>
    <t>Income before income taxes</t>
  </si>
  <si>
    <t>Income taxes</t>
  </si>
  <si>
    <t>Net Income</t>
  </si>
  <si>
    <t>Less: Net income (loss) attributable to noncontrolling interest</t>
  </si>
  <si>
    <t>Net income attributable to Panera Bread Company</t>
  </si>
  <si>
    <t>Earnings per common share attributable to Panera Bread Company:</t>
  </si>
  <si>
    <t>Earnings Per Share, Basic (in dollars per share)</t>
  </si>
  <si>
    <t>Earnings Per Share, Diluted (in dollars per share)</t>
  </si>
  <si>
    <t>Weighted average shares of common and common equivalent outstanding:</t>
  </si>
  <si>
    <t>Weighted Average Number of Shares Outstanding, Basic (in shares)</t>
  </si>
  <si>
    <t>Weighted Average Number of Shares Outstanding, Diluted (in shares)</t>
  </si>
  <si>
    <t>*</t>
  </si>
  <si>
    <t>Cash flows from operations:</t>
  </si>
  <si>
    <t>Adjustments to reconcile net income to net cash provided by operating activities:</t>
  </si>
  <si>
    <t>Stock-based compensation expense</t>
  </si>
  <si>
    <t>Tax benefit from stock-based compensation</t>
  </si>
  <si>
    <t>Deferred income taxes</t>
  </si>
  <si>
    <t>Other</t>
  </si>
  <si>
    <t>Changes in operating assets and liabilities, excluding the effect of acquisitions and dispositions:</t>
  </si>
  <si>
    <t>Trade and other accounts receivable, net</t>
  </si>
  <si>
    <t>Inventories</t>
  </si>
  <si>
    <t>Prepaid expenses and other</t>
  </si>
  <si>
    <t>Deposits and other</t>
  </si>
  <si>
    <t>Accounts payable</t>
  </si>
  <si>
    <t>Accrued expenses</t>
  </si>
  <si>
    <t>Deferred rent</t>
  </si>
  <si>
    <t>Other long-term liabilities</t>
  </si>
  <si>
    <t>Net cash provided by operating activities</t>
  </si>
  <si>
    <t>Cash flows from investing activities:</t>
  </si>
  <si>
    <t>Additions to property and equipment</t>
  </si>
  <si>
    <t>Proceeds from (Repayments of) Notes Payable</t>
  </si>
  <si>
    <t>Proceeds from refranchising</t>
  </si>
  <si>
    <t>Proceeds from sale of property and equipment</t>
  </si>
  <si>
    <t>Proceeds from sale-leaseback transactions</t>
  </si>
  <si>
    <t>Net cash used in investing activities</t>
  </si>
  <si>
    <t>Cash flows from financing activities:</t>
  </si>
  <si>
    <t>Repayments of long-term debt</t>
  </si>
  <si>
    <t>Proceeds from issuance of long-term debt</t>
  </si>
  <si>
    <t>Proceeds from borrowings under revolving credit facility</t>
  </si>
  <si>
    <t>Capitalized debt issuance costs</t>
  </si>
  <si>
    <t>Payment of Deferred Acquisition Holdback</t>
  </si>
  <si>
    <t>Repurchase of common stock</t>
  </si>
  <si>
    <t>Exercise of employee stock options</t>
  </si>
  <si>
    <t>Proceeds from issuance of common stock under employee benefit plans</t>
  </si>
  <si>
    <t>Distribution to redeemable noncontrolling interest</t>
  </si>
  <si>
    <t>Net cash used in financing activities</t>
  </si>
  <si>
    <t>Net (decrease) increase in cash and cash equivalents</t>
  </si>
  <si>
    <t>Cash and cash equivalents at beginning of period</t>
  </si>
  <si>
    <t>Cash and cash equivalents at end of period</t>
  </si>
  <si>
    <t>Current assets:</t>
  </si>
  <si>
    <t>Cash and cash equivalents</t>
  </si>
  <si>
    <t>Trade accounts receivable, net</t>
  </si>
  <si>
    <t>Other accounts receivable</t>
  </si>
  <si>
    <t>Assets held for sale</t>
  </si>
  <si>
    <t>Total current assets</t>
  </si>
  <si>
    <t>Property and equipment, net</t>
  </si>
  <si>
    <t>Other assets:</t>
  </si>
  <si>
    <t>Goodwill</t>
  </si>
  <si>
    <t>Other intangible assets, net</t>
  </si>
  <si>
    <t>Total other assets</t>
  </si>
  <si>
    <t>Total assets</t>
  </si>
  <si>
    <t>Current liabilities:</t>
  </si>
  <si>
    <t>Current portion of long-term debt</t>
  </si>
  <si>
    <t>Liabilities associated with assets held for sale</t>
  </si>
  <si>
    <t>Total current liabilities</t>
  </si>
  <si>
    <t>Long-term debt</t>
  </si>
  <si>
    <t>Total liabilities</t>
  </si>
  <si>
    <t>Commitments and contingencies (Note 13)</t>
  </si>
  <si>
    <t>Redeemable noncontrolling interest</t>
  </si>
  <si>
    <t>Common stock, $.0001 par value:</t>
  </si>
  <si>
    <t>Treasury stock, carried at cost; 9,333,391 shares at December 27, 2016 and 7,490,481 shares at December 29, 2015</t>
  </si>
  <si>
    <t>Preferred stock, $.0001 par value per share; 2,000,000 shares authorized and no shares issued or outstanding at December 27, 2016 and December 29, 2015</t>
  </si>
  <si>
    <t>Additional paid-in capital</t>
  </si>
  <si>
    <t>Accumulated other comprehensive income</t>
  </si>
  <si>
    <t>Retained earnings</t>
  </si>
  <si>
    <t>Total stockholders' equity</t>
  </si>
  <si>
    <t>Total liabilities, redeemable noncontrolling interest, and stockholders' equity</t>
  </si>
  <si>
    <t>Common Stock Class A [Member]</t>
  </si>
  <si>
    <t>Common Stock</t>
  </si>
  <si>
    <t>Common Class B [Member]</t>
  </si>
  <si>
    <t>Consolidated Statements of Cash Flows - USD ($)</t>
  </si>
  <si>
    <t>Consolidated Balance Sheets - USD ($)</t>
  </si>
  <si>
    <t>Source:</t>
  </si>
  <si>
    <t>https://www.sec.gov/cgi-bin/viewer?action=view&amp;cik=724606&amp;accession_number=0000724606-17-000004&amp;xbrl_type=v#</t>
  </si>
  <si>
    <t xml:space="preserve">Source: </t>
  </si>
  <si>
    <t>https://www.restaurant.org/Downloads/PDFs/Events-Groups/17_SHOW_PPT_5-4-compressed.pdf</t>
  </si>
  <si>
    <t>Year</t>
  </si>
  <si>
    <t>Revenue</t>
  </si>
  <si>
    <t>Income Statement</t>
  </si>
  <si>
    <t>Actual</t>
  </si>
  <si>
    <t>EBITDA</t>
  </si>
  <si>
    <t>EBIT</t>
  </si>
  <si>
    <t>Net Income (Adjusted)</t>
  </si>
  <si>
    <t>Gross Profit</t>
  </si>
  <si>
    <t>Costs of goods sold</t>
  </si>
  <si>
    <t>EBT</t>
  </si>
  <si>
    <t>Estimate</t>
  </si>
  <si>
    <t>Cash Flow Statement</t>
  </si>
  <si>
    <t>Balance Sheet</t>
  </si>
  <si>
    <t xml:space="preserve"> </t>
  </si>
  <si>
    <t>IBISWorld - Fast Food</t>
  </si>
  <si>
    <t>https://www.sec.gov/Archives/edgar/data/724606/000072460617000004/a2016122710k.htm#s47186716E67F30320103B1558D4118B5</t>
  </si>
  <si>
    <t>Cuisine</t>
  </si>
  <si>
    <t>2016 Revenue</t>
  </si>
  <si>
    <t>Growth</t>
  </si>
  <si>
    <t>2016 Growth</t>
  </si>
  <si>
    <t>Total</t>
  </si>
  <si>
    <t>($)</t>
  </si>
  <si>
    <t>(%)</t>
  </si>
  <si>
    <t>CAGR</t>
  </si>
  <si>
    <t>Company-owned</t>
  </si>
  <si>
    <t>Bakery Café</t>
  </si>
  <si>
    <t>Pizza</t>
  </si>
  <si>
    <t>Fast food sales</t>
  </si>
  <si>
    <t>Franchise-operated</t>
  </si>
  <si>
    <t>Mexican</t>
  </si>
  <si>
    <t>Seafood</t>
  </si>
  <si>
    <t>YoY % growth</t>
  </si>
  <si>
    <t>System-wide</t>
  </si>
  <si>
    <t>Chicken</t>
  </si>
  <si>
    <t>BBQ</t>
  </si>
  <si>
    <t>Asian</t>
  </si>
  <si>
    <t>as a % of fast-food sales</t>
  </si>
  <si>
    <t>Burger</t>
  </si>
  <si>
    <t>Specialty</t>
  </si>
  <si>
    <t>Asian/Noodle</t>
  </si>
  <si>
    <t>Sandwich</t>
  </si>
  <si>
    <t>Logo</t>
  </si>
  <si>
    <t>Chain Name</t>
  </si>
  <si>
    <t>Revenue ($ MM)</t>
  </si>
  <si>
    <t>Jimmy John’s Gourmet Sandwich Shop</t>
  </si>
  <si>
    <t>Sandwiches</t>
  </si>
  <si>
    <t>Five Guys Burgers and Fries</t>
  </si>
  <si>
    <t>Shake Shack</t>
  </si>
  <si>
    <t>Subway</t>
  </si>
  <si>
    <t>Taco Bell</t>
  </si>
  <si>
    <t>Wendy’s</t>
  </si>
  <si>
    <t>Bakery/Café</t>
  </si>
  <si>
    <t>Corner Bakery Cafe</t>
  </si>
  <si>
    <t>Peet’s Coffee</t>
  </si>
  <si>
    <t>Bruegger’s Bagels</t>
  </si>
  <si>
    <t>Panera Bread</t>
  </si>
  <si>
    <r>
      <rPr>
        <vertAlign val="superscript"/>
        <sz val="10"/>
        <color theme="1"/>
        <rFont val="Calibri"/>
        <family val="2"/>
        <scheme val="minor"/>
      </rPr>
      <t>T</t>
    </r>
    <r>
      <rPr>
        <sz val="10"/>
        <color theme="1"/>
        <rFont val="Calibri"/>
        <family val="2"/>
        <scheme val="minor"/>
      </rPr>
      <t xml:space="preserve"> Technomic estimate</t>
    </r>
  </si>
  <si>
    <t>Einstein Bros. Bagels</t>
  </si>
  <si>
    <t>Morgan Stanley</t>
  </si>
  <si>
    <t>UBS</t>
  </si>
  <si>
    <t>Credit Suisse</t>
  </si>
  <si>
    <t>Barclays</t>
  </si>
  <si>
    <t>Capital Expenditures</t>
  </si>
  <si>
    <t>N/A</t>
  </si>
  <si>
    <t>Net income</t>
  </si>
  <si>
    <t>Wells Fargo</t>
  </si>
  <si>
    <t>Cash Flow</t>
  </si>
  <si>
    <t>Preferred stock</t>
  </si>
  <si>
    <t>Cash</t>
  </si>
  <si>
    <t>Bank Revolver</t>
  </si>
  <si>
    <t>Bank Term Loan</t>
  </si>
  <si>
    <t>Subordinated Debentures</t>
  </si>
  <si>
    <t>Sponsor Equity</t>
  </si>
  <si>
    <t>Total Sources</t>
  </si>
  <si>
    <t>Financing Fees</t>
  </si>
  <si>
    <t>Total Uses</t>
  </si>
  <si>
    <t>Sources:</t>
  </si>
  <si>
    <t>Amount</t>
  </si>
  <si>
    <t>Ownership</t>
  </si>
  <si>
    <t>Term</t>
  </si>
  <si>
    <t>Points</t>
  </si>
  <si>
    <t>Strike</t>
  </si>
  <si>
    <t>Proceeds</t>
  </si>
  <si>
    <t>Assets</t>
  </si>
  <si>
    <t>Total Goodwill Created</t>
  </si>
  <si>
    <t>Intangible Asset Write-up</t>
  </si>
  <si>
    <t>New Intangibles Amortization</t>
  </si>
  <si>
    <t>Effective Tax Rate</t>
  </si>
  <si>
    <t>Adjustments</t>
  </si>
  <si>
    <t>SSAR</t>
  </si>
  <si>
    <t>Deferred Financing Fees</t>
  </si>
  <si>
    <t>Subordinated Debt</t>
  </si>
  <si>
    <t>In the Money?</t>
  </si>
  <si>
    <t>Revenue Growth Rate</t>
  </si>
  <si>
    <t>Gross Margin</t>
  </si>
  <si>
    <t>EBITDA Margin</t>
  </si>
  <si>
    <t>EBIT Margin</t>
  </si>
  <si>
    <t>Piper Jaffray</t>
  </si>
  <si>
    <t>Guggenheim</t>
  </si>
  <si>
    <t>Days</t>
  </si>
  <si>
    <t>Days Receivable (Revenue)</t>
  </si>
  <si>
    <t>Days Payable (CoGS)</t>
  </si>
  <si>
    <t>Total Current Assets</t>
  </si>
  <si>
    <t>Total Current Liabilities</t>
  </si>
  <si>
    <t>as a % of CoGS &amp; OpEx*</t>
  </si>
  <si>
    <t>CapEx</t>
  </si>
  <si>
    <t>Depreciation and Amortization</t>
  </si>
  <si>
    <t>Existing Debt</t>
  </si>
  <si>
    <t>Total Debt</t>
  </si>
  <si>
    <t>Less: Cash</t>
  </si>
  <si>
    <t>Net Debt</t>
  </si>
  <si>
    <t>EBITDA - CapEx</t>
  </si>
  <si>
    <t>Total Debt / EBITDA</t>
  </si>
  <si>
    <t>Net Debt / EBITDA</t>
  </si>
  <si>
    <t>Returns Summary</t>
  </si>
  <si>
    <t>Step</t>
  </si>
  <si>
    <t>Pre-opening expenses as a % of revenue</t>
  </si>
  <si>
    <t>Model Summary</t>
  </si>
  <si>
    <t>Projected</t>
  </si>
  <si>
    <t>Margin</t>
  </si>
  <si>
    <t>ROI</t>
  </si>
  <si>
    <t>Equity Value</t>
  </si>
  <si>
    <t>Value</t>
  </si>
  <si>
    <t>Assumed Debt</t>
  </si>
  <si>
    <t>Enterprise Value</t>
  </si>
  <si>
    <t>Pro Forma Leverage Summary</t>
  </si>
  <si>
    <t>Actual for the Fiscal Year Ended</t>
  </si>
  <si>
    <t>Acquisition</t>
  </si>
  <si>
    <t>Adjusted</t>
  </si>
  <si>
    <t>Balance Sheet @ Close</t>
  </si>
  <si>
    <t>Consolidated Balance Sheet</t>
  </si>
  <si>
    <t>($ in millions)</t>
  </si>
  <si>
    <t>Liabilities &amp; Stockholders' Equity</t>
  </si>
  <si>
    <t>Treasury Stock</t>
  </si>
  <si>
    <t>Commitments and contingencies:</t>
  </si>
  <si>
    <t>ASSETS</t>
  </si>
  <si>
    <t>Cash and Cash Equivalents</t>
  </si>
  <si>
    <t>Total Assets</t>
  </si>
  <si>
    <t>LIABILITIES, REDEEMABLE NONCONTROLLING INTEREST, AND STOCKHOLDER'S EQUITY</t>
  </si>
  <si>
    <t>Total Liabilities</t>
  </si>
  <si>
    <t>Retained Earnings</t>
  </si>
  <si>
    <t>Sources</t>
  </si>
  <si>
    <t>Cash on Balance Sheet</t>
  </si>
  <si>
    <t>Uses</t>
  </si>
  <si>
    <t>% of Total</t>
  </si>
  <si>
    <t>Interest</t>
  </si>
  <si>
    <t>Rate</t>
  </si>
  <si>
    <t>Purchase of Common Stock</t>
  </si>
  <si>
    <t>Purchase of Stock Options &amp; SSAR</t>
  </si>
  <si>
    <t>Transaction Expenses</t>
  </si>
  <si>
    <t>Total Cash Sources</t>
  </si>
  <si>
    <t>Total Cash Uses</t>
  </si>
  <si>
    <t>Multiple</t>
  </si>
  <si>
    <t>Ownership Table</t>
  </si>
  <si>
    <t>Initial</t>
  </si>
  <si>
    <t>Investment</t>
  </si>
  <si>
    <t>Fully</t>
  </si>
  <si>
    <t>Diluted</t>
  </si>
  <si>
    <t>Sponsors</t>
  </si>
  <si>
    <t>Management</t>
  </si>
  <si>
    <t>Summary of Fees &amp; Expenses</t>
  </si>
  <si>
    <t>Sponsor Fee</t>
  </si>
  <si>
    <t>Note: Goodwill Calculation</t>
  </si>
  <si>
    <t>FYE 2016 EBITDA</t>
  </si>
  <si>
    <t>EV (Excluding Fees) / FYE 2016 EBITDA</t>
  </si>
  <si>
    <t>Total EV / FYE 2016 EBITDA</t>
  </si>
  <si>
    <t>Base Case</t>
  </si>
  <si>
    <t>For the FYE December 27</t>
  </si>
  <si>
    <t>Revenues</t>
  </si>
  <si>
    <t>Interest Expense</t>
  </si>
  <si>
    <t>Total Interest Expense</t>
  </si>
  <si>
    <t>(Increase) / Decrease in Working Capital</t>
  </si>
  <si>
    <t>(Increase) / Decrease in Other LT Assets</t>
  </si>
  <si>
    <t>Increase / (Decrease) in Other LT Liabilities</t>
  </si>
  <si>
    <t>Cash Taxes</t>
  </si>
  <si>
    <t>Cash on Balance Sheet in Excess of Minimum Balance</t>
  </si>
  <si>
    <t>Other Sources / (Uses) of Cash</t>
  </si>
  <si>
    <t>Excess Cash After Debt Repayment</t>
  </si>
  <si>
    <t>Ending Cash Balance</t>
  </si>
  <si>
    <t>Credit Statistics</t>
  </si>
  <si>
    <t>EBITDA / Interest Expense</t>
  </si>
  <si>
    <t>(EBITDA - CapEx) / Interest Expense</t>
  </si>
  <si>
    <t>G&amp;A as a % of revenue</t>
  </si>
  <si>
    <t>Depreciation &amp; Amortization Margin</t>
  </si>
  <si>
    <t>CapEx Margin</t>
  </si>
  <si>
    <t>Interest Rate Assumptions</t>
  </si>
  <si>
    <t>Interest Earned on Cash</t>
  </si>
  <si>
    <t>Cash Interest Rate on Debt</t>
  </si>
  <si>
    <t>Libor Spread</t>
  </si>
  <si>
    <t>Fixed Rate</t>
  </si>
  <si>
    <t>Working Capital Assumptions</t>
  </si>
  <si>
    <t>Depreciation &amp; Amortization Assumptions</t>
  </si>
  <si>
    <t>Trade and Other Accounts Receivable, Net</t>
  </si>
  <si>
    <t>Prepaid Expenses and Other</t>
  </si>
  <si>
    <t>as a % of OpEX</t>
  </si>
  <si>
    <t>Accounts Payable</t>
  </si>
  <si>
    <t>Accrued Expenses</t>
  </si>
  <si>
    <t>Days Sales Inventories (CoGS)</t>
  </si>
  <si>
    <t>Note: Accrued Expenses consists of a combination of CoGS and OpEx related items such as: Unredeemed gift cards, Employee compensation/taxes, Insurances, CapEx, Advertising, Occupancy costs, Utilities, etc.</t>
  </si>
  <si>
    <t>Working Capital</t>
  </si>
  <si>
    <t>(Increase) / Decrease in Long-Term Assets</t>
  </si>
  <si>
    <t>Increase/ (Decrease) in Long-Term Liabilities</t>
  </si>
  <si>
    <t>(Increase in) / Reduction of Working Capital</t>
  </si>
  <si>
    <t>Check</t>
  </si>
  <si>
    <t>Cumul. Pay Down</t>
  </si>
  <si>
    <t>Stockholders' Equity</t>
  </si>
  <si>
    <t>Total Stockholders' Equity</t>
  </si>
  <si>
    <t>Total Liabilities, Redeemable Noncontrolling Interest,  &amp; Stockholders' Equity</t>
  </si>
  <si>
    <t>Interest Income</t>
  </si>
  <si>
    <t>Debt</t>
  </si>
  <si>
    <t>Fee</t>
  </si>
  <si>
    <t>Exit Multiple</t>
  </si>
  <si>
    <t>Gains with</t>
  </si>
  <si>
    <t>ROI with</t>
  </si>
  <si>
    <t>Gains</t>
  </si>
  <si>
    <t>Sponsor Return</t>
  </si>
  <si>
    <t>Assumed Exit Year</t>
  </si>
  <si>
    <t>of Options</t>
  </si>
  <si>
    <t>Net Value</t>
  </si>
  <si>
    <t>Adj. Equity</t>
  </si>
  <si>
    <t>Option</t>
  </si>
  <si>
    <t>Sponsor</t>
  </si>
  <si>
    <t>Equity</t>
  </si>
  <si>
    <t>Net</t>
  </si>
  <si>
    <t>Plus:</t>
  </si>
  <si>
    <t>Less:</t>
  </si>
  <si>
    <t>Enterprise</t>
  </si>
  <si>
    <t>Exit</t>
  </si>
  <si>
    <t>Total Financing Fees</t>
  </si>
  <si>
    <t>with Fee</t>
  </si>
  <si>
    <t>Gain</t>
  </si>
  <si>
    <t>Advisory Fees &amp; Expenses</t>
  </si>
  <si>
    <t>% of Equity Purchase Price</t>
  </si>
  <si>
    <t>Transaction Fees &amp; Expenses</t>
  </si>
  <si>
    <t>Share Price</t>
  </si>
  <si>
    <t>Note: Amortization of Deferred Financing Fees is included in EBITDA and CFO. Proper method would be to Less: Interest Expense, net (EBITDA --&gt; NI) and then Plus: Amortization of Financing Fees. For simplicity I'm pulling the BS change directly from the IS.</t>
  </si>
  <si>
    <t>Transaction Summary</t>
  </si>
  <si>
    <t>Tax Loss Carryforward</t>
  </si>
  <si>
    <t>Additions</t>
  </si>
  <si>
    <t>Use of NOLs</t>
  </si>
  <si>
    <t>Deferred Tax Asset</t>
  </si>
  <si>
    <t>Beginning NOL Balance</t>
  </si>
  <si>
    <t>Ending NOL Balance</t>
  </si>
  <si>
    <t>Income Taxes</t>
  </si>
  <si>
    <t>(Increase) / Decrease in Deferred Tax Asset</t>
  </si>
  <si>
    <t>Note: DTA (Use of NOL tax effect) adjustment not captured by EBITDA (DTA --&gt; CF/BS book adjustment). Tax adjustment is modeling shortcut.</t>
  </si>
  <si>
    <t>Note: Intangible Asset Write-Up</t>
  </si>
  <si>
    <t>Included</t>
  </si>
  <si>
    <t>Stock Options</t>
  </si>
  <si>
    <t>Item</t>
  </si>
  <si>
    <t>Outstanding</t>
  </si>
  <si>
    <t>Shares Outstanding</t>
  </si>
  <si>
    <t>Purchase Premium</t>
  </si>
  <si>
    <t>Note: Based on KPMG "Percentage allocation of purchase price to intangible assets by industry (median)"</t>
  </si>
  <si>
    <t>Note: Only paying down bank debt</t>
  </si>
  <si>
    <t>Interest Rate</t>
  </si>
  <si>
    <t>Downside Case</t>
  </si>
  <si>
    <t>Open Case #1</t>
  </si>
  <si>
    <t>Income Statement:</t>
  </si>
  <si>
    <t>Open Case #2</t>
  </si>
  <si>
    <t>Multiple of</t>
  </si>
  <si>
    <t>FYE 2016 Adj. EBITDA</t>
  </si>
  <si>
    <t>Transaction Proceeds (excl. fees)</t>
  </si>
  <si>
    <t>Approximate Existing Debt</t>
  </si>
  <si>
    <t>Remaining Cash on Balance Sheet</t>
  </si>
  <si>
    <t>Total Transaction Value</t>
  </si>
  <si>
    <t>FYE 2016 Adjusted EBITDA</t>
  </si>
  <si>
    <t>Leverage Analysis</t>
  </si>
  <si>
    <t>Cumul. Multiple</t>
  </si>
  <si>
    <t>Net Leverage</t>
  </si>
  <si>
    <t>COGS &amp; SG&amp;A</t>
  </si>
  <si>
    <t>D&amp;A</t>
  </si>
  <si>
    <t>Purchase</t>
  </si>
  <si>
    <t>% of Cap</t>
  </si>
  <si>
    <t>Premium</t>
  </si>
  <si>
    <t>with fee</t>
  </si>
  <si>
    <t>With Fee</t>
  </si>
  <si>
    <t>Purchase Price Sensitivity Table</t>
  </si>
  <si>
    <t>Equity as a</t>
  </si>
  <si>
    <t>Equity % Sensitivity Table</t>
  </si>
  <si>
    <t>Starbucks</t>
  </si>
  <si>
    <t>Buyout</t>
  </si>
  <si>
    <t>IPO</t>
  </si>
  <si>
    <t>Date</t>
  </si>
  <si>
    <t>PNRA</t>
  </si>
  <si>
    <t>Adj. Close</t>
  </si>
  <si>
    <t>Panera</t>
  </si>
  <si>
    <t>S&amp;P 500</t>
  </si>
  <si>
    <t>Integration with Apple Pay</t>
  </si>
  <si>
    <t>Detail</t>
  </si>
  <si>
    <t>Market reaction: 4th quarter profit fell by 9%</t>
  </si>
  <si>
    <t>'No no' list of artificial additives introduced</t>
  </si>
  <si>
    <t>Share repurchases and intent to sell/refranchise 73 company-owned cafes announced</t>
  </si>
  <si>
    <t>"Panera Bread is replacing cashiers with kiosks — and it feels dystopian" - Business Week</t>
  </si>
  <si>
    <t>Panera 2.0 - 16% of sales are ordered and paid for digitally</t>
  </si>
  <si>
    <t>Key Dates</t>
  </si>
  <si>
    <t>Strong Q3 profits stemming from delivery and Panera 2.0 initiatives</t>
  </si>
  <si>
    <t>Q1</t>
  </si>
  <si>
    <t>Q2</t>
  </si>
  <si>
    <t>Q3</t>
  </si>
  <si>
    <t>Q4</t>
  </si>
  <si>
    <t>1/1 - 3/31</t>
  </si>
  <si>
    <t>4/1 - 6/30</t>
  </si>
  <si>
    <t>7/1 - 9/30</t>
  </si>
  <si>
    <t>10/1 - 12/31</t>
  </si>
  <si>
    <t>Deutuche Bank</t>
  </si>
  <si>
    <t>Avg.</t>
  </si>
  <si>
    <t>Consensus</t>
  </si>
  <si>
    <t>Quarter</t>
  </si>
  <si>
    <t>"Daaaaaamn Panera, Back at it Again with the Pseudoscience." article  attacks Panera Bread marketing campaign and gains attention from major news outlets such as Forbes</t>
  </si>
  <si>
    <t>Panera 2.0 initiative results in same store sales growth of 1.8%</t>
  </si>
  <si>
    <t>Price Target</t>
  </si>
  <si>
    <t>MS Consensus EPS (Thompson Reuters Estimates)</t>
  </si>
  <si>
    <t>EPS</t>
  </si>
  <si>
    <t>%</t>
  </si>
  <si>
    <t>Difference</t>
  </si>
  <si>
    <t>Taxes</t>
  </si>
  <si>
    <t>Refranchising Loss</t>
  </si>
  <si>
    <t>Non-Recurring &amp; Other</t>
  </si>
  <si>
    <t>Other expenses, net</t>
  </si>
  <si>
    <t>Plus: Debt</t>
  </si>
  <si>
    <t>Enterprise Value Calculation</t>
  </si>
  <si>
    <t>as of</t>
  </si>
  <si>
    <t>In $ millions</t>
  </si>
  <si>
    <t>Current</t>
  </si>
  <si>
    <t>Long-term</t>
  </si>
  <si>
    <t>EV/EBITDA</t>
  </si>
  <si>
    <t>EBTIDA</t>
  </si>
  <si>
    <t>EV / EBITDA</t>
  </si>
  <si>
    <t>Company</t>
  </si>
  <si>
    <t>Cost of Goods Sold</t>
  </si>
  <si>
    <t>Target</t>
  </si>
  <si>
    <t>Golden Gate Capital</t>
  </si>
  <si>
    <t>Healthy</t>
  </si>
  <si>
    <t>Fast casual sales</t>
  </si>
  <si>
    <t>Instructions</t>
  </si>
  <si>
    <t>Students are encouraged to adjust the values of cells with 'light gold' highlighting</t>
  </si>
  <si>
    <r>
      <t xml:space="preserve">Rows with </t>
    </r>
    <r>
      <rPr>
        <b/>
        <sz val="12"/>
        <color rgb="FFFF0000"/>
        <rFont val="Calibri"/>
        <family val="2"/>
        <scheme val="minor"/>
      </rPr>
      <t xml:space="preserve">recursion points </t>
    </r>
    <r>
      <rPr>
        <sz val="12"/>
        <color theme="1"/>
        <rFont val="Calibri"/>
        <family val="2"/>
        <scheme val="minor"/>
      </rPr>
      <t>have been marked in column T and display appropriate errors if a model recursion error occurs.</t>
    </r>
  </si>
  <si>
    <t>Hardcoded data has been colored with blue text</t>
  </si>
  <si>
    <t>Links between different work sheets have been colored with green text</t>
  </si>
  <si>
    <t>JAB</t>
  </si>
  <si>
    <t>Krispy Kreme Doughnuts</t>
  </si>
  <si>
    <t>Teavana</t>
  </si>
  <si>
    <t>Burger King Worldwide</t>
  </si>
  <si>
    <t>Tim Hortons</t>
  </si>
  <si>
    <t>Caribou Coffee</t>
  </si>
  <si>
    <t>Benihana</t>
  </si>
  <si>
    <t>NM</t>
  </si>
  <si>
    <t>Assumption Checklist</t>
  </si>
  <si>
    <t>LBO Model Sheet</t>
  </si>
  <si>
    <t>Sensitivity Tables</t>
  </si>
  <si>
    <t>Equity as a % of Cap</t>
  </si>
  <si>
    <t>Open Case #1 Title</t>
  </si>
  <si>
    <t>Open Case #2 Title</t>
  </si>
  <si>
    <t>Projections</t>
  </si>
  <si>
    <t>Upside Case</t>
  </si>
  <si>
    <t>Coffee Café</t>
  </si>
  <si>
    <t>Blaze Pizza</t>
  </si>
  <si>
    <t>Burger King</t>
  </si>
  <si>
    <t>2017E</t>
  </si>
  <si>
    <t>2018E</t>
  </si>
  <si>
    <t>Fast Casual</t>
  </si>
  <si>
    <t>Chipotle</t>
  </si>
  <si>
    <t>25.9x</t>
  </si>
  <si>
    <t>18.8x</t>
  </si>
  <si>
    <t>54.8x</t>
  </si>
  <si>
    <t>37.1x</t>
  </si>
  <si>
    <t>14.8x</t>
  </si>
  <si>
    <t>11.7x</t>
  </si>
  <si>
    <t>66.8x</t>
  </si>
  <si>
    <t>53.0x</t>
  </si>
  <si>
    <t>Wingstop Inc.</t>
  </si>
  <si>
    <t>24.7x</t>
  </si>
  <si>
    <t>21.2x</t>
  </si>
  <si>
    <t>44.2x</t>
  </si>
  <si>
    <t>36.3x</t>
  </si>
  <si>
    <t>Potbelly</t>
  </si>
  <si>
    <t>7.7x</t>
  </si>
  <si>
    <t>7.0x</t>
  </si>
  <si>
    <t>30.2x</t>
  </si>
  <si>
    <t>26.2x</t>
  </si>
  <si>
    <t>Zoe’s Kitchen</t>
  </si>
  <si>
    <t>16.0x</t>
  </si>
  <si>
    <t>12.8x</t>
  </si>
  <si>
    <t>Habit Restaurants</t>
  </si>
  <si>
    <t>10.2x</t>
  </si>
  <si>
    <t>8.6x</t>
  </si>
  <si>
    <t>60.0x</t>
  </si>
  <si>
    <t>54.5x</t>
  </si>
  <si>
    <t>Freshii</t>
  </si>
  <si>
    <t>26.5x</t>
  </si>
  <si>
    <t>18.5x</t>
  </si>
  <si>
    <t>42.0x</t>
  </si>
  <si>
    <t>28.8x</t>
  </si>
  <si>
    <t>Noodles &amp; Company</t>
  </si>
  <si>
    <t>8.1x</t>
  </si>
  <si>
    <t>7.2x</t>
  </si>
  <si>
    <t>Multinational QSR</t>
  </si>
  <si>
    <t>Domino’s</t>
  </si>
  <si>
    <t>20.2x</t>
  </si>
  <si>
    <t>17.7x</t>
  </si>
  <si>
    <t>35.4x</t>
  </si>
  <si>
    <t>29.7x</t>
  </si>
  <si>
    <t>McDonald’s</t>
  </si>
  <si>
    <t>13.6x</t>
  </si>
  <si>
    <t>13.3x</t>
  </si>
  <si>
    <t>21.0x</t>
  </si>
  <si>
    <t>19.6x</t>
  </si>
  <si>
    <t>13.0x</t>
  </si>
  <si>
    <t>26.4x</t>
  </si>
  <si>
    <t>23.3x</t>
  </si>
  <si>
    <t>Yum! Brands</t>
  </si>
  <si>
    <t>15.5x</t>
  </si>
  <si>
    <t>15.0x</t>
  </si>
  <si>
    <t>23.4x</t>
  </si>
  <si>
    <t>20.3x</t>
  </si>
  <si>
    <t>13.5x</t>
  </si>
  <si>
    <t>12.5x</t>
  </si>
  <si>
    <t>22.9x</t>
  </si>
  <si>
    <t>Domestic QSR</t>
  </si>
  <si>
    <t>Dunkin’ Brands</t>
  </si>
  <si>
    <t>14.1x</t>
  </si>
  <si>
    <t>23.1x</t>
  </si>
  <si>
    <t>20.5x</t>
  </si>
  <si>
    <t>14.4x</t>
  </si>
  <si>
    <t>29.6x</t>
  </si>
  <si>
    <t>24.3x</t>
  </si>
  <si>
    <t>Jack in the Box</t>
  </si>
  <si>
    <t>11.4x</t>
  </si>
  <si>
    <t>10.9x</t>
  </si>
  <si>
    <t>21.5x</t>
  </si>
  <si>
    <t>18.4x</t>
  </si>
  <si>
    <t>Papa John’s</t>
  </si>
  <si>
    <t>15.9x</t>
  </si>
  <si>
    <t>14.9x</t>
  </si>
  <si>
    <t>28.6x</t>
  </si>
  <si>
    <t>25.4x</t>
  </si>
  <si>
    <t>Sonic</t>
  </si>
  <si>
    <t>11.0x</t>
  </si>
  <si>
    <t>19.7x</t>
  </si>
  <si>
    <t>17.6x</t>
  </si>
  <si>
    <t>Bojangles’</t>
  </si>
  <si>
    <t>12.1x</t>
  </si>
  <si>
    <t>11.3x</t>
  </si>
  <si>
    <t>22.0x</t>
  </si>
  <si>
    <t>Fiesta Restaurant Group</t>
  </si>
  <si>
    <t>7.5x</t>
  </si>
  <si>
    <t>21.4x</t>
  </si>
  <si>
    <t>19.1x</t>
  </si>
  <si>
    <t>El Pollo Loco</t>
  </si>
  <si>
    <t>8.7x</t>
  </si>
  <si>
    <t>18.1x</t>
  </si>
  <si>
    <t>16.7x</t>
  </si>
  <si>
    <t>Del Taco</t>
  </si>
  <si>
    <t>9.4x</t>
  </si>
  <si>
    <t>22.1x</t>
  </si>
  <si>
    <t>P /E</t>
  </si>
  <si>
    <t>Note: Pro forma for announced acquisition of Popeye’s Louisiana Kitchen by Restaurant Brands</t>
  </si>
  <si>
    <r>
      <t>Restaurant Brands</t>
    </r>
    <r>
      <rPr>
        <vertAlign val="superscript"/>
        <sz val="12"/>
        <color theme="1"/>
        <rFont val="Calibri"/>
        <family val="2"/>
        <scheme val="minor"/>
      </rPr>
      <t>(1)</t>
    </r>
  </si>
  <si>
    <t>LTM EBITDA</t>
  </si>
  <si>
    <t>Peet’s Coffee &amp; Tea</t>
  </si>
  <si>
    <t>22.3x</t>
  </si>
  <si>
    <t>Restaurant Brands International</t>
  </si>
  <si>
    <t>Popeye’s Louisiana Kitchen</t>
  </si>
  <si>
    <t>18.3x</t>
  </si>
  <si>
    <t>17.4x</t>
  </si>
  <si>
    <t>Darden Restaurants</t>
  </si>
  <si>
    <t>Yard House</t>
  </si>
  <si>
    <t>Einstein Noah Restaurant Group</t>
  </si>
  <si>
    <t>10.1x</t>
  </si>
  <si>
    <t>Red Lobster</t>
  </si>
  <si>
    <t>9.2x</t>
  </si>
  <si>
    <t>Angelo, Gordon &amp; Co.</t>
  </si>
  <si>
    <t>9.1x</t>
  </si>
  <si>
    <t>Levy Acquisition Corp.</t>
  </si>
  <si>
    <t>Del Taco Restaurants</t>
  </si>
  <si>
    <t>Centerbridge Partners</t>
  </si>
  <si>
    <t>P.F. Chang’s China Bistro</t>
  </si>
  <si>
    <t>8.3x</t>
  </si>
  <si>
    <t>Premium to</t>
  </si>
  <si>
    <t>Trailing</t>
  </si>
  <si>
    <t>30-Trading-Day</t>
  </si>
  <si>
    <t>VWAP</t>
  </si>
  <si>
    <t>Refinanced Debt (Less: Assumed Debt)</t>
  </si>
  <si>
    <t>Cumulative</t>
  </si>
  <si>
    <t>Debt Multiple</t>
  </si>
  <si>
    <t>By Tranche</t>
  </si>
  <si>
    <t>Note: Non-recurring events consists of: Refranchising, Goodwill Impairment, and Other Immaterial Items</t>
  </si>
  <si>
    <t>Segment</t>
  </si>
  <si>
    <t>Menu Type</t>
  </si>
  <si>
    <t>Restaurants</t>
  </si>
  <si>
    <t>Quick Service</t>
  </si>
  <si>
    <t>KFC</t>
  </si>
  <si>
    <t>Pizza Hut</t>
  </si>
  <si>
    <t>Baskin Robins</t>
  </si>
  <si>
    <t>Dunkin' Donuts</t>
  </si>
  <si>
    <t>Frozen Desserts</t>
  </si>
  <si>
    <t>Pollo Tropical</t>
  </si>
  <si>
    <t>Taco Cabana</t>
  </si>
  <si>
    <t>Zoës Kitchen</t>
  </si>
  <si>
    <t>Sonic Drive-In</t>
  </si>
  <si>
    <t>The Habit Burger Grill</t>
  </si>
  <si>
    <t>PopEyes Louisiana Kitchen</t>
  </si>
  <si>
    <t xml:space="preserve">Bojangles' </t>
  </si>
  <si>
    <t>Corporate</t>
  </si>
  <si>
    <t>Secondary</t>
  </si>
  <si>
    <t>--&gt;</t>
  </si>
  <si>
    <t>2016 FYE</t>
  </si>
  <si>
    <t>Chick-fil-A</t>
  </si>
  <si>
    <t>Fast-Casual</t>
  </si>
  <si>
    <t>Bakery-Café</t>
  </si>
  <si>
    <t>Au Bon Pain</t>
  </si>
  <si>
    <t>Exhibit 3: Fast-casual Growth by Menu Type</t>
  </si>
  <si>
    <t>Exhibit 4: Panera Bakery-Cafés</t>
  </si>
  <si>
    <t>Dry Powder</t>
  </si>
  <si>
    <t>Q1 2017</t>
  </si>
  <si>
    <t>Buyout/LBO</t>
  </si>
  <si>
    <t>Add-on</t>
  </si>
  <si>
    <t>Recap</t>
  </si>
  <si>
    <t>PE Growth/Expansion</t>
  </si>
  <si>
    <t>Platform Creation</t>
  </si>
  <si>
    <t>Exhibit 6: Number of US PE Deals by Type and Year</t>
  </si>
  <si>
    <t>Debt/EBITDA</t>
  </si>
  <si>
    <t>Equity/EBITDA</t>
  </si>
  <si>
    <t>Debt Percent</t>
  </si>
  <si>
    <t>Exhibit 7: US PE Buyout Multiples</t>
  </si>
  <si>
    <t>Under $25M</t>
  </si>
  <si>
    <t>$25M-$100M</t>
  </si>
  <si>
    <t>$100M-$500M</t>
  </si>
  <si>
    <t>$500M-$1B</t>
  </si>
  <si>
    <t>$1B-$2.5B</t>
  </si>
  <si>
    <t>$2.5B+</t>
  </si>
  <si>
    <t>Other Senior Debt</t>
  </si>
  <si>
    <t>Second-lien</t>
  </si>
  <si>
    <t>First-lien</t>
  </si>
  <si>
    <t>Q3 2017</t>
  </si>
  <si>
    <t>Pixel count</t>
  </si>
  <si>
    <t xml:space="preserve">pixels = </t>
  </si>
  <si>
    <t>Conversion Ratio</t>
  </si>
  <si>
    <t>Exhibit 12: Panera Bread Annotated Stock Chart</t>
  </si>
  <si>
    <t>Exhibit 9: Number of US PE Deals by Size</t>
  </si>
  <si>
    <t>Scroll</t>
  </si>
  <si>
    <t>Right</t>
  </si>
  <si>
    <t>EV /</t>
  </si>
  <si>
    <t>Exhibit 21: Earnings Predictability</t>
  </si>
  <si>
    <t>Exhibit 20: Mean Wall Street Consensus Stock Price Targets</t>
  </si>
  <si>
    <t>Exhibit 19: Precedent Transactions</t>
  </si>
  <si>
    <t>Exhibit 18: Comparable Public Companies</t>
  </si>
  <si>
    <t>US Restaurants</t>
  </si>
  <si>
    <t>'16-'21</t>
  </si>
  <si>
    <t>Note: Options &amp; Warrants Outstanding Calculation</t>
  </si>
  <si>
    <t>Consolidated Balance Sheet @ Transaction Close</t>
  </si>
  <si>
    <t>Interest Income on Cash Balance</t>
  </si>
  <si>
    <t>Cash Available for Debt Service</t>
  </si>
  <si>
    <t>Cash Available for Debt Repayment</t>
  </si>
  <si>
    <t>Minimum Cash Balance</t>
  </si>
  <si>
    <t>Interest Rate, Working Capital, and Depreciation &amp; Amortization Assumptions</t>
  </si>
  <si>
    <t>Note - IBISWorld and restaurant association don't agree on fast-food sales</t>
  </si>
  <si>
    <t>Multinational Quick Service Restaurants</t>
  </si>
  <si>
    <t>Domestic Quick Service Restaurants</t>
  </si>
  <si>
    <t>Please enable iterative calculations. (File -&gt; Options -&gt; Formulas -&gt; Calculation Options -&gt; Enable iterative calculations)</t>
  </si>
  <si>
    <t>Acquirer</t>
  </si>
  <si>
    <r>
      <t>Revenue ($ MM)</t>
    </r>
    <r>
      <rPr>
        <vertAlign val="superscript"/>
        <sz val="12"/>
        <color theme="1"/>
        <rFont val="Calibri"/>
        <family val="2"/>
        <scheme val="minor"/>
      </rPr>
      <t>T</t>
    </r>
  </si>
  <si>
    <t>Note: SEC XBRL data includes erroneous 2015 Deferred income tax (assets) not present in HTM submission.</t>
  </si>
  <si>
    <t>Transaction Summary:</t>
  </si>
  <si>
    <t>Purchase Premium (%)</t>
  </si>
  <si>
    <t>Bank Term Loan (% of total)</t>
  </si>
  <si>
    <t>Subordinated Debentures (% of total)</t>
  </si>
  <si>
    <t>Sponsor Equity (% of total)</t>
  </si>
  <si>
    <t>Typical Debt Ceiling</t>
  </si>
  <si>
    <t>High Bid</t>
  </si>
  <si>
    <t>Projection Scenario Titles</t>
  </si>
  <si>
    <t>Purchase Premium &amp; Sources</t>
  </si>
  <si>
    <t>troubleshooting. Once a valid input has been provided the model should continue working.</t>
  </si>
  <si>
    <t xml:space="preserve">Iferror() formulas that resolve to -1 in the case of an error have been utilized to improve the model's resilience and avoid any </t>
  </si>
  <si>
    <r>
      <rPr>
        <b/>
        <sz val="12"/>
        <color theme="1"/>
        <rFont val="Calibri"/>
        <family val="2"/>
        <scheme val="minor"/>
      </rPr>
      <t>Hint:</t>
    </r>
    <r>
      <rPr>
        <sz val="12"/>
        <color theme="1"/>
        <rFont val="Calibri"/>
        <family val="2"/>
        <scheme val="minor"/>
      </rPr>
      <t xml:space="preserve"> You may view two or more worksheets simultaneously in the same excel document by using View --&gt; New Window.</t>
    </r>
  </si>
  <si>
    <t>Offer Price Per Share</t>
  </si>
  <si>
    <t>( × ) Purchase Premium</t>
  </si>
  <si>
    <t>Fully Diluted Shares Outstanding</t>
  </si>
  <si>
    <t>( × ) Offer Price Per Share</t>
  </si>
  <si>
    <t>( + ) Refinanced Debt</t>
  </si>
  <si>
    <t>Refinanced Debt</t>
  </si>
  <si>
    <t>( + ) Assumed Debt</t>
  </si>
  <si>
    <t>( - ) Remaining Cash on Balance Sheet (Cushion)</t>
  </si>
  <si>
    <t>( + ) Transaction Fees &amp; Expenses</t>
  </si>
  <si>
    <t>( × ) % Allocated to Intangibles</t>
  </si>
  <si>
    <t>( ÷ ) Amortization Period (Years)</t>
  </si>
  <si>
    <t>( - ) Book Value Acquired</t>
  </si>
  <si>
    <t>( - ) Intangible Asset Write-up</t>
  </si>
  <si>
    <t>( + ) Existing Goodwill</t>
  </si>
  <si>
    <t>Assumed Debt Issuances / (Repayments)</t>
  </si>
  <si>
    <t>Bank Revolver Issuances / (Repayments)</t>
  </si>
  <si>
    <t>Bank Term Loan Issuances / (Repayments)</t>
  </si>
  <si>
    <t>Subordinated Note Issuances / (Repayments)</t>
  </si>
  <si>
    <t>Other Current Assets</t>
  </si>
  <si>
    <t>Property and Equipment, Net</t>
  </si>
  <si>
    <t>New Goodwill</t>
  </si>
  <si>
    <t>New Intangible Assets</t>
  </si>
  <si>
    <t>Other Assets</t>
  </si>
  <si>
    <t>Other Current Liabilities</t>
  </si>
  <si>
    <t>Subordinated Note</t>
  </si>
  <si>
    <t>Deferred Income Taxes</t>
  </si>
  <si>
    <t>Other Liabilities</t>
  </si>
  <si>
    <t>Redeemable Noncontrolling Interest</t>
  </si>
  <si>
    <t>Bakery-café Sales, Net</t>
  </si>
  <si>
    <t>Franchise Royalties and Fees</t>
  </si>
  <si>
    <t>Fresh Dough and Other Product Sales to Franchisees</t>
  </si>
  <si>
    <t>Bakery-cafe Expenses:</t>
  </si>
  <si>
    <t>Cost of Food and Paper products</t>
  </si>
  <si>
    <t>Other Operating Expenses</t>
  </si>
  <si>
    <t>Total Bakery Cafe Expenses</t>
  </si>
  <si>
    <t>Fresh dough and Other Product Cost of Sales to Franchisees</t>
  </si>
  <si>
    <t>General and Administrative Expenses</t>
  </si>
  <si>
    <t>Pre-opening Expenses</t>
  </si>
  <si>
    <t>Amortization of Identifiable Intangible Assets</t>
  </si>
  <si>
    <t>Amortization of Deferred Financing Fees</t>
  </si>
  <si>
    <t>Less: Non-recurring Events</t>
  </si>
  <si>
    <t>Less: Income Attributable to Noncontrolling Interest</t>
  </si>
  <si>
    <t>G&amp;A as a % of Revenue</t>
  </si>
  <si>
    <t>Pre-opening Expenses as a % of Revenue</t>
  </si>
  <si>
    <t xml:space="preserve">Projection Scenario: </t>
  </si>
  <si>
    <t xml:space="preserve">Bid Scenario: </t>
  </si>
  <si>
    <t>Current Case</t>
  </si>
  <si>
    <t>Table Step</t>
  </si>
  <si>
    <t>Enterprise Value w/ Fees</t>
  </si>
  <si>
    <t>Scenario Manager</t>
  </si>
  <si>
    <t>Including Sponsor Fee</t>
  </si>
  <si>
    <t>Including Initial Fees</t>
  </si>
  <si>
    <t>Open Bid #1 Title</t>
  </si>
  <si>
    <t>Open Bid #2 Title</t>
  </si>
  <si>
    <t>Enterprise Value (Purchase Price)</t>
  </si>
  <si>
    <t>30-trading day VWAP (as of March 31, 2017)</t>
  </si>
  <si>
    <t>Open Bid #3 Title</t>
  </si>
  <si>
    <t>5 years</t>
  </si>
  <si>
    <t>15 years</t>
  </si>
  <si>
    <t>x FYE 2016 EV / EBITDA</t>
  </si>
  <si>
    <t>Maximum Total Debt</t>
  </si>
  <si>
    <t>Origination</t>
  </si>
  <si>
    <t>Maximum</t>
  </si>
  <si>
    <t>Amount ($)</t>
  </si>
  <si>
    <t>Loan Term</t>
  </si>
  <si>
    <t>( + ) In-The-Money Options and Warrants</t>
  </si>
  <si>
    <t>( - ) Proceeds From Liquidation of Options and Warrants</t>
  </si>
  <si>
    <t>Allocable Purchase Premium</t>
  </si>
  <si>
    <t>Please enable data table calculations. (File -&gt; Options -&gt; Formulas -&gt; Calculation Options -&gt; Workbook Calculation Automatic)</t>
  </si>
  <si>
    <t>Bank revolver</t>
  </si>
  <si>
    <t>Bank term Loan</t>
  </si>
  <si>
    <t>Subordinated debentures</t>
  </si>
  <si>
    <t>Note: Higher/Lower purchase premiums do not reflect an optimized capital structure and may violate debt covenants.</t>
  </si>
  <si>
    <t>Note: Higher/Lower sponsor equity values do not reflect an optimized capital structure and may violate debt covenants.</t>
  </si>
  <si>
    <t>Note: 2016 - Reduced pace of new bakery-café openings and completion of one-time refranchising of 150 company-owned bakery-cafés.</t>
  </si>
  <si>
    <t>Blaine Hurst appointed President</t>
  </si>
  <si>
    <t>Figure 1: Comparable Public Competitors</t>
  </si>
  <si>
    <t>Figure 2: Other Selected Competitors</t>
  </si>
  <si>
    <t>2Q</t>
  </si>
  <si>
    <t>3Q</t>
  </si>
  <si>
    <t>4Q</t>
  </si>
  <si>
    <t>1Q</t>
  </si>
  <si>
    <t>Corporate Acquisition</t>
  </si>
  <si>
    <t>Secondary Buyout</t>
  </si>
  <si>
    <t>Total Exit Value ($B)</t>
  </si>
  <si>
    <t>Exhibit 11: Percentage of US PE Exits by Type (Past Twelve Months)</t>
  </si>
  <si>
    <t>Company 10-k filings</t>
  </si>
  <si>
    <t>https://www.restaurantbusinessonline.com/top-500-2018?year=2017&amp;page=1#data-table</t>
  </si>
  <si>
    <t>(PE capital overhang ($B) by year and years of PE dry powder on hand)</t>
  </si>
  <si>
    <t xml:space="preserve">2017 Pitchbook PE &amp; VC Fundraising Annual Report </t>
  </si>
  <si>
    <t>PitchBook_3Q_2018_US_PE_Breakdown_Summary_XLS.xls</t>
  </si>
  <si>
    <t>PitchBook 3Q 2018 US PE Breakdown Summary</t>
  </si>
  <si>
    <t>Bain &amp; Company Global Private Equity Report 2018 table (p. 4)</t>
  </si>
  <si>
    <t>Note: Values estimated based on pixels in pdf.</t>
  </si>
  <si>
    <t>S&amp;P CapitalIQ LCD</t>
  </si>
  <si>
    <t>Exhibit 10: Average Debt/EBITDA for Large US LBO Transactions</t>
  </si>
  <si>
    <t>Note: Large LBO transactions are defined as issuers with EBITDA greater than $50 million. Ratios are not calculated cumulatively, unlike the given model.</t>
  </si>
  <si>
    <t>Pitchbook 3Q 2018 US PE Breakdown Summary</t>
  </si>
  <si>
    <t>http://www.mergentonline.com.turing.library.northwestern.edu/equitypricing.php?pagetype=report&amp;compnumber=66466</t>
  </si>
  <si>
    <t>Yahoo Finance ^GSPC</t>
  </si>
  <si>
    <t>Barclays, Credit Suisse, Morgan Stanley, UBS, Wells Fargo, Piper Jaffrey, and Guggenheim equity research reports retrieved from Thomson Reuters database.</t>
  </si>
  <si>
    <t>Company Schedule 14-A</t>
  </si>
  <si>
    <t>Exhibit 16: Panera Bread Same-Store Sales Growth</t>
  </si>
  <si>
    <t>Note: Panera Bread does not record franchise-operated net bakery-cafe sales as revenues.</t>
  </si>
  <si>
    <t>https://www.sec.gov/Archives/edgar/data/724606/000119312517189582/d366589ddefm14a.htm</t>
  </si>
  <si>
    <t xml:space="preserve"> Mergent Online</t>
  </si>
  <si>
    <t>Barclays, Credit Suisse, Morgan Stanley, UBS, Wells Fargo, Piper Jaffrey, and Guggenheim. Barclays, Credit Suisse, Deutsche Bank, Morgan Stanley, Piper Jaffray, UBS, and Wells Fargo equity research reports retrieved from Thomson Reuters databases.</t>
  </si>
  <si>
    <t>Thompson Reuters Consensus Estimates (via Morgan Stanley Equity Research Reports)</t>
  </si>
  <si>
    <t>Company 14-A 10-k Filings</t>
  </si>
  <si>
    <t>Created by the authors</t>
  </si>
  <si>
    <t>Exhibit 23: Available Debt-Financing Terms</t>
  </si>
  <si>
    <t>Exhibit 22: Panera Bread’s Historical EBITDA Multiples ($ in Millions)</t>
  </si>
  <si>
    <t>Exhibit 15: Management Estimates ($ in Millions)</t>
  </si>
  <si>
    <t>Exhibit 14: Mean Wall Street Consensus Estimates ($ in Millions)</t>
  </si>
  <si>
    <t>Exhibit 8: US PE Deals by Size ($ in Billions)</t>
  </si>
  <si>
    <t>Exhibit 5: PE Dry Powder ($ in Billions)</t>
  </si>
  <si>
    <t>Exhibit 2: Fast Casual 2016 US Sales by Menu Type</t>
  </si>
  <si>
    <t>Exhibit 1: US Limited-Service Revenues ($ in Billions)</t>
  </si>
  <si>
    <t>Low Bid</t>
  </si>
  <si>
    <t>KLG High Bid</t>
  </si>
  <si>
    <t>KLG Low Bid</t>
  </si>
  <si>
    <t>Wall Street Consensus:</t>
  </si>
  <si>
    <t>Revenue is projected to grow in line with analyst expectations (to 2021) and then fall in line with the historical (5-year CAGR) fast-casual segment growth rate.</t>
  </si>
  <si>
    <t>Profit levels recover to peek levels</t>
  </si>
  <si>
    <t>G&amp;A maintain, as gross margins recover</t>
  </si>
  <si>
    <t>Straight-line - don't expect store openings to substantially change</t>
  </si>
  <si>
    <t>Straight-line</t>
  </si>
  <si>
    <t xml:space="preserve">Capital Expenditures and Depreciation &amp; Amortization follow analyst projections (to 2021) before stabilizing in equilibrium. </t>
  </si>
  <si>
    <t>TAREA ALUMNO --&gt;  REVISAR/ANALIZAR</t>
  </si>
  <si>
    <t>TAREA ALUMNO --&gt;  COMPLETAR</t>
  </si>
  <si>
    <t>INPUT CELDA F344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</si>
</sst>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164" formatCode="[$-409]mmm\ d\,\ yyyy;@"/>
    <numFmt numFmtId="165" formatCode="0.0%"/>
    <numFmt numFmtId="166" formatCode="#,##0.0_);\(#,##0.0\)"/>
    <numFmt numFmtId="167" formatCode="&quot;$&quot;#,##0.0_);\(&quot;$&quot;#,##0.0\)"/>
    <numFmt numFmtId="168" formatCode="#,##0.0_);\(#,##0.0\);&quot;Yes&quot;"/>
    <numFmt numFmtId="169" formatCode="&quot;$&quot;#,##0.0_)\B\n;\(&quot;$&quot;#,##0.0\)"/>
    <numFmt numFmtId="170" formatCode="&quot;$&quot;#,##0"/>
    <numFmt numFmtId="171" formatCode="General\E"/>
    <numFmt numFmtId="172" formatCode="#,##0.000_);\(#,##0.000\)"/>
    <numFmt numFmtId="173" formatCode="#,##0.0\x_);\(#,##0.0\x\)"/>
    <numFmt numFmtId="174" formatCode="#,##0.00\x_);\(#,##0.00\x\)"/>
    <numFmt numFmtId="175" formatCode="yyyy"/>
    <numFmt numFmtId="176" formatCode="#,##0.000_);\(#,##0.000\);&quot;Yes&quot;"/>
    <numFmt numFmtId="177" formatCode="&quot;Yes&quot;;&quot;Error&quot;;&quot;No&quot;"/>
    <numFmt numFmtId="178" formatCode="&quot;$&quot;#,##0.00"/>
    <numFmt numFmtId="179" formatCode="General\A"/>
    <numFmt numFmtId="180" formatCode="[$-409]\ mmm\ dd\,\ yyyy"/>
    <numFmt numFmtId="181" formatCode="#,##0.0\x"/>
    <numFmt numFmtId="182" formatCode="#,##0.0"/>
    <numFmt numFmtId="183" formatCode="_(&quot;$&quot;* #,##0.0_);_(&quot;$&quot;* \(#,##0.0\);_(&quot;$&quot;* &quot;-&quot;?_);_(@_)"/>
    <numFmt numFmtId="184" formatCode="&quot;$&quot;#,##0.0"/>
  </numFmts>
  <fonts count="41" x14ac:knownFonts="1">
    <font>
      <sz val="12"/>
      <color theme="1"/>
      <name val="Calibri"/>
      <family val="2"/>
      <scheme val="minor"/>
    </font>
    <font>
      <b/>
      <sz val="12"/>
      <color rgb="FF000000"/>
      <name val="Helvetica"/>
      <family val="2"/>
    </font>
    <font>
      <sz val="12"/>
      <color rgb="FF000000"/>
      <name val="Helvetica"/>
      <family val="2"/>
    </font>
    <font>
      <b/>
      <sz val="12"/>
      <color theme="1"/>
      <name val="Helvetica"/>
      <family val="2"/>
    </font>
    <font>
      <sz val="12"/>
      <color theme="1"/>
      <name val="Helvetica"/>
      <family val="2"/>
    </font>
    <font>
      <u/>
      <sz val="12"/>
      <color theme="10"/>
      <name val="Calibri"/>
      <family val="2"/>
      <scheme val="minor"/>
    </font>
    <font>
      <b/>
      <sz val="12"/>
      <color theme="1"/>
      <name val="Calibri"/>
      <family val="2"/>
      <scheme val="minor"/>
    </font>
    <font>
      <sz val="12"/>
      <color rgb="FF0000FF"/>
      <name val="Calibri"/>
      <family val="2"/>
      <scheme val="minor"/>
    </font>
    <font>
      <i/>
      <sz val="12"/>
      <color theme="1"/>
      <name val="Calibri"/>
      <family val="2"/>
      <scheme val="minor"/>
    </font>
    <font>
      <vertAlign val="superscript"/>
      <sz val="10"/>
      <color theme="1"/>
      <name val="Calibri"/>
      <family val="2"/>
      <scheme val="minor"/>
    </font>
    <font>
      <sz val="10"/>
      <color theme="1"/>
      <name val="Calibri"/>
      <family val="2"/>
      <scheme val="minor"/>
    </font>
    <font>
      <sz val="12"/>
      <color rgb="FF008000"/>
      <name val="Calibri"/>
      <family val="2"/>
      <scheme val="minor"/>
    </font>
    <font>
      <b/>
      <sz val="12"/>
      <color rgb="FFFF0000"/>
      <name val="Calibri"/>
      <family val="2"/>
      <scheme val="minor"/>
    </font>
    <font>
      <b/>
      <u/>
      <sz val="10"/>
      <color theme="1"/>
      <name val="Calibri"/>
      <family val="2"/>
      <scheme val="minor"/>
    </font>
    <font>
      <b/>
      <sz val="10"/>
      <color theme="1"/>
      <name val="Calibri"/>
      <family val="2"/>
      <scheme val="minor"/>
    </font>
    <font>
      <i/>
      <sz val="10"/>
      <color theme="1"/>
      <name val="Calibri"/>
      <family val="2"/>
      <scheme val="minor"/>
    </font>
    <font>
      <sz val="10"/>
      <color rgb="FF0000FF"/>
      <name val="Calibri"/>
      <family val="2"/>
      <scheme val="minor"/>
    </font>
    <font>
      <sz val="10"/>
      <name val="Calibri"/>
      <family val="2"/>
      <scheme val="minor"/>
    </font>
    <font>
      <u/>
      <sz val="10"/>
      <color rgb="FF0000FF"/>
      <name val="Calibri"/>
      <family val="2"/>
      <scheme val="minor"/>
    </font>
    <font>
      <u/>
      <sz val="10"/>
      <name val="Calibri"/>
      <family val="2"/>
      <scheme val="minor"/>
    </font>
    <font>
      <u/>
      <sz val="10"/>
      <color theme="1"/>
      <name val="Calibri"/>
      <family val="2"/>
      <scheme val="minor"/>
    </font>
    <font>
      <b/>
      <u/>
      <sz val="10"/>
      <color theme="0"/>
      <name val="Calibri"/>
      <family val="2"/>
      <scheme val="minor"/>
    </font>
    <font>
      <sz val="10"/>
      <color theme="0"/>
      <name val="Calibri"/>
      <family val="2"/>
      <scheme val="minor"/>
    </font>
    <font>
      <b/>
      <u/>
      <sz val="12"/>
      <color theme="0"/>
      <name val="Calibri"/>
      <family val="2"/>
      <scheme val="minor"/>
    </font>
    <font>
      <sz val="12"/>
      <color theme="0"/>
      <name val="Calibri"/>
      <family val="2"/>
      <scheme val="minor"/>
    </font>
    <font>
      <b/>
      <sz val="12"/>
      <color theme="0"/>
      <name val="Calibri"/>
      <family val="2"/>
      <scheme val="minor"/>
    </font>
    <font>
      <sz val="10"/>
      <color rgb="FF000000"/>
      <name val="Calibri"/>
      <family val="2"/>
      <scheme val="minor"/>
    </font>
    <font>
      <b/>
      <i/>
      <sz val="10"/>
      <color theme="1"/>
      <name val="Calibri"/>
      <family val="2"/>
      <scheme val="minor"/>
    </font>
    <font>
      <i/>
      <sz val="10"/>
      <color rgb="FF0000FF"/>
      <name val="Calibri"/>
      <family val="2"/>
      <scheme val="minor"/>
    </font>
    <font>
      <b/>
      <sz val="10"/>
      <color rgb="FFFF0000"/>
      <name val="Calibri"/>
      <family val="2"/>
      <scheme val="minor"/>
    </font>
    <font>
      <b/>
      <sz val="10"/>
      <color rgb="FF000000"/>
      <name val="Calibri"/>
      <family val="2"/>
      <scheme val="minor"/>
    </font>
    <font>
      <b/>
      <u val="singleAccounting"/>
      <sz val="10"/>
      <color theme="1"/>
      <name val="Calibri"/>
      <family val="2"/>
      <scheme val="minor"/>
    </font>
    <font>
      <sz val="12"/>
      <color theme="1"/>
      <name val="Calibri"/>
      <family val="2"/>
      <scheme val="minor"/>
    </font>
    <font>
      <vertAlign val="superscript"/>
      <sz val="12"/>
      <color theme="1"/>
      <name val="Calibri"/>
      <family val="2"/>
      <scheme val="minor"/>
    </font>
    <font>
      <sz val="8"/>
      <color theme="1"/>
      <name val="Calibri"/>
      <family val="2"/>
      <scheme val="minor"/>
    </font>
    <font>
      <b/>
      <sz val="10"/>
      <name val="Calibri"/>
      <family val="2"/>
      <scheme val="minor"/>
    </font>
    <font>
      <b/>
      <sz val="10"/>
      <color theme="0"/>
      <name val="Calibri"/>
      <family val="2"/>
      <scheme val="minor"/>
    </font>
    <font>
      <u/>
      <sz val="10"/>
      <color rgb="FF0070C0"/>
      <name val="Calibri"/>
      <family val="2"/>
      <scheme val="minor"/>
    </font>
    <font>
      <sz val="10"/>
      <color rgb="FF0070C0"/>
      <name val="Calibri"/>
      <family val="2"/>
      <scheme val="minor"/>
    </font>
    <font>
      <b/>
      <sz val="11"/>
      <color rgb="FF0070C0"/>
      <name val="Calibri"/>
      <family val="2"/>
      <scheme val="minor"/>
    </font>
    <font>
      <b/>
      <u/>
      <sz val="10"/>
      <color rgb="FF0070C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DDEFFF"/>
        <bgColor indexed="64"/>
      </patternFill>
    </fill>
    <fill>
      <patternFill patternType="solid">
        <fgColor rgb="FFAACCFF"/>
        <bgColor indexed="64"/>
      </patternFill>
    </fill>
    <fill>
      <patternFill patternType="solid">
        <fgColor rgb="FF333399"/>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2CC"/>
        <bgColor indexed="64"/>
      </patternFill>
    </fill>
  </fills>
  <borders count="48">
    <border>
      <left/>
      <right/>
      <top/>
      <bottom/>
      <diagonal/>
    </border>
    <border>
      <left/>
      <right/>
      <top/>
      <bottom style="thin">
        <color theme="0"/>
      </bottom>
      <diagonal/>
    </border>
    <border>
      <left/>
      <right style="thin">
        <color theme="0"/>
      </right>
      <top/>
      <bottom/>
      <diagonal/>
    </border>
    <border>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1"/>
      </bottom>
      <diagonal/>
    </border>
    <border>
      <left style="thin">
        <color theme="0"/>
      </left>
      <right style="thin">
        <color theme="0"/>
      </right>
      <top style="thin">
        <color theme="1"/>
      </top>
      <bottom style="thin">
        <color theme="1"/>
      </bottom>
      <diagonal/>
    </border>
    <border>
      <left style="thin">
        <color theme="0"/>
      </left>
      <right style="thin">
        <color theme="0"/>
      </right>
      <top style="thin">
        <color theme="0"/>
      </top>
      <bottom style="thin">
        <color indexed="64"/>
      </bottom>
      <diagonal/>
    </border>
    <border>
      <left style="thin">
        <color theme="0"/>
      </left>
      <right style="thin">
        <color theme="0"/>
      </right>
      <top/>
      <bottom style="thin">
        <color theme="1"/>
      </bottom>
      <diagonal/>
    </border>
    <border>
      <left style="thin">
        <color theme="0"/>
      </left>
      <right/>
      <top/>
      <bottom style="thin">
        <color theme="0"/>
      </bottom>
      <diagonal/>
    </border>
    <border>
      <left style="thin">
        <color theme="0"/>
      </left>
      <right/>
      <top style="thin">
        <color theme="0"/>
      </top>
      <bottom style="thin">
        <color theme="1"/>
      </bottom>
      <diagonal/>
    </border>
    <border>
      <left style="thin">
        <color theme="0"/>
      </left>
      <right/>
      <top style="thin">
        <color theme="1"/>
      </top>
      <bottom style="thin">
        <color theme="1"/>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right/>
      <top style="thin">
        <color indexed="64"/>
      </top>
      <bottom style="double">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bottom style="medium">
        <color indexed="64"/>
      </bottom>
      <diagonal/>
    </border>
    <border>
      <left/>
      <right/>
      <top style="thin">
        <color theme="0" tint="-0.249977111117893"/>
      </top>
      <bottom style="thin">
        <color indexed="64"/>
      </bottom>
      <diagonal/>
    </border>
    <border>
      <left/>
      <right/>
      <top style="thin">
        <color theme="0" tint="-0.249977111117893"/>
      </top>
      <bottom/>
      <diagonal/>
    </border>
    <border>
      <left/>
      <right style="thin">
        <color indexed="64"/>
      </right>
      <top style="medium">
        <color indexed="64"/>
      </top>
      <bottom/>
      <diagonal/>
    </border>
    <border>
      <left/>
      <right style="thin">
        <color indexed="64"/>
      </right>
      <top style="thin">
        <color theme="0" tint="-0.249977111117893"/>
      </top>
      <bottom style="thin">
        <color indexed="64"/>
      </bottom>
      <diagonal/>
    </border>
    <border>
      <left/>
      <right style="thin">
        <color indexed="64"/>
      </right>
      <top/>
      <bottom style="medium">
        <color indexed="64"/>
      </bottom>
      <diagonal/>
    </border>
    <border>
      <left/>
      <right style="thin">
        <color indexed="64"/>
      </right>
      <top style="thin">
        <color theme="0" tint="-0.249977111117893"/>
      </top>
      <bottom/>
      <diagonal/>
    </border>
    <border>
      <left/>
      <right/>
      <top style="thin">
        <color theme="0" tint="-0.24994659260841701"/>
      </top>
      <bottom/>
      <diagonal/>
    </border>
    <border>
      <left/>
      <right style="thin">
        <color indexed="64"/>
      </right>
      <top style="thin">
        <color theme="0" tint="-0.24994659260841701"/>
      </top>
      <bottom/>
      <diagonal/>
    </border>
    <border>
      <left/>
      <right/>
      <top style="thin">
        <color theme="0" tint="-0.249977111117893"/>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bottom style="thin">
        <color theme="0" tint="-0.24994659260841701"/>
      </bottom>
      <diagonal/>
    </border>
    <border>
      <left/>
      <right/>
      <top style="thin">
        <color theme="0" tint="-0.24994659260841701"/>
      </top>
      <bottom style="medium">
        <color auto="1"/>
      </bottom>
      <diagonal/>
    </border>
    <border>
      <left style="thin">
        <color indexed="64"/>
      </left>
      <right/>
      <top/>
      <bottom style="medium">
        <color indexed="64"/>
      </bottom>
      <diagonal/>
    </border>
    <border>
      <left/>
      <right/>
      <top style="medium">
        <color auto="1"/>
      </top>
      <bottom/>
      <diagonal/>
    </border>
    <border>
      <left style="thin">
        <color indexed="64"/>
      </left>
      <right/>
      <top style="thin">
        <color theme="0" tint="-0.24994659260841701"/>
      </top>
      <bottom/>
      <diagonal/>
    </border>
    <border>
      <left/>
      <right/>
      <top style="medium">
        <color indexed="64"/>
      </top>
      <bottom style="medium">
        <color indexed="64"/>
      </bottom>
      <diagonal/>
    </border>
    <border>
      <left/>
      <right style="thin">
        <color indexed="64"/>
      </right>
      <top style="thin">
        <color theme="0" tint="-0.24994659260841701"/>
      </top>
      <bottom style="medium">
        <color indexed="64"/>
      </bottom>
      <diagonal/>
    </border>
  </borders>
  <cellStyleXfs count="3">
    <xf numFmtId="0" fontId="0" fillId="0" borderId="0"/>
    <xf numFmtId="0" fontId="5" fillId="0" borderId="0" applyNumberFormat="0" applyFill="0" applyBorder="0" applyAlignment="0" applyProtection="0"/>
    <xf numFmtId="0" fontId="32" fillId="0" borderId="0"/>
  </cellStyleXfs>
  <cellXfs count="548">
    <xf numFmtId="0" fontId="0" fillId="0" borderId="0" xfId="0"/>
    <xf numFmtId="164" fontId="1" fillId="2" borderId="0" xfId="0" applyNumberFormat="1" applyFont="1" applyFill="1" applyAlignment="1">
      <alignment horizontal="center"/>
    </xf>
    <xf numFmtId="37" fontId="1" fillId="3" borderId="4" xfId="0" applyNumberFormat="1" applyFont="1" applyFill="1" applyBorder="1" applyAlignment="1">
      <alignment vertical="center"/>
    </xf>
    <xf numFmtId="5" fontId="2" fillId="2" borderId="4" xfId="0" applyNumberFormat="1" applyFont="1" applyFill="1" applyBorder="1" applyAlignment="1">
      <alignment vertical="center"/>
    </xf>
    <xf numFmtId="37" fontId="2" fillId="3" borderId="4" xfId="0" applyNumberFormat="1" applyFont="1" applyFill="1" applyBorder="1" applyAlignment="1">
      <alignment vertical="center"/>
    </xf>
    <xf numFmtId="37" fontId="2" fillId="2" borderId="4" xfId="0" applyNumberFormat="1" applyFont="1" applyFill="1" applyBorder="1" applyAlignment="1">
      <alignment vertical="center"/>
    </xf>
    <xf numFmtId="37" fontId="2" fillId="2" borderId="8" xfId="0" applyNumberFormat="1" applyFont="1" applyFill="1" applyBorder="1" applyAlignment="1">
      <alignment vertical="center"/>
    </xf>
    <xf numFmtId="37" fontId="2" fillId="3" borderId="6" xfId="0" applyNumberFormat="1" applyFont="1" applyFill="1" applyBorder="1" applyAlignment="1">
      <alignment vertical="center"/>
    </xf>
    <xf numFmtId="37" fontId="2" fillId="3" borderId="9" xfId="0" applyNumberFormat="1" applyFont="1" applyFill="1" applyBorder="1" applyAlignment="1">
      <alignment vertical="center"/>
    </xf>
    <xf numFmtId="37" fontId="2" fillId="2" borderId="6" xfId="0" applyNumberFormat="1" applyFont="1" applyFill="1" applyBorder="1" applyAlignment="1">
      <alignment vertical="center"/>
    </xf>
    <xf numFmtId="5" fontId="2" fillId="2" borderId="8" xfId="0" applyNumberFormat="1" applyFont="1" applyFill="1" applyBorder="1" applyAlignment="1">
      <alignment vertical="center"/>
    </xf>
    <xf numFmtId="7" fontId="2" fillId="3" borderId="4" xfId="0" applyNumberFormat="1" applyFont="1" applyFill="1" applyBorder="1" applyAlignment="1">
      <alignment vertical="center"/>
    </xf>
    <xf numFmtId="7" fontId="2" fillId="2" borderId="4" xfId="0" applyNumberFormat="1" applyFont="1" applyFill="1" applyBorder="1" applyAlignment="1">
      <alignment vertical="center"/>
    </xf>
    <xf numFmtId="37" fontId="3" fillId="2" borderId="0" xfId="0" applyNumberFormat="1" applyFont="1" applyFill="1"/>
    <xf numFmtId="37" fontId="3" fillId="4" borderId="2" xfId="0" applyNumberFormat="1" applyFont="1" applyFill="1" applyBorder="1" applyAlignment="1">
      <alignment horizontal="center" wrapText="1"/>
    </xf>
    <xf numFmtId="37" fontId="3" fillId="4" borderId="1" xfId="0" applyNumberFormat="1" applyFont="1" applyFill="1" applyBorder="1" applyAlignment="1">
      <alignment horizontal="centerContinuous"/>
    </xf>
    <xf numFmtId="37" fontId="3" fillId="4" borderId="3" xfId="0" applyNumberFormat="1" applyFont="1" applyFill="1" applyBorder="1" applyAlignment="1">
      <alignment horizontal="center" wrapText="1"/>
    </xf>
    <xf numFmtId="164" fontId="1" fillId="4" borderId="1" xfId="0" applyNumberFormat="1" applyFont="1" applyFill="1" applyBorder="1" applyAlignment="1">
      <alignment horizontal="center"/>
    </xf>
    <xf numFmtId="37" fontId="4" fillId="2" borderId="0" xfId="0" applyNumberFormat="1" applyFont="1" applyFill="1"/>
    <xf numFmtId="37" fontId="3" fillId="3" borderId="4" xfId="0" applyNumberFormat="1" applyFont="1" applyFill="1" applyBorder="1" applyAlignment="1">
      <alignment wrapText="1"/>
    </xf>
    <xf numFmtId="37" fontId="4" fillId="2" borderId="4" xfId="0" applyNumberFormat="1" applyFont="1" applyFill="1" applyBorder="1" applyAlignment="1">
      <alignment wrapText="1"/>
    </xf>
    <xf numFmtId="37" fontId="4" fillId="3" borderId="4" xfId="0" applyNumberFormat="1" applyFont="1" applyFill="1" applyBorder="1" applyAlignment="1">
      <alignment wrapText="1"/>
    </xf>
    <xf numFmtId="37" fontId="3" fillId="2" borderId="4" xfId="0" applyNumberFormat="1" applyFont="1" applyFill="1" applyBorder="1" applyAlignment="1">
      <alignment wrapText="1"/>
    </xf>
    <xf numFmtId="37" fontId="3" fillId="4" borderId="5" xfId="0" applyNumberFormat="1" applyFont="1" applyFill="1" applyBorder="1" applyAlignment="1">
      <alignment horizontal="center" wrapText="1"/>
    </xf>
    <xf numFmtId="37" fontId="3" fillId="4" borderId="4" xfId="0" applyNumberFormat="1" applyFont="1" applyFill="1" applyBorder="1" applyAlignment="1">
      <alignment horizontal="centerContinuous"/>
    </xf>
    <xf numFmtId="37" fontId="3" fillId="4" borderId="6" xfId="0" applyNumberFormat="1" applyFont="1" applyFill="1" applyBorder="1" applyAlignment="1">
      <alignment horizontal="center" wrapText="1"/>
    </xf>
    <xf numFmtId="164" fontId="1" fillId="4" borderId="4" xfId="0" applyNumberFormat="1" applyFont="1" applyFill="1" applyBorder="1" applyAlignment="1">
      <alignment horizontal="center"/>
    </xf>
    <xf numFmtId="37" fontId="3" fillId="3" borderId="0" xfId="0" applyNumberFormat="1" applyFont="1" applyFill="1" applyAlignment="1">
      <alignment wrapText="1"/>
    </xf>
    <xf numFmtId="37" fontId="4" fillId="3" borderId="0" xfId="0" applyNumberFormat="1" applyFont="1" applyFill="1"/>
    <xf numFmtId="37" fontId="4" fillId="2" borderId="0" xfId="0" applyNumberFormat="1" applyFont="1" applyFill="1" applyAlignment="1">
      <alignment wrapText="1"/>
    </xf>
    <xf numFmtId="5" fontId="4" fillId="2" borderId="0" xfId="0" applyNumberFormat="1" applyFont="1" applyFill="1"/>
    <xf numFmtId="37" fontId="4" fillId="3" borderId="0" xfId="0" applyNumberFormat="1" applyFont="1" applyFill="1" applyAlignment="1">
      <alignment wrapText="1"/>
    </xf>
    <xf numFmtId="37" fontId="3" fillId="2" borderId="0" xfId="0" applyNumberFormat="1" applyFont="1" applyFill="1" applyAlignment="1">
      <alignment wrapText="1"/>
    </xf>
    <xf numFmtId="37" fontId="4" fillId="3" borderId="4" xfId="0" applyNumberFormat="1" applyFont="1" applyFill="1" applyBorder="1"/>
    <xf numFmtId="37" fontId="4" fillId="2" borderId="4" xfId="0" applyNumberFormat="1" applyFont="1" applyFill="1" applyBorder="1"/>
    <xf numFmtId="37" fontId="3" fillId="3" borderId="10" xfId="0" applyNumberFormat="1" applyFont="1" applyFill="1" applyBorder="1"/>
    <xf numFmtId="37" fontId="4" fillId="2" borderId="8" xfId="0" applyNumberFormat="1" applyFont="1" applyFill="1" applyBorder="1"/>
    <xf numFmtId="37" fontId="4" fillId="3" borderId="6" xfId="0" applyNumberFormat="1" applyFont="1" applyFill="1" applyBorder="1"/>
    <xf numFmtId="37" fontId="4" fillId="3" borderId="11" xfId="0" applyNumberFormat="1" applyFont="1" applyFill="1" applyBorder="1"/>
    <xf numFmtId="37" fontId="4" fillId="2" borderId="6" xfId="0" applyNumberFormat="1" applyFont="1" applyFill="1" applyBorder="1"/>
    <xf numFmtId="5" fontId="4" fillId="3" borderId="4" xfId="0" applyNumberFormat="1" applyFont="1" applyFill="1" applyBorder="1"/>
    <xf numFmtId="164" fontId="1" fillId="4" borderId="7" xfId="0" applyNumberFormat="1" applyFont="1" applyFill="1" applyBorder="1" applyAlignment="1">
      <alignment horizontal="center"/>
    </xf>
    <xf numFmtId="37" fontId="4" fillId="3" borderId="7" xfId="0" applyNumberFormat="1" applyFont="1" applyFill="1" applyBorder="1"/>
    <xf numFmtId="5" fontId="4" fillId="2" borderId="4" xfId="0" applyNumberFormat="1" applyFont="1" applyFill="1" applyBorder="1"/>
    <xf numFmtId="5" fontId="4" fillId="2" borderId="7" xfId="0" applyNumberFormat="1" applyFont="1" applyFill="1" applyBorder="1"/>
    <xf numFmtId="37" fontId="4" fillId="2" borderId="7" xfId="0" applyNumberFormat="1" applyFont="1" applyFill="1" applyBorder="1"/>
    <xf numFmtId="37" fontId="4" fillId="3" borderId="8" xfId="0" applyNumberFormat="1" applyFont="1" applyFill="1" applyBorder="1"/>
    <xf numFmtId="37" fontId="4" fillId="3" borderId="13" xfId="0" applyNumberFormat="1" applyFont="1" applyFill="1" applyBorder="1"/>
    <xf numFmtId="37" fontId="4" fillId="2" borderId="12" xfId="0" applyNumberFormat="1" applyFont="1" applyFill="1" applyBorder="1"/>
    <xf numFmtId="37" fontId="4" fillId="2" borderId="9" xfId="0" applyNumberFormat="1" applyFont="1" applyFill="1" applyBorder="1"/>
    <xf numFmtId="37" fontId="4" fillId="2" borderId="14" xfId="0" applyNumberFormat="1" applyFont="1" applyFill="1" applyBorder="1"/>
    <xf numFmtId="37" fontId="4" fillId="3" borderId="12" xfId="0" applyNumberFormat="1" applyFont="1" applyFill="1" applyBorder="1"/>
    <xf numFmtId="37" fontId="4" fillId="2" borderId="13" xfId="0" applyNumberFormat="1" applyFont="1" applyFill="1" applyBorder="1"/>
    <xf numFmtId="37" fontId="3" fillId="4" borderId="4" xfId="0" applyNumberFormat="1" applyFont="1" applyFill="1" applyBorder="1" applyAlignment="1">
      <alignment wrapText="1"/>
    </xf>
    <xf numFmtId="37" fontId="4" fillId="4" borderId="6" xfId="0" applyNumberFormat="1" applyFont="1" applyFill="1" applyBorder="1"/>
    <xf numFmtId="37" fontId="4" fillId="4" borderId="12" xfId="0" applyNumberFormat="1" applyFont="1" applyFill="1" applyBorder="1"/>
    <xf numFmtId="37" fontId="3" fillId="3" borderId="4" xfId="0" applyNumberFormat="1" applyFont="1" applyFill="1" applyBorder="1"/>
    <xf numFmtId="37" fontId="3" fillId="3" borderId="7" xfId="0" applyNumberFormat="1" applyFont="1" applyFill="1" applyBorder="1"/>
    <xf numFmtId="37" fontId="3" fillId="4" borderId="4" xfId="0" applyNumberFormat="1" applyFont="1" applyFill="1" applyBorder="1"/>
    <xf numFmtId="37" fontId="3" fillId="4" borderId="7" xfId="0" applyNumberFormat="1" applyFont="1" applyFill="1" applyBorder="1"/>
    <xf numFmtId="5" fontId="4" fillId="3" borderId="7" xfId="0" applyNumberFormat="1" applyFont="1" applyFill="1" applyBorder="1"/>
    <xf numFmtId="37" fontId="3" fillId="4" borderId="4" xfId="0" applyNumberFormat="1" applyFont="1" applyFill="1" applyBorder="1" applyAlignment="1">
      <alignment horizontal="centerContinuous" vertical="center"/>
    </xf>
    <xf numFmtId="0" fontId="0" fillId="2" borderId="0" xfId="0" applyFill="1"/>
    <xf numFmtId="5" fontId="0" fillId="2" borderId="0" xfId="0" applyNumberFormat="1" applyFill="1"/>
    <xf numFmtId="165" fontId="0" fillId="2" borderId="0" xfId="0" applyNumberFormat="1" applyFill="1"/>
    <xf numFmtId="0" fontId="5" fillId="2" borderId="0" xfId="1" applyFill="1"/>
    <xf numFmtId="166" fontId="0" fillId="2" borderId="0" xfId="0" applyNumberFormat="1" applyFill="1"/>
    <xf numFmtId="166" fontId="0" fillId="2" borderId="15" xfId="0" applyNumberFormat="1" applyFill="1" applyBorder="1"/>
    <xf numFmtId="166" fontId="0" fillId="2" borderId="16" xfId="0" applyNumberFormat="1" applyFill="1" applyBorder="1"/>
    <xf numFmtId="166" fontId="6" fillId="2" borderId="0" xfId="0" applyNumberFormat="1" applyFont="1" applyFill="1"/>
    <xf numFmtId="166" fontId="0" fillId="2" borderId="0" xfId="0" applyNumberFormat="1" applyFill="1" applyAlignment="1">
      <alignment horizontal="right"/>
    </xf>
    <xf numFmtId="166" fontId="0" fillId="2" borderId="0" xfId="0" applyNumberFormat="1" applyFill="1" applyAlignment="1">
      <alignment horizontal="left" indent="1"/>
    </xf>
    <xf numFmtId="166" fontId="6" fillId="2" borderId="15" xfId="0" applyNumberFormat="1" applyFont="1" applyFill="1" applyBorder="1"/>
    <xf numFmtId="167" fontId="0" fillId="2" borderId="0" xfId="0" applyNumberFormat="1" applyFill="1"/>
    <xf numFmtId="166" fontId="0" fillId="2" borderId="0" xfId="0" applyNumberFormat="1" applyFill="1" applyAlignment="1">
      <alignment horizontal="left"/>
    </xf>
    <xf numFmtId="166" fontId="7" fillId="2" borderId="0" xfId="0" applyNumberFormat="1" applyFont="1" applyFill="1"/>
    <xf numFmtId="0" fontId="6" fillId="2" borderId="15" xfId="0" applyFont="1" applyFill="1" applyBorder="1" applyAlignment="1">
      <alignment horizontal="center"/>
    </xf>
    <xf numFmtId="0" fontId="6" fillId="2" borderId="15" xfId="0" applyFont="1" applyFill="1" applyBorder="1"/>
    <xf numFmtId="9" fontId="0" fillId="2" borderId="0" xfId="0" applyNumberFormat="1" applyFill="1"/>
    <xf numFmtId="166" fontId="6" fillId="2" borderId="15" xfId="0" applyNumberFormat="1" applyFont="1" applyFill="1" applyBorder="1" applyAlignment="1">
      <alignment horizontal="center"/>
    </xf>
    <xf numFmtId="0" fontId="6" fillId="2" borderId="17" xfId="0" applyFont="1" applyFill="1" applyBorder="1" applyAlignment="1">
      <alignment horizontal="center"/>
    </xf>
    <xf numFmtId="0" fontId="6" fillId="2" borderId="16" xfId="0" applyFont="1" applyFill="1" applyBorder="1"/>
    <xf numFmtId="0" fontId="6" fillId="2" borderId="16" xfId="0" applyFont="1" applyFill="1" applyBorder="1" applyAlignment="1">
      <alignment horizontal="center"/>
    </xf>
    <xf numFmtId="166" fontId="6" fillId="2" borderId="0" xfId="0" applyNumberFormat="1" applyFont="1" applyFill="1" applyAlignment="1">
      <alignment horizontal="center"/>
    </xf>
    <xf numFmtId="166" fontId="6" fillId="2" borderId="17" xfId="0" applyNumberFormat="1" applyFont="1" applyFill="1" applyBorder="1" applyAlignment="1">
      <alignment horizontal="center"/>
    </xf>
    <xf numFmtId="169" fontId="0" fillId="2" borderId="0" xfId="0" applyNumberFormat="1" applyFill="1"/>
    <xf numFmtId="166" fontId="6" fillId="2" borderId="16" xfId="0" applyNumberFormat="1" applyFont="1" applyFill="1" applyBorder="1" applyAlignment="1">
      <alignment horizontal="center"/>
    </xf>
    <xf numFmtId="37" fontId="0" fillId="2" borderId="0" xfId="0" applyNumberFormat="1" applyFill="1"/>
    <xf numFmtId="0" fontId="8" fillId="2" borderId="0" xfId="0" applyFont="1" applyFill="1" applyAlignment="1">
      <alignment horizontal="left" indent="1"/>
    </xf>
    <xf numFmtId="0" fontId="8" fillId="2" borderId="0" xfId="0" applyFont="1" applyFill="1"/>
    <xf numFmtId="165" fontId="8" fillId="2" borderId="0" xfId="0" applyNumberFormat="1" applyFont="1" applyFill="1"/>
    <xf numFmtId="0" fontId="0" fillId="2" borderId="18" xfId="0" applyFill="1" applyBorder="1"/>
    <xf numFmtId="10" fontId="0" fillId="2" borderId="18" xfId="0" applyNumberFormat="1" applyFill="1" applyBorder="1"/>
    <xf numFmtId="165" fontId="0" fillId="2" borderId="18" xfId="0" applyNumberFormat="1" applyFill="1" applyBorder="1"/>
    <xf numFmtId="0" fontId="6" fillId="2" borderId="18" xfId="0" applyFont="1" applyFill="1" applyBorder="1"/>
    <xf numFmtId="166" fontId="6" fillId="2" borderId="19" xfId="0" applyNumberFormat="1" applyFont="1" applyFill="1" applyBorder="1"/>
    <xf numFmtId="0" fontId="6" fillId="2" borderId="0" xfId="0" applyFont="1" applyFill="1"/>
    <xf numFmtId="37" fontId="0" fillId="2" borderId="18" xfId="0" applyNumberFormat="1" applyFill="1" applyBorder="1"/>
    <xf numFmtId="166" fontId="8" fillId="2" borderId="18" xfId="0" applyNumberFormat="1" applyFont="1" applyFill="1" applyBorder="1" applyAlignment="1">
      <alignment horizontal="left" indent="1"/>
    </xf>
    <xf numFmtId="165" fontId="8" fillId="2" borderId="18" xfId="0" applyNumberFormat="1" applyFont="1" applyFill="1" applyBorder="1"/>
    <xf numFmtId="169" fontId="6" fillId="2" borderId="19" xfId="0" applyNumberFormat="1" applyFont="1" applyFill="1" applyBorder="1"/>
    <xf numFmtId="9" fontId="0" fillId="2" borderId="18" xfId="0" applyNumberFormat="1" applyFill="1" applyBorder="1"/>
    <xf numFmtId="0" fontId="10" fillId="2" borderId="0" xfId="0" applyFont="1" applyFill="1"/>
    <xf numFmtId="0" fontId="6" fillId="2" borderId="15" xfId="0" applyFont="1" applyFill="1" applyBorder="1" applyAlignment="1">
      <alignment horizontal="centerContinuous"/>
    </xf>
    <xf numFmtId="0" fontId="6" fillId="2" borderId="17" xfId="0" applyFont="1" applyFill="1" applyBorder="1" applyAlignment="1">
      <alignment horizontal="centerContinuous"/>
    </xf>
    <xf numFmtId="0" fontId="0" fillId="2" borderId="0" xfId="0" applyFill="1" applyAlignment="1">
      <alignment horizontal="center"/>
    </xf>
    <xf numFmtId="10" fontId="0" fillId="2" borderId="0" xfId="0" applyNumberFormat="1" applyFill="1"/>
    <xf numFmtId="0" fontId="6" fillId="2" borderId="16" xfId="0" applyFont="1" applyFill="1" applyBorder="1" applyAlignment="1">
      <alignment horizontal="left"/>
    </xf>
    <xf numFmtId="166" fontId="0" fillId="2" borderId="0" xfId="0" applyNumberFormat="1" applyFill="1" applyAlignment="1">
      <alignment horizontal="center"/>
    </xf>
    <xf numFmtId="0" fontId="0" fillId="2" borderId="0" xfId="0" applyFill="1" applyAlignment="1">
      <alignment horizontal="left" indent="1"/>
    </xf>
    <xf numFmtId="171" fontId="6" fillId="2" borderId="16" xfId="0" applyNumberFormat="1" applyFont="1" applyFill="1" applyBorder="1" applyAlignment="1">
      <alignment horizontal="center"/>
    </xf>
    <xf numFmtId="166" fontId="0" fillId="2" borderId="18" xfId="0" applyNumberFormat="1" applyFill="1" applyBorder="1"/>
    <xf numFmtId="10" fontId="0" fillId="2" borderId="0" xfId="0" applyNumberFormat="1" applyFill="1" applyAlignment="1">
      <alignment horizontal="center"/>
    </xf>
    <xf numFmtId="166" fontId="8" fillId="2" borderId="0" xfId="0" applyNumberFormat="1" applyFont="1" applyFill="1"/>
    <xf numFmtId="8" fontId="0" fillId="2" borderId="0" xfId="0" applyNumberFormat="1" applyFill="1"/>
    <xf numFmtId="166" fontId="6" fillId="2" borderId="18" xfId="0" applyNumberFormat="1" applyFont="1" applyFill="1" applyBorder="1"/>
    <xf numFmtId="166" fontId="8" fillId="2" borderId="0" xfId="0" applyNumberFormat="1" applyFont="1" applyFill="1" applyAlignment="1">
      <alignment horizontal="left" indent="1"/>
    </xf>
    <xf numFmtId="173" fontId="0" fillId="2" borderId="0" xfId="0" applyNumberFormat="1" applyFill="1"/>
    <xf numFmtId="166" fontId="6" fillId="2" borderId="15" xfId="0" applyNumberFormat="1" applyFont="1" applyFill="1" applyBorder="1" applyAlignment="1">
      <alignment horizontal="centerContinuous"/>
    </xf>
    <xf numFmtId="9" fontId="10" fillId="0" borderId="22" xfId="0" applyNumberFormat="1" applyFont="1" applyBorder="1"/>
    <xf numFmtId="165" fontId="10" fillId="0" borderId="22" xfId="0" applyNumberFormat="1" applyFont="1" applyBorder="1"/>
    <xf numFmtId="9" fontId="10" fillId="0" borderId="0" xfId="0" applyNumberFormat="1" applyFont="1"/>
    <xf numFmtId="166" fontId="10" fillId="0" borderId="22" xfId="0" applyNumberFormat="1" applyFont="1" applyBorder="1"/>
    <xf numFmtId="175" fontId="14" fillId="0" borderId="30" xfId="0" applyNumberFormat="1" applyFont="1" applyBorder="1" applyAlignment="1">
      <alignment horizontal="center"/>
    </xf>
    <xf numFmtId="175" fontId="14" fillId="0" borderId="33" xfId="0" applyNumberFormat="1" applyFont="1" applyBorder="1" applyAlignment="1">
      <alignment horizontal="center"/>
    </xf>
    <xf numFmtId="165" fontId="10" fillId="0" borderId="0" xfId="0" applyNumberFormat="1" applyFont="1"/>
    <xf numFmtId="174" fontId="10" fillId="0" borderId="0" xfId="0" applyNumberFormat="1" applyFont="1"/>
    <xf numFmtId="9" fontId="16" fillId="0" borderId="0" xfId="0" applyNumberFormat="1" applyFont="1"/>
    <xf numFmtId="166" fontId="15" fillId="0" borderId="0" xfId="0" applyNumberFormat="1" applyFont="1"/>
    <xf numFmtId="166" fontId="28" fillId="0" borderId="0" xfId="0" applyNumberFormat="1" applyFont="1"/>
    <xf numFmtId="165" fontId="10" fillId="0" borderId="29" xfId="0" applyNumberFormat="1" applyFont="1" applyBorder="1"/>
    <xf numFmtId="166" fontId="23" fillId="5" borderId="23" xfId="0" applyNumberFormat="1" applyFont="1" applyFill="1" applyBorder="1" applyAlignment="1">
      <alignment horizontal="centerContinuous"/>
    </xf>
    <xf numFmtId="166" fontId="0" fillId="5" borderId="15" xfId="0" applyNumberFormat="1" applyFill="1" applyBorder="1" applyAlignment="1">
      <alignment horizontal="centerContinuous"/>
    </xf>
    <xf numFmtId="166" fontId="0" fillId="5" borderId="20" xfId="0" applyNumberFormat="1" applyFill="1" applyBorder="1" applyAlignment="1">
      <alignment horizontal="centerContinuous"/>
    </xf>
    <xf numFmtId="166" fontId="23" fillId="5" borderId="15" xfId="0" applyNumberFormat="1" applyFont="1" applyFill="1" applyBorder="1" applyAlignment="1">
      <alignment horizontal="centerContinuous"/>
    </xf>
    <xf numFmtId="166" fontId="24" fillId="5" borderId="15" xfId="0" applyNumberFormat="1" applyFont="1" applyFill="1" applyBorder="1" applyAlignment="1">
      <alignment horizontal="centerContinuous"/>
    </xf>
    <xf numFmtId="166" fontId="24" fillId="5" borderId="20" xfId="0" applyNumberFormat="1" applyFont="1" applyFill="1" applyBorder="1" applyAlignment="1">
      <alignment horizontal="centerContinuous"/>
    </xf>
    <xf numFmtId="166" fontId="0" fillId="0" borderId="0" xfId="0" applyNumberFormat="1"/>
    <xf numFmtId="166" fontId="10" fillId="0" borderId="0" xfId="0" applyNumberFormat="1" applyFont="1" applyAlignment="1">
      <alignment horizontal="center"/>
    </xf>
    <xf numFmtId="166" fontId="10" fillId="0" borderId="27" xfId="0" applyNumberFormat="1" applyFont="1" applyBorder="1"/>
    <xf numFmtId="166" fontId="10" fillId="0" borderId="0" xfId="0" applyNumberFormat="1" applyFont="1"/>
    <xf numFmtId="166" fontId="14" fillId="0" borderId="0" xfId="0" applyNumberFormat="1" applyFont="1" applyAlignment="1">
      <alignment horizontal="center"/>
    </xf>
    <xf numFmtId="166" fontId="14" fillId="0" borderId="22" xfId="0" applyNumberFormat="1" applyFont="1" applyBorder="1" applyAlignment="1">
      <alignment horizontal="center"/>
    </xf>
    <xf numFmtId="166" fontId="26" fillId="0" borderId="0" xfId="0" applyNumberFormat="1" applyFont="1"/>
    <xf numFmtId="166" fontId="17" fillId="0" borderId="0" xfId="0" applyNumberFormat="1" applyFont="1"/>
    <xf numFmtId="166" fontId="16" fillId="0" borderId="0" xfId="0" applyNumberFormat="1" applyFont="1"/>
    <xf numFmtId="166" fontId="10" fillId="0" borderId="15" xfId="0" applyNumberFormat="1" applyFont="1" applyBorder="1"/>
    <xf numFmtId="166" fontId="10" fillId="0" borderId="20" xfId="0" applyNumberFormat="1" applyFont="1" applyBorder="1"/>
    <xf numFmtId="166" fontId="14" fillId="0" borderId="0" xfId="0" applyNumberFormat="1" applyFont="1"/>
    <xf numFmtId="166" fontId="10" fillId="0" borderId="26" xfId="0" applyNumberFormat="1" applyFont="1" applyBorder="1"/>
    <xf numFmtId="166" fontId="10" fillId="0" borderId="16" xfId="0" applyNumberFormat="1" applyFont="1" applyBorder="1"/>
    <xf numFmtId="166" fontId="10" fillId="0" borderId="21" xfId="0" applyNumberFormat="1" applyFont="1" applyBorder="1"/>
    <xf numFmtId="166" fontId="25" fillId="5" borderId="15" xfId="0" applyNumberFormat="1" applyFont="1" applyFill="1" applyBorder="1" applyAlignment="1">
      <alignment horizontal="centerContinuous"/>
    </xf>
    <xf numFmtId="166" fontId="25" fillId="5" borderId="20" xfId="0" applyNumberFormat="1" applyFont="1" applyFill="1" applyBorder="1" applyAlignment="1">
      <alignment horizontal="centerContinuous"/>
    </xf>
    <xf numFmtId="166" fontId="20" fillId="0" borderId="0" xfId="0" applyNumberFormat="1" applyFont="1"/>
    <xf numFmtId="166" fontId="20" fillId="0" borderId="22" xfId="0" applyNumberFormat="1" applyFont="1" applyBorder="1"/>
    <xf numFmtId="166" fontId="23" fillId="5" borderId="20" xfId="0" applyNumberFormat="1" applyFont="1" applyFill="1" applyBorder="1" applyAlignment="1">
      <alignment horizontal="centerContinuous"/>
    </xf>
    <xf numFmtId="166" fontId="10" fillId="5" borderId="15" xfId="0" applyNumberFormat="1" applyFont="1" applyFill="1" applyBorder="1" applyAlignment="1">
      <alignment horizontal="centerContinuous"/>
    </xf>
    <xf numFmtId="166" fontId="10" fillId="0" borderId="27" xfId="0" applyNumberFormat="1" applyFont="1" applyBorder="1" applyAlignment="1">
      <alignment horizontal="left" indent="1"/>
    </xf>
    <xf numFmtId="166" fontId="14" fillId="0" borderId="26" xfId="0" applyNumberFormat="1" applyFont="1" applyBorder="1"/>
    <xf numFmtId="166" fontId="14" fillId="0" borderId="16" xfId="0" applyNumberFormat="1" applyFont="1" applyBorder="1"/>
    <xf numFmtId="166" fontId="23" fillId="5" borderId="0" xfId="0" applyNumberFormat="1" applyFont="1" applyFill="1" applyAlignment="1">
      <alignment horizontal="centerContinuous"/>
    </xf>
    <xf numFmtId="166" fontId="22" fillId="5" borderId="0" xfId="0" applyNumberFormat="1" applyFont="1" applyFill="1" applyAlignment="1">
      <alignment horizontal="centerContinuous"/>
    </xf>
    <xf numFmtId="166" fontId="10" fillId="0" borderId="29" xfId="0" applyNumberFormat="1" applyFont="1" applyBorder="1"/>
    <xf numFmtId="166" fontId="14" fillId="0" borderId="0" xfId="0" applyNumberFormat="1" applyFont="1" applyAlignment="1">
      <alignment horizontal="centerContinuous"/>
    </xf>
    <xf numFmtId="166" fontId="14" fillId="0" borderId="16" xfId="0" applyNumberFormat="1" applyFont="1" applyBorder="1" applyAlignment="1">
      <alignment horizontal="center"/>
    </xf>
    <xf numFmtId="166" fontId="13" fillId="0" borderId="0" xfId="0" applyNumberFormat="1" applyFont="1"/>
    <xf numFmtId="166" fontId="10" fillId="0" borderId="31" xfId="0" applyNumberFormat="1" applyFont="1" applyBorder="1"/>
    <xf numFmtId="166" fontId="18" fillId="0" borderId="0" xfId="0" applyNumberFormat="1" applyFont="1"/>
    <xf numFmtId="166" fontId="19" fillId="0" borderId="0" xfId="0" applyNumberFormat="1" applyFont="1"/>
    <xf numFmtId="166" fontId="14" fillId="0" borderId="29" xfId="0" applyNumberFormat="1" applyFont="1" applyBorder="1"/>
    <xf numFmtId="166" fontId="10" fillId="5" borderId="0" xfId="0" applyNumberFormat="1" applyFont="1" applyFill="1" applyAlignment="1">
      <alignment horizontal="centerContinuous"/>
    </xf>
    <xf numFmtId="166" fontId="27" fillId="0" borderId="0" xfId="0" applyNumberFormat="1" applyFont="1"/>
    <xf numFmtId="166" fontId="14" fillId="0" borderId="32" xfId="0" applyNumberFormat="1" applyFont="1" applyBorder="1" applyAlignment="1">
      <alignment horizontal="centerContinuous"/>
    </xf>
    <xf numFmtId="166" fontId="10" fillId="0" borderId="0" xfId="0" applyNumberFormat="1" applyFont="1" applyAlignment="1">
      <alignment horizontal="centerContinuous"/>
    </xf>
    <xf numFmtId="166" fontId="10" fillId="0" borderId="0" xfId="0" applyNumberFormat="1" applyFont="1" applyAlignment="1">
      <alignment horizontal="left" indent="1"/>
    </xf>
    <xf numFmtId="166" fontId="10" fillId="0" borderId="0" xfId="0" applyNumberFormat="1" applyFont="1" applyAlignment="1">
      <alignment horizontal="left" indent="2"/>
    </xf>
    <xf numFmtId="166" fontId="14" fillId="0" borderId="31" xfId="0" applyNumberFormat="1" applyFont="1" applyBorder="1"/>
    <xf numFmtId="166" fontId="13" fillId="0" borderId="0" xfId="0" applyNumberFormat="1" applyFont="1" applyAlignment="1">
      <alignment horizontal="right"/>
    </xf>
    <xf numFmtId="166" fontId="15" fillId="0" borderId="0" xfId="0" applyNumberFormat="1" applyFont="1" applyAlignment="1">
      <alignment horizontal="center"/>
    </xf>
    <xf numFmtId="166" fontId="15" fillId="0" borderId="0" xfId="0" applyNumberFormat="1" applyFont="1" applyAlignment="1">
      <alignment horizontal="left" indent="1"/>
    </xf>
    <xf numFmtId="166" fontId="10" fillId="0" borderId="0" xfId="0" applyNumberFormat="1" applyFont="1" applyAlignment="1">
      <alignment horizontal="left"/>
    </xf>
    <xf numFmtId="167" fontId="10" fillId="0" borderId="0" xfId="0" applyNumberFormat="1" applyFont="1"/>
    <xf numFmtId="167" fontId="10" fillId="0" borderId="22" xfId="0" applyNumberFormat="1" applyFont="1" applyBorder="1"/>
    <xf numFmtId="10" fontId="16" fillId="0" borderId="22" xfId="0" applyNumberFormat="1" applyFont="1" applyBorder="1"/>
    <xf numFmtId="168" fontId="10" fillId="0" borderId="0" xfId="0" applyNumberFormat="1" applyFont="1" applyAlignment="1">
      <alignment horizontal="center"/>
    </xf>
    <xf numFmtId="174" fontId="10" fillId="0" borderId="29" xfId="0" applyNumberFormat="1" applyFont="1" applyBorder="1"/>
    <xf numFmtId="165" fontId="15" fillId="0" borderId="0" xfId="0" applyNumberFormat="1" applyFont="1"/>
    <xf numFmtId="166" fontId="16" fillId="0" borderId="22" xfId="0" applyNumberFormat="1" applyFont="1" applyBorder="1"/>
    <xf numFmtId="165" fontId="17" fillId="0" borderId="22" xfId="0" applyNumberFormat="1" applyFont="1" applyBorder="1"/>
    <xf numFmtId="165" fontId="10" fillId="0" borderId="34" xfId="0" applyNumberFormat="1" applyFont="1" applyBorder="1"/>
    <xf numFmtId="167" fontId="10" fillId="0" borderId="31" xfId="0" applyNumberFormat="1" applyFont="1" applyBorder="1"/>
    <xf numFmtId="167" fontId="14" fillId="0" borderId="0" xfId="0" applyNumberFormat="1" applyFont="1"/>
    <xf numFmtId="167" fontId="14" fillId="0" borderId="29" xfId="0" applyNumberFormat="1" applyFont="1" applyBorder="1"/>
    <xf numFmtId="167" fontId="10" fillId="0" borderId="35" xfId="0" applyNumberFormat="1" applyFont="1" applyBorder="1"/>
    <xf numFmtId="167" fontId="14" fillId="0" borderId="31" xfId="0" applyNumberFormat="1" applyFont="1" applyBorder="1"/>
    <xf numFmtId="166" fontId="26" fillId="0" borderId="22" xfId="0" applyNumberFormat="1" applyFont="1" applyBorder="1"/>
    <xf numFmtId="167" fontId="14" fillId="0" borderId="22" xfId="0" applyNumberFormat="1" applyFont="1" applyBorder="1"/>
    <xf numFmtId="167" fontId="14" fillId="0" borderId="34" xfId="0" applyNumberFormat="1" applyFont="1" applyBorder="1"/>
    <xf numFmtId="166" fontId="20" fillId="0" borderId="0" xfId="0" applyNumberFormat="1" applyFont="1" applyAlignment="1">
      <alignment horizontal="left"/>
    </xf>
    <xf numFmtId="166" fontId="14" fillId="0" borderId="36" xfId="0" applyNumberFormat="1" applyFont="1" applyBorder="1" applyAlignment="1">
      <alignment horizontal="left" indent="1"/>
    </xf>
    <xf numFmtId="166" fontId="14" fillId="0" borderId="36" xfId="0" applyNumberFormat="1" applyFont="1" applyBorder="1"/>
    <xf numFmtId="167" fontId="14" fillId="0" borderId="36" xfId="0" applyNumberFormat="1" applyFont="1" applyBorder="1"/>
    <xf numFmtId="166" fontId="14" fillId="0" borderId="0" xfId="0" applyNumberFormat="1" applyFont="1" applyAlignment="1">
      <alignment horizontal="left" indent="1"/>
    </xf>
    <xf numFmtId="165" fontId="16" fillId="0" borderId="22" xfId="0" applyNumberFormat="1" applyFont="1" applyBorder="1"/>
    <xf numFmtId="166" fontId="14" fillId="0" borderId="29" xfId="0" applyNumberFormat="1" applyFont="1" applyBorder="1" applyAlignment="1">
      <alignment horizontal="center"/>
    </xf>
    <xf numFmtId="175" fontId="14" fillId="0" borderId="29" xfId="0" applyNumberFormat="1" applyFont="1" applyBorder="1" applyAlignment="1">
      <alignment horizontal="center"/>
    </xf>
    <xf numFmtId="9" fontId="10" fillId="0" borderId="29" xfId="0" applyNumberFormat="1" applyFont="1" applyBorder="1"/>
    <xf numFmtId="166" fontId="10" fillId="0" borderId="35" xfId="0" applyNumberFormat="1" applyFont="1" applyBorder="1"/>
    <xf numFmtId="166" fontId="15" fillId="0" borderId="22" xfId="0" applyNumberFormat="1" applyFont="1" applyBorder="1"/>
    <xf numFmtId="166" fontId="14" fillId="0" borderId="22" xfId="0" applyNumberFormat="1" applyFont="1" applyBorder="1"/>
    <xf numFmtId="166" fontId="14" fillId="0" borderId="37" xfId="0" applyNumberFormat="1" applyFont="1" applyBorder="1"/>
    <xf numFmtId="166" fontId="13" fillId="0" borderId="22" xfId="0" applyNumberFormat="1" applyFont="1" applyBorder="1" applyAlignment="1">
      <alignment horizontal="right"/>
    </xf>
    <xf numFmtId="166" fontId="17" fillId="0" borderId="22" xfId="0" applyNumberFormat="1" applyFont="1" applyBorder="1"/>
    <xf numFmtId="166" fontId="10" fillId="0" borderId="34" xfId="0" applyNumberFormat="1" applyFont="1" applyBorder="1"/>
    <xf numFmtId="174" fontId="10" fillId="0" borderId="22" xfId="0" applyNumberFormat="1" applyFont="1" applyBorder="1"/>
    <xf numFmtId="166" fontId="14" fillId="0" borderId="35" xfId="0" applyNumberFormat="1" applyFont="1" applyBorder="1"/>
    <xf numFmtId="167" fontId="14" fillId="0" borderId="35" xfId="0" applyNumberFormat="1" applyFont="1" applyBorder="1"/>
    <xf numFmtId="166" fontId="29" fillId="0" borderId="0" xfId="0" applyNumberFormat="1" applyFont="1"/>
    <xf numFmtId="166" fontId="18" fillId="0" borderId="22" xfId="0" applyNumberFormat="1" applyFont="1" applyBorder="1"/>
    <xf numFmtId="173" fontId="10" fillId="0" borderId="0" xfId="0" applyNumberFormat="1" applyFont="1"/>
    <xf numFmtId="166" fontId="14" fillId="0" borderId="27" xfId="0" applyNumberFormat="1" applyFont="1" applyBorder="1"/>
    <xf numFmtId="167" fontId="26" fillId="0" borderId="0" xfId="0" applyNumberFormat="1" applyFont="1"/>
    <xf numFmtId="9" fontId="17" fillId="0" borderId="22" xfId="0" applyNumberFormat="1" applyFont="1" applyBorder="1"/>
    <xf numFmtId="165" fontId="17" fillId="0" borderId="0" xfId="0" applyNumberFormat="1" applyFont="1"/>
    <xf numFmtId="168" fontId="10" fillId="0" borderId="0" xfId="0" applyNumberFormat="1" applyFont="1"/>
    <xf numFmtId="37" fontId="10" fillId="0" borderId="0" xfId="0" applyNumberFormat="1" applyFont="1"/>
    <xf numFmtId="37" fontId="10" fillId="0" borderId="29" xfId="0" applyNumberFormat="1" applyFont="1" applyBorder="1"/>
    <xf numFmtId="37" fontId="10" fillId="0" borderId="0" xfId="0" applyNumberFormat="1" applyFont="1" applyAlignment="1">
      <alignment horizontal="centerContinuous"/>
    </xf>
    <xf numFmtId="37" fontId="10" fillId="0" borderId="16" xfId="0" applyNumberFormat="1" applyFont="1" applyBorder="1"/>
    <xf numFmtId="14" fontId="10" fillId="0" borderId="30" xfId="0" applyNumberFormat="1" applyFont="1" applyBorder="1"/>
    <xf numFmtId="37" fontId="10" fillId="0" borderId="30" xfId="0" applyNumberFormat="1" applyFont="1" applyBorder="1"/>
    <xf numFmtId="37" fontId="13" fillId="0" borderId="0" xfId="0" applyNumberFormat="1" applyFont="1"/>
    <xf numFmtId="37" fontId="14" fillId="0" borderId="0" xfId="0" applyNumberFormat="1" applyFont="1"/>
    <xf numFmtId="5" fontId="16" fillId="0" borderId="0" xfId="0" applyNumberFormat="1" applyFont="1"/>
    <xf numFmtId="5" fontId="10" fillId="0" borderId="0" xfId="0" applyNumberFormat="1" applyFont="1"/>
    <xf numFmtId="37" fontId="16" fillId="0" borderId="0" xfId="0" applyNumberFormat="1" applyFont="1"/>
    <xf numFmtId="37" fontId="10" fillId="0" borderId="31" xfId="0" applyNumberFormat="1" applyFont="1" applyBorder="1"/>
    <xf numFmtId="5" fontId="10" fillId="0" borderId="31" xfId="0" applyNumberFormat="1" applyFont="1" applyBorder="1"/>
    <xf numFmtId="5" fontId="14" fillId="0" borderId="0" xfId="0" applyNumberFormat="1" applyFont="1"/>
    <xf numFmtId="5" fontId="17" fillId="0" borderId="31" xfId="0" applyNumberFormat="1" applyFont="1" applyBorder="1"/>
    <xf numFmtId="5" fontId="16" fillId="0" borderId="31" xfId="0" applyNumberFormat="1" applyFont="1" applyBorder="1"/>
    <xf numFmtId="37" fontId="14" fillId="0" borderId="29" xfId="0" applyNumberFormat="1" applyFont="1" applyBorder="1"/>
    <xf numFmtId="5" fontId="14" fillId="0" borderId="29" xfId="0" applyNumberFormat="1" applyFont="1" applyBorder="1"/>
    <xf numFmtId="0" fontId="0" fillId="6" borderId="0" xfId="0" applyFill="1"/>
    <xf numFmtId="0" fontId="6" fillId="2" borderId="17" xfId="0" applyFont="1" applyFill="1" applyBorder="1" applyAlignment="1">
      <alignment horizontal="left"/>
    </xf>
    <xf numFmtId="171" fontId="6" fillId="2" borderId="17" xfId="0" applyNumberFormat="1" applyFont="1" applyFill="1" applyBorder="1" applyAlignment="1">
      <alignment horizontal="center"/>
    </xf>
    <xf numFmtId="167" fontId="16" fillId="0" borderId="0" xfId="0" applyNumberFormat="1" applyFont="1"/>
    <xf numFmtId="166" fontId="10" fillId="0" borderId="38" xfId="0" applyNumberFormat="1" applyFont="1" applyBorder="1"/>
    <xf numFmtId="167" fontId="10" fillId="0" borderId="38" xfId="0" applyNumberFormat="1" applyFont="1" applyBorder="1"/>
    <xf numFmtId="166" fontId="14" fillId="0" borderId="38" xfId="0" applyNumberFormat="1" applyFont="1" applyBorder="1"/>
    <xf numFmtId="167" fontId="14" fillId="0" borderId="38" xfId="0" applyNumberFormat="1" applyFont="1" applyBorder="1"/>
    <xf numFmtId="167" fontId="30" fillId="0" borderId="0" xfId="0" applyNumberFormat="1" applyFont="1"/>
    <xf numFmtId="7" fontId="10" fillId="0" borderId="0" xfId="0" applyNumberFormat="1" applyFont="1"/>
    <xf numFmtId="172" fontId="26" fillId="0" borderId="0" xfId="0" applyNumberFormat="1" applyFont="1"/>
    <xf numFmtId="172" fontId="16" fillId="0" borderId="0" xfId="0" applyNumberFormat="1" applyFont="1"/>
    <xf numFmtId="166" fontId="10" fillId="0" borderId="16" xfId="0" applyNumberFormat="1" applyFont="1" applyBorder="1" applyAlignment="1">
      <alignment horizontal="center"/>
    </xf>
    <xf numFmtId="167" fontId="26" fillId="0" borderId="16" xfId="0" applyNumberFormat="1" applyFont="1" applyBorder="1" applyAlignment="1">
      <alignment horizontal="center"/>
    </xf>
    <xf numFmtId="167" fontId="30" fillId="0" borderId="29" xfId="0" applyNumberFormat="1" applyFont="1" applyBorder="1"/>
    <xf numFmtId="166" fontId="10" fillId="0" borderId="39" xfId="0" applyNumberFormat="1" applyFont="1" applyBorder="1"/>
    <xf numFmtId="172" fontId="26" fillId="0" borderId="40" xfId="0" applyNumberFormat="1" applyFont="1" applyBorder="1"/>
    <xf numFmtId="167" fontId="26" fillId="0" borderId="40" xfId="0" applyNumberFormat="1" applyFont="1" applyBorder="1"/>
    <xf numFmtId="172" fontId="17" fillId="0" borderId="40" xfId="0" applyNumberFormat="1" applyFont="1" applyBorder="1"/>
    <xf numFmtId="9" fontId="10" fillId="2" borderId="29" xfId="0" applyNumberFormat="1" applyFont="1" applyFill="1" applyBorder="1"/>
    <xf numFmtId="166" fontId="10" fillId="0" borderId="17" xfId="0" applyNumberFormat="1" applyFont="1" applyBorder="1"/>
    <xf numFmtId="165" fontId="10" fillId="0" borderId="17" xfId="0" applyNumberFormat="1" applyFont="1" applyBorder="1"/>
    <xf numFmtId="167" fontId="10" fillId="0" borderId="17" xfId="0" applyNumberFormat="1" applyFont="1" applyBorder="1"/>
    <xf numFmtId="167" fontId="10" fillId="0" borderId="24" xfId="0" applyNumberFormat="1" applyFont="1" applyBorder="1"/>
    <xf numFmtId="177" fontId="10" fillId="0" borderId="0" xfId="0" applyNumberFormat="1" applyFont="1" applyAlignment="1">
      <alignment horizontal="center"/>
    </xf>
    <xf numFmtId="167" fontId="26" fillId="0" borderId="31" xfId="0" applyNumberFormat="1" applyFont="1" applyBorder="1"/>
    <xf numFmtId="167" fontId="26" fillId="0" borderId="35" xfId="0" applyNumberFormat="1" applyFont="1" applyBorder="1"/>
    <xf numFmtId="176" fontId="10" fillId="0" borderId="0" xfId="0" applyNumberFormat="1" applyFont="1"/>
    <xf numFmtId="166" fontId="21" fillId="5" borderId="0" xfId="0" applyNumberFormat="1" applyFont="1" applyFill="1" applyAlignment="1">
      <alignment horizontal="centerContinuous"/>
    </xf>
    <xf numFmtId="0" fontId="10" fillId="0" borderId="0" xfId="0" applyFont="1"/>
    <xf numFmtId="0" fontId="14" fillId="0" borderId="0" xfId="0" applyFont="1"/>
    <xf numFmtId="0" fontId="14" fillId="0" borderId="0" xfId="0" applyFont="1" applyAlignment="1">
      <alignment horizontal="right"/>
    </xf>
    <xf numFmtId="0" fontId="14" fillId="7" borderId="25" xfId="0" applyFont="1" applyFill="1" applyBorder="1" applyAlignment="1">
      <alignment horizontal="center"/>
    </xf>
    <xf numFmtId="0" fontId="14" fillId="0" borderId="16" xfId="0" applyFont="1" applyBorder="1"/>
    <xf numFmtId="0" fontId="10" fillId="0" borderId="0" xfId="0" applyFont="1" applyAlignment="1">
      <alignment horizontal="center"/>
    </xf>
    <xf numFmtId="0" fontId="10" fillId="0" borderId="0" xfId="0" applyFont="1" applyAlignment="1">
      <alignment horizontal="left" indent="1"/>
    </xf>
    <xf numFmtId="0" fontId="10" fillId="0" borderId="22" xfId="0" applyFont="1" applyBorder="1"/>
    <xf numFmtId="0" fontId="17" fillId="0" borderId="0" xfId="0" applyFont="1"/>
    <xf numFmtId="174" fontId="14" fillId="0" borderId="0" xfId="0" applyNumberFormat="1" applyFont="1"/>
    <xf numFmtId="166" fontId="31" fillId="0" borderId="22" xfId="0" applyNumberFormat="1" applyFont="1" applyBorder="1" applyAlignment="1">
      <alignment horizontal="center"/>
    </xf>
    <xf numFmtId="175" fontId="31" fillId="0" borderId="0" xfId="0" applyNumberFormat="1" applyFont="1" applyAlignment="1">
      <alignment horizontal="center"/>
    </xf>
    <xf numFmtId="175" fontId="31" fillId="0" borderId="31" xfId="0" applyNumberFormat="1" applyFont="1" applyBorder="1" applyAlignment="1">
      <alignment horizontal="center"/>
    </xf>
    <xf numFmtId="166" fontId="31" fillId="0" borderId="0" xfId="0" quotePrefix="1" applyNumberFormat="1" applyFont="1" applyAlignment="1">
      <alignment horizontal="center"/>
    </xf>
    <xf numFmtId="166" fontId="13" fillId="0" borderId="22" xfId="0" applyNumberFormat="1" applyFont="1" applyBorder="1" applyAlignment="1">
      <alignment horizontal="centerContinuous"/>
    </xf>
    <xf numFmtId="9" fontId="10" fillId="0" borderId="16" xfId="0" applyNumberFormat="1" applyFont="1" applyBorder="1"/>
    <xf numFmtId="9" fontId="16" fillId="0" borderId="21" xfId="0" applyNumberFormat="1" applyFont="1" applyBorder="1"/>
    <xf numFmtId="166" fontId="14" fillId="0" borderId="22" xfId="0" applyNumberFormat="1" applyFont="1" applyBorder="1" applyAlignment="1">
      <alignment horizontal="centerContinuous"/>
    </xf>
    <xf numFmtId="0" fontId="13" fillId="0" borderId="16" xfId="0" applyFont="1" applyBorder="1"/>
    <xf numFmtId="166" fontId="10" fillId="0" borderId="41" xfId="0" applyNumberFormat="1" applyFont="1" applyBorder="1"/>
    <xf numFmtId="166" fontId="14" fillId="0" borderId="42" xfId="0" applyNumberFormat="1" applyFont="1" applyBorder="1"/>
    <xf numFmtId="173" fontId="10" fillId="0" borderId="29" xfId="0" applyNumberFormat="1" applyFont="1" applyBorder="1"/>
    <xf numFmtId="166" fontId="27" fillId="0" borderId="29" xfId="0" applyNumberFormat="1" applyFont="1" applyBorder="1"/>
    <xf numFmtId="166" fontId="15" fillId="0" borderId="16" xfId="0" applyNumberFormat="1" applyFont="1" applyBorder="1"/>
    <xf numFmtId="166" fontId="15" fillId="0" borderId="29" xfId="0" applyNumberFormat="1" applyFont="1" applyBorder="1" applyAlignment="1">
      <alignment horizontal="left" indent="1"/>
    </xf>
    <xf numFmtId="166" fontId="15" fillId="0" borderId="29" xfId="0" applyNumberFormat="1" applyFont="1" applyBorder="1"/>
    <xf numFmtId="165" fontId="15" fillId="0" borderId="29" xfId="0" applyNumberFormat="1" applyFont="1" applyBorder="1"/>
    <xf numFmtId="166" fontId="27" fillId="0" borderId="0" xfId="0" applyNumberFormat="1" applyFont="1" applyAlignment="1">
      <alignment horizontal="center"/>
    </xf>
    <xf numFmtId="166" fontId="10" fillId="0" borderId="29" xfId="0" applyNumberFormat="1" applyFont="1" applyBorder="1" applyAlignment="1">
      <alignment horizontal="center"/>
    </xf>
    <xf numFmtId="174" fontId="10" fillId="0" borderId="28" xfId="0" applyNumberFormat="1" applyFont="1" applyBorder="1"/>
    <xf numFmtId="166" fontId="10" fillId="0" borderId="24" xfId="0" applyNumberFormat="1" applyFont="1" applyBorder="1"/>
    <xf numFmtId="165" fontId="10" fillId="0" borderId="0" xfId="0" applyNumberFormat="1" applyFont="1" applyAlignment="1">
      <alignment horizontal="center"/>
    </xf>
    <xf numFmtId="173" fontId="10" fillId="0" borderId="0" xfId="0" applyNumberFormat="1" applyFont="1" applyAlignment="1">
      <alignment horizontal="center"/>
    </xf>
    <xf numFmtId="173" fontId="10" fillId="0" borderId="29" xfId="0" applyNumberFormat="1" applyFont="1" applyBorder="1" applyAlignment="1">
      <alignment horizontal="center"/>
    </xf>
    <xf numFmtId="165" fontId="10" fillId="0" borderId="29" xfId="0" applyNumberFormat="1" applyFont="1" applyBorder="1" applyAlignment="1">
      <alignment horizontal="center"/>
    </xf>
    <xf numFmtId="9" fontId="17" fillId="0" borderId="0" xfId="0" applyNumberFormat="1" applyFont="1"/>
    <xf numFmtId="167" fontId="10" fillId="0" borderId="29" xfId="0" applyNumberFormat="1" applyFont="1" applyBorder="1"/>
    <xf numFmtId="166" fontId="14" fillId="0" borderId="34" xfId="0" applyNumberFormat="1" applyFont="1" applyBorder="1" applyAlignment="1">
      <alignment horizontal="center"/>
    </xf>
    <xf numFmtId="166" fontId="14" fillId="0" borderId="43" xfId="0" applyNumberFormat="1" applyFont="1" applyBorder="1" applyAlignment="1">
      <alignment horizontal="center"/>
    </xf>
    <xf numFmtId="167" fontId="10" fillId="0" borderId="34" xfId="0" applyNumberFormat="1" applyFont="1" applyBorder="1"/>
    <xf numFmtId="167" fontId="10" fillId="0" borderId="0" xfId="0" applyNumberFormat="1" applyFont="1" applyAlignment="1">
      <alignment horizontal="center"/>
    </xf>
    <xf numFmtId="167" fontId="10" fillId="0" borderId="29" xfId="0" applyNumberFormat="1" applyFont="1" applyBorder="1" applyAlignment="1">
      <alignment horizontal="center"/>
    </xf>
    <xf numFmtId="167" fontId="10" fillId="0" borderId="20" xfId="0" applyNumberFormat="1" applyFont="1" applyBorder="1"/>
    <xf numFmtId="165" fontId="15" fillId="0" borderId="22" xfId="0" applyNumberFormat="1" applyFont="1" applyBorder="1"/>
    <xf numFmtId="165" fontId="15" fillId="0" borderId="34" xfId="0" applyNumberFormat="1" applyFont="1" applyBorder="1"/>
    <xf numFmtId="9" fontId="10" fillId="0" borderId="28" xfId="0" applyNumberFormat="1" applyFont="1" applyBorder="1"/>
    <xf numFmtId="173" fontId="10" fillId="0" borderId="17" xfId="0" applyNumberFormat="1" applyFont="1" applyBorder="1" applyAlignment="1">
      <alignment horizontal="center"/>
    </xf>
    <xf numFmtId="165" fontId="10" fillId="0" borderId="17" xfId="0" applyNumberFormat="1" applyFont="1" applyBorder="1" applyAlignment="1">
      <alignment horizontal="center"/>
    </xf>
    <xf numFmtId="166" fontId="10" fillId="0" borderId="17" xfId="0" applyNumberFormat="1" applyFont="1" applyBorder="1" applyAlignment="1">
      <alignment horizontal="center"/>
    </xf>
    <xf numFmtId="167" fontId="10" fillId="0" borderId="17" xfId="0" applyNumberFormat="1" applyFont="1" applyBorder="1" applyAlignment="1">
      <alignment horizontal="center"/>
    </xf>
    <xf numFmtId="167" fontId="10" fillId="0" borderId="32" xfId="0" applyNumberFormat="1" applyFont="1" applyBorder="1" applyAlignment="1">
      <alignment horizontal="right"/>
    </xf>
    <xf numFmtId="166" fontId="26" fillId="0" borderId="16" xfId="0" applyNumberFormat="1" applyFont="1" applyBorder="1"/>
    <xf numFmtId="165" fontId="16" fillId="0" borderId="16" xfId="0" applyNumberFormat="1" applyFont="1" applyBorder="1"/>
    <xf numFmtId="166" fontId="10" fillId="0" borderId="24" xfId="0" applyNumberFormat="1" applyFont="1" applyBorder="1" applyAlignment="1">
      <alignment horizontal="center"/>
    </xf>
    <xf numFmtId="167" fontId="10" fillId="0" borderId="24" xfId="0" applyNumberFormat="1" applyFont="1" applyBorder="1" applyAlignment="1">
      <alignment horizontal="center"/>
    </xf>
    <xf numFmtId="167" fontId="14" fillId="0" borderId="42" xfId="0" applyNumberFormat="1" applyFont="1" applyBorder="1"/>
    <xf numFmtId="0" fontId="0" fillId="2" borderId="17" xfId="0" applyFill="1" applyBorder="1"/>
    <xf numFmtId="0" fontId="0" fillId="2" borderId="19" xfId="0" applyFill="1" applyBorder="1"/>
    <xf numFmtId="9" fontId="0" fillId="2" borderId="19" xfId="0" applyNumberFormat="1" applyFill="1" applyBorder="1"/>
    <xf numFmtId="0" fontId="8" fillId="2" borderId="0" xfId="0" applyFont="1" applyFill="1" applyAlignment="1">
      <alignment horizontal="left" indent="2"/>
    </xf>
    <xf numFmtId="0" fontId="8" fillId="2" borderId="18" xfId="0" applyFont="1" applyFill="1" applyBorder="1" applyAlignment="1">
      <alignment horizontal="left" indent="2"/>
    </xf>
    <xf numFmtId="9" fontId="4" fillId="2" borderId="0" xfId="0" applyNumberFormat="1" applyFont="1" applyFill="1"/>
    <xf numFmtId="14" fontId="0" fillId="2" borderId="0" xfId="0" applyNumberFormat="1" applyFill="1"/>
    <xf numFmtId="0" fontId="0" fillId="2" borderId="0" xfId="0" quotePrefix="1" applyFill="1"/>
    <xf numFmtId="15" fontId="0" fillId="2" borderId="0" xfId="0" applyNumberFormat="1" applyFill="1"/>
    <xf numFmtId="0" fontId="0" fillId="2" borderId="0" xfId="0" applyFill="1" applyAlignment="1">
      <alignment horizontal="centerContinuous"/>
    </xf>
    <xf numFmtId="0" fontId="0" fillId="2" borderId="0" xfId="0" applyFill="1" applyAlignment="1">
      <alignment horizontal="right"/>
    </xf>
    <xf numFmtId="0" fontId="11" fillId="2" borderId="0" xfId="0" applyFont="1" applyFill="1" applyAlignment="1">
      <alignment horizontal="right"/>
    </xf>
    <xf numFmtId="178" fontId="0" fillId="2" borderId="0" xfId="0" applyNumberFormat="1" applyFill="1"/>
    <xf numFmtId="0" fontId="0" fillId="2" borderId="15" xfId="0" applyFill="1" applyBorder="1"/>
    <xf numFmtId="0" fontId="0" fillId="2" borderId="16" xfId="0" applyFill="1" applyBorder="1"/>
    <xf numFmtId="0" fontId="0" fillId="2" borderId="18" xfId="0" applyFill="1" applyBorder="1" applyAlignment="1">
      <alignment horizontal="right"/>
    </xf>
    <xf numFmtId="178" fontId="0" fillId="2" borderId="18" xfId="0" applyNumberFormat="1" applyFill="1" applyBorder="1"/>
    <xf numFmtId="0" fontId="0" fillId="2" borderId="18" xfId="0" applyFill="1" applyBorder="1" applyAlignment="1">
      <alignment horizontal="center"/>
    </xf>
    <xf numFmtId="179" fontId="0" fillId="2" borderId="0" xfId="0" applyNumberFormat="1" applyFill="1"/>
    <xf numFmtId="171" fontId="0" fillId="2" borderId="0" xfId="0" applyNumberFormat="1" applyFill="1"/>
    <xf numFmtId="39" fontId="0" fillId="2" borderId="0" xfId="0" applyNumberFormat="1" applyFill="1"/>
    <xf numFmtId="178" fontId="0" fillId="2" borderId="0" xfId="0" applyNumberFormat="1" applyFill="1" applyAlignment="1">
      <alignment horizontal="right"/>
    </xf>
    <xf numFmtId="4" fontId="0" fillId="2" borderId="0" xfId="0" applyNumberFormat="1" applyFill="1"/>
    <xf numFmtId="4" fontId="0" fillId="2" borderId="18" xfId="0" applyNumberFormat="1" applyFill="1" applyBorder="1"/>
    <xf numFmtId="178" fontId="0" fillId="2" borderId="0" xfId="0" applyNumberFormat="1" applyFill="1" applyAlignment="1">
      <alignment horizontal="center"/>
    </xf>
    <xf numFmtId="7" fontId="0" fillId="2" borderId="0" xfId="0" applyNumberFormat="1" applyFill="1"/>
    <xf numFmtId="165" fontId="0" fillId="2" borderId="0" xfId="0" applyNumberFormat="1" applyFill="1" applyAlignment="1">
      <alignment horizontal="center"/>
    </xf>
    <xf numFmtId="165" fontId="0" fillId="2" borderId="18" xfId="0" applyNumberFormat="1" applyFill="1" applyBorder="1" applyAlignment="1">
      <alignment horizontal="center"/>
    </xf>
    <xf numFmtId="7" fontId="0" fillId="2" borderId="18" xfId="0" applyNumberFormat="1" applyFill="1" applyBorder="1"/>
    <xf numFmtId="14" fontId="8" fillId="2" borderId="0" xfId="0" applyNumberFormat="1" applyFont="1" applyFill="1"/>
    <xf numFmtId="173" fontId="6" fillId="2" borderId="18" xfId="0" applyNumberFormat="1" applyFont="1" applyFill="1" applyBorder="1"/>
    <xf numFmtId="9" fontId="0" fillId="2" borderId="0" xfId="0" applyNumberFormat="1" applyFill="1" applyAlignment="1">
      <alignment horizontal="right"/>
    </xf>
    <xf numFmtId="165" fontId="10" fillId="8" borderId="0" xfId="0" applyNumberFormat="1" applyFont="1" applyFill="1"/>
    <xf numFmtId="165" fontId="16" fillId="8" borderId="0" xfId="0" applyNumberFormat="1" applyFont="1" applyFill="1"/>
    <xf numFmtId="9" fontId="16" fillId="8" borderId="0" xfId="0" applyNumberFormat="1" applyFont="1" applyFill="1"/>
    <xf numFmtId="0" fontId="10" fillId="8" borderId="0" xfId="0" applyFont="1" applyFill="1"/>
    <xf numFmtId="166" fontId="10" fillId="8" borderId="0" xfId="0" applyNumberFormat="1" applyFont="1" applyFill="1"/>
    <xf numFmtId="0" fontId="0" fillId="8" borderId="0" xfId="0" applyFill="1"/>
    <xf numFmtId="0" fontId="6" fillId="0" borderId="0" xfId="0" applyFont="1"/>
    <xf numFmtId="0" fontId="6" fillId="0" borderId="16" xfId="0" applyFont="1" applyBorder="1"/>
    <xf numFmtId="0" fontId="0" fillId="0" borderId="18" xfId="0" applyBorder="1"/>
    <xf numFmtId="0" fontId="7" fillId="0" borderId="0" xfId="0" applyFont="1"/>
    <xf numFmtId="0" fontId="11" fillId="0" borderId="0" xfId="0" applyFont="1"/>
    <xf numFmtId="0" fontId="0" fillId="0" borderId="0" xfId="0" applyAlignment="1">
      <alignment horizontal="left" indent="1"/>
    </xf>
    <xf numFmtId="0" fontId="0" fillId="0" borderId="0" xfId="0" applyAlignment="1">
      <alignment horizontal="left" indent="2"/>
    </xf>
    <xf numFmtId="170" fontId="0" fillId="2" borderId="15" xfId="0" applyNumberFormat="1" applyFill="1" applyBorder="1"/>
    <xf numFmtId="37" fontId="0" fillId="2" borderId="15" xfId="0" applyNumberFormat="1" applyFill="1" applyBorder="1"/>
    <xf numFmtId="6" fontId="0" fillId="2" borderId="0" xfId="0" applyNumberFormat="1" applyFill="1"/>
    <xf numFmtId="3" fontId="0" fillId="2" borderId="0" xfId="0" applyNumberFormat="1" applyFill="1"/>
    <xf numFmtId="166" fontId="0" fillId="2" borderId="18" xfId="0" applyNumberFormat="1" applyFill="1" applyBorder="1" applyAlignment="1">
      <alignment horizontal="left" indent="1"/>
    </xf>
    <xf numFmtId="166" fontId="0" fillId="2" borderId="18" xfId="0" applyNumberFormat="1" applyFill="1" applyBorder="1" applyAlignment="1">
      <alignment horizontal="right"/>
    </xf>
    <xf numFmtId="180" fontId="6" fillId="2" borderId="0" xfId="0" applyNumberFormat="1" applyFont="1" applyFill="1" applyAlignment="1">
      <alignment horizontal="center"/>
    </xf>
    <xf numFmtId="180" fontId="6" fillId="2" borderId="16" xfId="0" applyNumberFormat="1" applyFont="1" applyFill="1" applyBorder="1" applyAlignment="1">
      <alignment horizontal="center"/>
    </xf>
    <xf numFmtId="173" fontId="10" fillId="0" borderId="0" xfId="0" applyNumberFormat="1" applyFont="1" applyBorder="1"/>
    <xf numFmtId="166" fontId="14" fillId="0" borderId="23" xfId="0" applyNumberFormat="1" applyFont="1" applyBorder="1"/>
    <xf numFmtId="166" fontId="14" fillId="0" borderId="15" xfId="0" applyNumberFormat="1" applyFont="1" applyBorder="1"/>
    <xf numFmtId="167" fontId="14" fillId="0" borderId="15" xfId="0" applyNumberFormat="1" applyFont="1" applyBorder="1"/>
    <xf numFmtId="166" fontId="31" fillId="0" borderId="15" xfId="0" applyNumberFormat="1" applyFont="1" applyBorder="1" applyAlignment="1">
      <alignment horizontal="center"/>
    </xf>
    <xf numFmtId="166" fontId="31" fillId="0" borderId="20" xfId="0" applyNumberFormat="1" applyFont="1" applyBorder="1" applyAlignment="1">
      <alignment horizontal="center"/>
    </xf>
    <xf numFmtId="9" fontId="14" fillId="0" borderId="22" xfId="0" applyNumberFormat="1" applyFont="1" applyBorder="1"/>
    <xf numFmtId="175" fontId="16" fillId="0" borderId="0" xfId="0" applyNumberFormat="1" applyFont="1" applyFill="1" applyAlignment="1">
      <alignment horizontal="center"/>
    </xf>
    <xf numFmtId="166" fontId="10" fillId="0" borderId="29" xfId="0" applyNumberFormat="1" applyFont="1" applyBorder="1" applyAlignment="1">
      <alignment horizontal="left" indent="1"/>
    </xf>
    <xf numFmtId="165" fontId="17" fillId="0" borderId="29" xfId="0" applyNumberFormat="1" applyFont="1" applyBorder="1"/>
    <xf numFmtId="165" fontId="16" fillId="8" borderId="29" xfId="0" applyNumberFormat="1" applyFont="1" applyFill="1" applyBorder="1"/>
    <xf numFmtId="165" fontId="10" fillId="8" borderId="29" xfId="0" applyNumberFormat="1" applyFont="1" applyFill="1" applyBorder="1"/>
    <xf numFmtId="0" fontId="0" fillId="2" borderId="0" xfId="0" applyFill="1" applyBorder="1"/>
    <xf numFmtId="170" fontId="0" fillId="2" borderId="0" xfId="0" applyNumberFormat="1" applyFill="1" applyBorder="1"/>
    <xf numFmtId="37" fontId="0" fillId="2" borderId="0" xfId="0" applyNumberFormat="1" applyFill="1" applyBorder="1"/>
    <xf numFmtId="170" fontId="0" fillId="2" borderId="0" xfId="0" applyNumberFormat="1" applyFill="1" applyBorder="1" applyAlignment="1">
      <alignment horizontal="right"/>
    </xf>
    <xf numFmtId="0" fontId="0" fillId="2" borderId="0" xfId="0" applyFill="1" applyBorder="1" applyAlignment="1">
      <alignment horizontal="right"/>
    </xf>
    <xf numFmtId="166" fontId="0" fillId="2" borderId="0" xfId="0" applyNumberFormat="1" applyFill="1" applyBorder="1" applyAlignment="1">
      <alignment horizontal="left"/>
    </xf>
    <xf numFmtId="0" fontId="6" fillId="2" borderId="15" xfId="0" applyFont="1" applyFill="1" applyBorder="1" applyAlignment="1">
      <alignment horizontal="right"/>
    </xf>
    <xf numFmtId="6" fontId="0" fillId="2" borderId="18" xfId="0" applyNumberFormat="1" applyFill="1" applyBorder="1"/>
    <xf numFmtId="170" fontId="0" fillId="2" borderId="15" xfId="0" applyNumberFormat="1" applyFill="1" applyBorder="1" applyAlignment="1"/>
    <xf numFmtId="170" fontId="0" fillId="2" borderId="0" xfId="0" applyNumberFormat="1" applyFill="1" applyAlignment="1"/>
    <xf numFmtId="0" fontId="0" fillId="2" borderId="0" xfId="0" applyFill="1" applyAlignment="1"/>
    <xf numFmtId="170" fontId="0" fillId="2" borderId="18" xfId="0" applyNumberFormat="1" applyFill="1" applyBorder="1" applyAlignment="1"/>
    <xf numFmtId="0" fontId="6" fillId="2" borderId="0" xfId="0" applyFont="1" applyFill="1" applyBorder="1" applyAlignment="1">
      <alignment horizontal="center"/>
    </xf>
    <xf numFmtId="37" fontId="0" fillId="2" borderId="19" xfId="0" applyNumberFormat="1" applyFill="1" applyBorder="1"/>
    <xf numFmtId="5" fontId="0" fillId="2" borderId="19" xfId="0" applyNumberFormat="1" applyFill="1" applyBorder="1"/>
    <xf numFmtId="0" fontId="6" fillId="2" borderId="22" xfId="0" applyFont="1" applyFill="1" applyBorder="1"/>
    <xf numFmtId="0" fontId="0" fillId="2" borderId="15" xfId="0" applyFont="1" applyFill="1" applyBorder="1" applyAlignment="1">
      <alignment horizontal="left"/>
    </xf>
    <xf numFmtId="0" fontId="0" fillId="2" borderId="0" xfId="0" applyFont="1" applyFill="1" applyBorder="1" applyAlignment="1">
      <alignment horizontal="left"/>
    </xf>
    <xf numFmtId="0" fontId="0" fillId="2" borderId="0" xfId="0" applyFont="1" applyFill="1" applyBorder="1"/>
    <xf numFmtId="0" fontId="0" fillId="2" borderId="18" xfId="0" applyFont="1" applyFill="1" applyBorder="1"/>
    <xf numFmtId="181" fontId="0" fillId="2" borderId="0" xfId="0" applyNumberFormat="1" applyFill="1"/>
    <xf numFmtId="0" fontId="6" fillId="2" borderId="17" xfId="0" applyFont="1" applyFill="1" applyBorder="1"/>
    <xf numFmtId="0" fontId="0" fillId="2" borderId="19" xfId="0" applyFont="1" applyFill="1" applyBorder="1" applyAlignment="1">
      <alignment horizontal="left"/>
    </xf>
    <xf numFmtId="167" fontId="0" fillId="2" borderId="19" xfId="0" applyNumberFormat="1" applyFill="1" applyBorder="1"/>
    <xf numFmtId="182" fontId="0" fillId="2" borderId="0" xfId="0" applyNumberFormat="1" applyFill="1"/>
    <xf numFmtId="0" fontId="0" fillId="2" borderId="15" xfId="0" applyFont="1" applyFill="1" applyBorder="1"/>
    <xf numFmtId="0" fontId="0" fillId="2" borderId="0" xfId="0" applyFont="1" applyFill="1"/>
    <xf numFmtId="9" fontId="0" fillId="2" borderId="0" xfId="0" applyNumberFormat="1" applyFill="1" applyBorder="1"/>
    <xf numFmtId="10" fontId="8" fillId="2" borderId="0" xfId="0" applyNumberFormat="1" applyFont="1" applyFill="1"/>
    <xf numFmtId="166" fontId="0" fillId="2" borderId="0" xfId="0" applyNumberFormat="1" applyFill="1" applyBorder="1"/>
    <xf numFmtId="0" fontId="10" fillId="0" borderId="29" xfId="0" applyFont="1" applyBorder="1"/>
    <xf numFmtId="0" fontId="14" fillId="0" borderId="0" xfId="0" applyFont="1" applyAlignment="1">
      <alignment horizontal="center"/>
    </xf>
    <xf numFmtId="183" fontId="31" fillId="0" borderId="0" xfId="0" applyNumberFormat="1" applyFont="1" applyAlignment="1">
      <alignment horizontal="center"/>
    </xf>
    <xf numFmtId="183" fontId="31" fillId="0" borderId="22" xfId="0" applyNumberFormat="1" applyFont="1" applyBorder="1" applyAlignment="1">
      <alignment horizontal="center"/>
    </xf>
    <xf numFmtId="166" fontId="0" fillId="2" borderId="18" xfId="0" applyNumberFormat="1" applyFill="1" applyBorder="1" applyAlignment="1">
      <alignment horizontal="left"/>
    </xf>
    <xf numFmtId="170" fontId="0" fillId="2" borderId="18" xfId="0" applyNumberFormat="1" applyFill="1" applyBorder="1"/>
    <xf numFmtId="166" fontId="14" fillId="0" borderId="0" xfId="0" applyNumberFormat="1" applyFont="1" applyBorder="1" applyAlignment="1">
      <alignment horizontal="centerContinuous"/>
    </xf>
    <xf numFmtId="165" fontId="15" fillId="0" borderId="0" xfId="0" applyNumberFormat="1" applyFont="1" applyBorder="1"/>
    <xf numFmtId="166" fontId="10" fillId="0" borderId="0" xfId="0" applyNumberFormat="1" applyFont="1" applyBorder="1"/>
    <xf numFmtId="0" fontId="10" fillId="0" borderId="0" xfId="0" applyFont="1" applyBorder="1"/>
    <xf numFmtId="44" fontId="31" fillId="0" borderId="0" xfId="0" applyNumberFormat="1" applyFont="1" applyAlignment="1">
      <alignment horizontal="center"/>
    </xf>
    <xf numFmtId="44" fontId="31" fillId="0" borderId="22" xfId="0" applyNumberFormat="1" applyFont="1" applyBorder="1" applyAlignment="1">
      <alignment horizontal="center"/>
    </xf>
    <xf numFmtId="173" fontId="16" fillId="8" borderId="0" xfId="0" applyNumberFormat="1" applyFont="1" applyFill="1" applyAlignment="1">
      <alignment horizontal="center"/>
    </xf>
    <xf numFmtId="166" fontId="34" fillId="0" borderId="0" xfId="0" applyNumberFormat="1" applyFont="1" applyAlignment="1">
      <alignment horizontal="left"/>
    </xf>
    <xf numFmtId="181" fontId="0" fillId="2" borderId="18" xfId="0" applyNumberFormat="1" applyFill="1" applyBorder="1"/>
    <xf numFmtId="166" fontId="15" fillId="0" borderId="0" xfId="0" applyNumberFormat="1" applyFont="1" applyBorder="1" applyAlignment="1">
      <alignment horizontal="left" indent="1"/>
    </xf>
    <xf numFmtId="166" fontId="15" fillId="0" borderId="0" xfId="0" applyNumberFormat="1" applyFont="1" applyBorder="1"/>
    <xf numFmtId="166" fontId="14" fillId="0" borderId="0" xfId="0" applyNumberFormat="1" applyFont="1" applyBorder="1"/>
    <xf numFmtId="167" fontId="10" fillId="0" borderId="0" xfId="0" applyNumberFormat="1" applyFont="1" applyBorder="1"/>
    <xf numFmtId="165" fontId="10" fillId="0" borderId="0" xfId="0" applyNumberFormat="1" applyFont="1" applyBorder="1"/>
    <xf numFmtId="9" fontId="10" fillId="0" borderId="34" xfId="0" applyNumberFormat="1" applyFont="1" applyBorder="1"/>
    <xf numFmtId="0" fontId="0" fillId="0" borderId="0" xfId="0" applyBorder="1"/>
    <xf numFmtId="9" fontId="0" fillId="0" borderId="0" xfId="0" applyNumberFormat="1" applyBorder="1"/>
    <xf numFmtId="0" fontId="6" fillId="0" borderId="0" xfId="0" applyFont="1" applyBorder="1"/>
    <xf numFmtId="8" fontId="10" fillId="0" borderId="0" xfId="0" applyNumberFormat="1" applyFont="1"/>
    <xf numFmtId="166" fontId="10" fillId="0" borderId="0" xfId="0" applyNumberFormat="1" applyFont="1" applyAlignment="1">
      <alignment horizontal="right"/>
    </xf>
    <xf numFmtId="7" fontId="30" fillId="0" borderId="15" xfId="0" applyNumberFormat="1" applyFont="1" applyBorder="1"/>
    <xf numFmtId="166" fontId="16" fillId="0" borderId="0" xfId="0" applyNumberFormat="1" applyFont="1" applyBorder="1"/>
    <xf numFmtId="167" fontId="14" fillId="0" borderId="0" xfId="0" applyNumberFormat="1" applyFont="1" applyBorder="1"/>
    <xf numFmtId="166" fontId="14" fillId="0" borderId="45" xfId="0" applyNumberFormat="1" applyFont="1" applyBorder="1"/>
    <xf numFmtId="166" fontId="10" fillId="0" borderId="37" xfId="0" applyNumberFormat="1" applyFont="1" applyBorder="1"/>
    <xf numFmtId="165" fontId="14" fillId="0" borderId="0" xfId="0" applyNumberFormat="1" applyFont="1" applyBorder="1"/>
    <xf numFmtId="184" fontId="14" fillId="0" borderId="0" xfId="0" applyNumberFormat="1" applyFont="1" applyBorder="1"/>
    <xf numFmtId="9" fontId="14" fillId="0" borderId="0" xfId="0" applyNumberFormat="1" applyFont="1" applyBorder="1"/>
    <xf numFmtId="166" fontId="14" fillId="0" borderId="0" xfId="0" applyNumberFormat="1" applyFont="1" applyBorder="1" applyAlignment="1">
      <alignment horizontal="center"/>
    </xf>
    <xf numFmtId="166" fontId="31" fillId="0" borderId="0" xfId="0" applyNumberFormat="1" applyFont="1" applyBorder="1" applyAlignment="1">
      <alignment horizontal="center"/>
    </xf>
    <xf numFmtId="7" fontId="16" fillId="0" borderId="0" xfId="0" applyNumberFormat="1" applyFont="1" applyBorder="1"/>
    <xf numFmtId="165" fontId="16" fillId="0" borderId="0" xfId="0" applyNumberFormat="1" applyFont="1" applyBorder="1"/>
    <xf numFmtId="165" fontId="17" fillId="0" borderId="0" xfId="0" applyNumberFormat="1" applyFont="1" applyBorder="1"/>
    <xf numFmtId="9" fontId="10" fillId="0" borderId="0" xfId="0" applyNumberFormat="1" applyFont="1" applyBorder="1"/>
    <xf numFmtId="166" fontId="17" fillId="0" borderId="0" xfId="0" applyNumberFormat="1" applyFont="1" applyBorder="1"/>
    <xf numFmtId="175" fontId="31" fillId="0" borderId="0" xfId="0" applyNumberFormat="1" applyFont="1" applyBorder="1" applyAlignment="1">
      <alignment horizontal="center"/>
    </xf>
    <xf numFmtId="166" fontId="31" fillId="0" borderId="0" xfId="0" quotePrefix="1" applyNumberFormat="1" applyFont="1" applyBorder="1" applyAlignment="1">
      <alignment horizontal="center"/>
    </xf>
    <xf numFmtId="7" fontId="10" fillId="0" borderId="0" xfId="0" applyNumberFormat="1" applyFont="1" applyFill="1" applyBorder="1"/>
    <xf numFmtId="9" fontId="15" fillId="0" borderId="0" xfId="0" applyNumberFormat="1" applyFont="1" applyBorder="1"/>
    <xf numFmtId="174" fontId="10" fillId="0" borderId="0" xfId="0" applyNumberFormat="1" applyFont="1" applyBorder="1"/>
    <xf numFmtId="166" fontId="31" fillId="0" borderId="0" xfId="0" applyNumberFormat="1" applyFont="1" applyBorder="1" applyAlignment="1">
      <alignment horizontal="centerContinuous"/>
    </xf>
    <xf numFmtId="7" fontId="26" fillId="0" borderId="0" xfId="0" applyNumberFormat="1" applyFont="1" applyBorder="1"/>
    <xf numFmtId="166" fontId="26" fillId="0" borderId="0" xfId="0" applyNumberFormat="1" applyFont="1" applyBorder="1"/>
    <xf numFmtId="174" fontId="14" fillId="0" borderId="15" xfId="0" applyNumberFormat="1" applyFont="1" applyBorder="1"/>
    <xf numFmtId="174" fontId="14" fillId="0" borderId="20" xfId="0" applyNumberFormat="1" applyFont="1" applyBorder="1"/>
    <xf numFmtId="174" fontId="10" fillId="0" borderId="16" xfId="0" applyNumberFormat="1" applyFont="1" applyBorder="1"/>
    <xf numFmtId="174" fontId="10" fillId="0" borderId="41" xfId="0" applyNumberFormat="1" applyFont="1" applyBorder="1"/>
    <xf numFmtId="174" fontId="14" fillId="0" borderId="29" xfId="0" applyNumberFormat="1" applyFont="1" applyBorder="1"/>
    <xf numFmtId="166" fontId="15" fillId="0" borderId="44" xfId="0" applyNumberFormat="1" applyFont="1" applyBorder="1"/>
    <xf numFmtId="166" fontId="10" fillId="0" borderId="44" xfId="0" applyNumberFormat="1" applyFont="1" applyBorder="1"/>
    <xf numFmtId="166" fontId="14" fillId="0" borderId="44" xfId="0" applyNumberFormat="1" applyFont="1" applyBorder="1" applyAlignment="1">
      <alignment horizontal="centerContinuous"/>
    </xf>
    <xf numFmtId="166" fontId="10" fillId="0" borderId="44" xfId="0" applyNumberFormat="1" applyFont="1" applyBorder="1" applyAlignment="1">
      <alignment horizontal="centerContinuous"/>
    </xf>
    <xf numFmtId="166" fontId="35" fillId="0" borderId="0" xfId="0" applyNumberFormat="1" applyFont="1" applyFill="1" applyAlignment="1">
      <alignment horizontal="left"/>
    </xf>
    <xf numFmtId="166" fontId="35" fillId="0" borderId="0" xfId="0" applyNumberFormat="1" applyFont="1" applyFill="1" applyAlignment="1">
      <alignment horizontal="centerContinuous"/>
    </xf>
    <xf numFmtId="0" fontId="10" fillId="0" borderId="0" xfId="0" applyFont="1" applyFill="1" applyAlignment="1">
      <alignment horizontal="center"/>
    </xf>
    <xf numFmtId="0" fontId="10" fillId="0" borderId="0" xfId="0" applyFont="1" applyFill="1"/>
    <xf numFmtId="166" fontId="36" fillId="0" borderId="0" xfId="0" applyNumberFormat="1" applyFont="1" applyFill="1" applyAlignment="1">
      <alignment horizontal="left"/>
    </xf>
    <xf numFmtId="166" fontId="35" fillId="0" borderId="0" xfId="0" applyNumberFormat="1" applyFont="1" applyFill="1" applyAlignment="1"/>
    <xf numFmtId="0" fontId="26" fillId="9" borderId="0" xfId="0" applyNumberFormat="1" applyFont="1" applyFill="1" applyBorder="1" applyAlignment="1"/>
    <xf numFmtId="165" fontId="17" fillId="0" borderId="0" xfId="0" applyNumberFormat="1" applyFont="1" applyFill="1" applyBorder="1"/>
    <xf numFmtId="165" fontId="17" fillId="0" borderId="0" xfId="0" applyNumberFormat="1" applyFont="1" applyFill="1" applyBorder="1" applyAlignment="1"/>
    <xf numFmtId="165" fontId="17" fillId="0" borderId="22" xfId="0" applyNumberFormat="1" applyFont="1" applyFill="1" applyBorder="1" applyAlignment="1"/>
    <xf numFmtId="0" fontId="17" fillId="0" borderId="0" xfId="0" applyNumberFormat="1" applyFont="1" applyFill="1" applyBorder="1" applyAlignment="1"/>
    <xf numFmtId="0" fontId="17" fillId="0" borderId="22" xfId="0" applyNumberFormat="1" applyFont="1" applyFill="1" applyBorder="1" applyAlignment="1"/>
    <xf numFmtId="166" fontId="17" fillId="0" borderId="0" xfId="0" applyNumberFormat="1" applyFont="1" applyFill="1" applyBorder="1" applyAlignment="1"/>
    <xf numFmtId="166" fontId="17" fillId="0" borderId="22" xfId="0" applyNumberFormat="1" applyFont="1" applyFill="1" applyBorder="1" applyAlignment="1"/>
    <xf numFmtId="165" fontId="17" fillId="0" borderId="29" xfId="0" applyNumberFormat="1" applyFont="1" applyFill="1" applyBorder="1" applyAlignment="1"/>
    <xf numFmtId="165" fontId="17" fillId="0" borderId="34" xfId="0" applyNumberFormat="1" applyFont="1" applyFill="1" applyBorder="1" applyAlignment="1"/>
    <xf numFmtId="0" fontId="0" fillId="0" borderId="0" xfId="0" applyAlignment="1">
      <alignment horizontal="left" indent="3"/>
    </xf>
    <xf numFmtId="167" fontId="14" fillId="0" borderId="16" xfId="0" applyNumberFormat="1" applyFont="1" applyBorder="1"/>
    <xf numFmtId="165" fontId="30" fillId="0" borderId="16" xfId="0" applyNumberFormat="1" applyFont="1" applyBorder="1"/>
    <xf numFmtId="167" fontId="30" fillId="0" borderId="15" xfId="0" applyNumberFormat="1" applyFont="1" applyBorder="1"/>
    <xf numFmtId="9" fontId="17" fillId="0" borderId="0" xfId="0" applyNumberFormat="1" applyFont="1" applyFill="1" applyBorder="1"/>
    <xf numFmtId="0" fontId="0" fillId="0" borderId="18" xfId="0" applyBorder="1" applyAlignment="1">
      <alignment horizontal="left" indent="3"/>
    </xf>
    <xf numFmtId="174" fontId="10" fillId="0" borderId="0" xfId="0" applyNumberFormat="1" applyFont="1" applyAlignment="1">
      <alignment horizontal="center"/>
    </xf>
    <xf numFmtId="174" fontId="10" fillId="0" borderId="17" xfId="0" applyNumberFormat="1" applyFont="1" applyBorder="1" applyAlignment="1">
      <alignment horizontal="center"/>
    </xf>
    <xf numFmtId="174" fontId="10" fillId="0" borderId="43" xfId="0" applyNumberFormat="1" applyFont="1" applyBorder="1" applyAlignment="1">
      <alignment horizontal="center"/>
    </xf>
    <xf numFmtId="166" fontId="14" fillId="0" borderId="44" xfId="0" applyNumberFormat="1" applyFont="1" applyBorder="1" applyAlignment="1">
      <alignment horizontal="center"/>
    </xf>
    <xf numFmtId="166" fontId="14" fillId="0" borderId="32" xfId="0" applyNumberFormat="1" applyFont="1" applyBorder="1" applyAlignment="1">
      <alignment horizontal="center"/>
    </xf>
    <xf numFmtId="174" fontId="10" fillId="0" borderId="44" xfId="0" applyNumberFormat="1" applyFont="1" applyBorder="1"/>
    <xf numFmtId="166" fontId="14" fillId="0" borderId="46" xfId="0" applyNumberFormat="1" applyFont="1" applyBorder="1" applyAlignment="1">
      <alignment horizontal="center"/>
    </xf>
    <xf numFmtId="175" fontId="14" fillId="0" borderId="46" xfId="0" applyNumberFormat="1" applyFont="1" applyBorder="1" applyAlignment="1">
      <alignment horizontal="center"/>
    </xf>
    <xf numFmtId="166" fontId="10" fillId="0" borderId="42" xfId="0" applyNumberFormat="1" applyFont="1" applyBorder="1"/>
    <xf numFmtId="166" fontId="14" fillId="0" borderId="29" xfId="0" applyNumberFormat="1" applyFont="1" applyBorder="1" applyAlignment="1">
      <alignment horizontal="centerContinuous"/>
    </xf>
    <xf numFmtId="166" fontId="14" fillId="0" borderId="34" xfId="0" applyNumberFormat="1" applyFont="1" applyBorder="1" applyAlignment="1">
      <alignment horizontal="centerContinuous"/>
    </xf>
    <xf numFmtId="0" fontId="27" fillId="0" borderId="0" xfId="0" applyFont="1" applyBorder="1"/>
    <xf numFmtId="165" fontId="14" fillId="0" borderId="47" xfId="0" applyNumberFormat="1" applyFont="1" applyBorder="1"/>
    <xf numFmtId="0" fontId="15" fillId="0" borderId="0" xfId="0" applyFont="1" applyBorder="1"/>
    <xf numFmtId="166" fontId="27" fillId="0" borderId="0" xfId="0" applyNumberFormat="1" applyFont="1" applyBorder="1"/>
    <xf numFmtId="7" fontId="17" fillId="0" borderId="0" xfId="0" applyNumberFormat="1" applyFont="1" applyBorder="1"/>
    <xf numFmtId="7" fontId="35" fillId="0" borderId="15" xfId="0" applyNumberFormat="1" applyFont="1" applyBorder="1"/>
    <xf numFmtId="166" fontId="35" fillId="0" borderId="36" xfId="0" applyNumberFormat="1" applyFont="1" applyBorder="1"/>
    <xf numFmtId="167" fontId="17" fillId="0" borderId="0" xfId="0" applyNumberFormat="1" applyFont="1" applyBorder="1"/>
    <xf numFmtId="167" fontId="35" fillId="0" borderId="36" xfId="0" applyNumberFormat="1" applyFont="1" applyBorder="1"/>
    <xf numFmtId="167" fontId="35" fillId="0" borderId="15" xfId="0" applyNumberFormat="1" applyFont="1" applyBorder="1"/>
    <xf numFmtId="174" fontId="17" fillId="0" borderId="0" xfId="0" applyNumberFormat="1" applyFont="1" applyBorder="1"/>
    <xf numFmtId="173" fontId="17" fillId="0" borderId="0" xfId="0" applyNumberFormat="1" applyFont="1" applyBorder="1"/>
    <xf numFmtId="174" fontId="17" fillId="0" borderId="29" xfId="0" applyNumberFormat="1" applyFont="1" applyBorder="1"/>
    <xf numFmtId="167" fontId="0" fillId="2" borderId="0" xfId="0" applyNumberFormat="1" applyFont="1" applyFill="1" applyBorder="1" applyAlignment="1">
      <alignment horizontal="right"/>
    </xf>
    <xf numFmtId="166" fontId="0" fillId="2" borderId="0" xfId="0" applyNumberFormat="1" applyFont="1" applyFill="1" applyBorder="1" applyAlignment="1">
      <alignment horizontal="right"/>
    </xf>
    <xf numFmtId="173" fontId="0" fillId="2" borderId="18" xfId="0" applyNumberFormat="1" applyFont="1" applyFill="1" applyBorder="1" applyAlignment="1">
      <alignment horizontal="right"/>
    </xf>
    <xf numFmtId="173" fontId="0" fillId="2" borderId="0" xfId="0" applyNumberFormat="1" applyFont="1" applyFill="1" applyBorder="1" applyAlignment="1">
      <alignment horizontal="right"/>
    </xf>
    <xf numFmtId="165" fontId="0" fillId="2" borderId="0" xfId="0" applyNumberFormat="1" applyFont="1" applyFill="1" applyBorder="1" applyAlignment="1">
      <alignment horizontal="right"/>
    </xf>
    <xf numFmtId="165" fontId="0" fillId="2" borderId="18" xfId="0" applyNumberFormat="1" applyFont="1" applyFill="1" applyBorder="1" applyAlignment="1">
      <alignment horizontal="right"/>
    </xf>
    <xf numFmtId="166" fontId="0" fillId="2" borderId="18" xfId="0" applyNumberFormat="1" applyFont="1" applyFill="1" applyBorder="1" applyAlignment="1">
      <alignment horizontal="right"/>
    </xf>
    <xf numFmtId="10" fontId="0" fillId="2" borderId="0" xfId="0" applyNumberFormat="1" applyFont="1" applyFill="1" applyBorder="1" applyAlignment="1">
      <alignment horizontal="right"/>
    </xf>
    <xf numFmtId="10" fontId="0" fillId="2" borderId="18" xfId="0" applyNumberFormat="1" applyFont="1" applyFill="1" applyBorder="1" applyAlignment="1">
      <alignment horizontal="right"/>
    </xf>
    <xf numFmtId="174" fontId="0" fillId="2" borderId="0" xfId="0" applyNumberFormat="1" applyFill="1" applyBorder="1" applyAlignment="1">
      <alignment horizontal="center"/>
    </xf>
    <xf numFmtId="174" fontId="0" fillId="2" borderId="18" xfId="0" applyNumberFormat="1" applyFill="1" applyBorder="1" applyAlignment="1">
      <alignment horizontal="center"/>
    </xf>
    <xf numFmtId="166" fontId="5" fillId="2" borderId="0" xfId="1" applyNumberFormat="1" applyFill="1"/>
    <xf numFmtId="173" fontId="16" fillId="8" borderId="0" xfId="0" applyNumberFormat="1" applyFont="1" applyFill="1"/>
    <xf numFmtId="0" fontId="16" fillId="8" borderId="0" xfId="0" applyFont="1" applyFill="1"/>
    <xf numFmtId="166" fontId="16" fillId="8" borderId="0" xfId="0" applyNumberFormat="1" applyFont="1" applyFill="1"/>
    <xf numFmtId="0" fontId="26" fillId="9" borderId="0" xfId="0" applyFont="1" applyFill="1"/>
    <xf numFmtId="0" fontId="37" fillId="0" borderId="0" xfId="0" applyFont="1"/>
    <xf numFmtId="0" fontId="38" fillId="0" borderId="0" xfId="0" applyFont="1"/>
    <xf numFmtId="166" fontId="39" fillId="0" borderId="0" xfId="0" quotePrefix="1" applyNumberFormat="1" applyFont="1" applyFill="1" applyAlignment="1"/>
    <xf numFmtId="166" fontId="40" fillId="0" borderId="0" xfId="0" applyNumberFormat="1" applyFont="1" applyBorder="1" applyAlignment="1">
      <alignment horizontal="center"/>
    </xf>
  </cellXfs>
  <cellStyles count="3">
    <cellStyle name="Hipervínculo" xfId="1" builtinId="8"/>
    <cellStyle name="Normal" xfId="0" builtinId="0"/>
    <cellStyle name="Normal 2" xfId="2" xr:uid="{00000000-0005-0000-0000-000002000000}"/>
  </cellStyles>
  <dxfs count="0"/>
  <tableStyles count="0" defaultTableStyle="TableStyleMedium2" defaultPivotStyle="PivotStyleLight16"/>
  <colors>
    <mruColors>
      <color rgb="FF333399"/>
      <color rgb="FFAACCFF"/>
      <color rgb="FFDDE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709771855441143E-2"/>
          <c:y val="3.9173921970113143E-2"/>
          <c:w val="0.87614492899925966"/>
          <c:h val="0.79674720147161093"/>
        </c:manualLayout>
      </c:layout>
      <c:lineChart>
        <c:grouping val="standard"/>
        <c:varyColors val="0"/>
        <c:ser>
          <c:idx val="0"/>
          <c:order val="0"/>
          <c:tx>
            <c:strRef>
              <c:f>Exhibits!$EE$28</c:f>
              <c:strCache>
                <c:ptCount val="1"/>
                <c:pt idx="0">
                  <c:v>PNRA</c:v>
                </c:pt>
              </c:strCache>
            </c:strRef>
          </c:tx>
          <c:spPr>
            <a:ln w="12700" cap="rnd">
              <a:solidFill>
                <a:schemeClr val="accent1"/>
              </a:solidFill>
              <a:round/>
            </a:ln>
            <a:effectLst/>
          </c:spPr>
          <c:marker>
            <c:symbol val="none"/>
          </c:marker>
          <c:cat>
            <c:numRef>
              <c:f>Exhibits!$EB$102:$EB$859</c:f>
              <c:numCache>
                <c:formatCode>m/d/yyyy</c:formatCode>
                <c:ptCount val="758"/>
                <c:pt idx="0">
                  <c:v>42825</c:v>
                </c:pt>
                <c:pt idx="1">
                  <c:v>42824</c:v>
                </c:pt>
                <c:pt idx="2">
                  <c:v>42823</c:v>
                </c:pt>
                <c:pt idx="3">
                  <c:v>42822</c:v>
                </c:pt>
                <c:pt idx="4">
                  <c:v>42821</c:v>
                </c:pt>
                <c:pt idx="5">
                  <c:v>42818</c:v>
                </c:pt>
                <c:pt idx="6">
                  <c:v>42817</c:v>
                </c:pt>
                <c:pt idx="7">
                  <c:v>42816</c:v>
                </c:pt>
                <c:pt idx="8">
                  <c:v>42815</c:v>
                </c:pt>
                <c:pt idx="9">
                  <c:v>42814</c:v>
                </c:pt>
                <c:pt idx="10">
                  <c:v>42811</c:v>
                </c:pt>
                <c:pt idx="11">
                  <c:v>42810</c:v>
                </c:pt>
                <c:pt idx="12">
                  <c:v>42809</c:v>
                </c:pt>
                <c:pt idx="13">
                  <c:v>42808</c:v>
                </c:pt>
                <c:pt idx="14">
                  <c:v>42807</c:v>
                </c:pt>
                <c:pt idx="15">
                  <c:v>42804</c:v>
                </c:pt>
                <c:pt idx="16">
                  <c:v>42803</c:v>
                </c:pt>
                <c:pt idx="17">
                  <c:v>42802</c:v>
                </c:pt>
                <c:pt idx="18">
                  <c:v>42801</c:v>
                </c:pt>
                <c:pt idx="19">
                  <c:v>42800</c:v>
                </c:pt>
                <c:pt idx="20">
                  <c:v>42797</c:v>
                </c:pt>
                <c:pt idx="21">
                  <c:v>42796</c:v>
                </c:pt>
                <c:pt idx="22">
                  <c:v>42795</c:v>
                </c:pt>
                <c:pt idx="23">
                  <c:v>42794</c:v>
                </c:pt>
                <c:pt idx="24">
                  <c:v>42793</c:v>
                </c:pt>
                <c:pt idx="25">
                  <c:v>42790</c:v>
                </c:pt>
                <c:pt idx="26">
                  <c:v>42789</c:v>
                </c:pt>
                <c:pt idx="27">
                  <c:v>42788</c:v>
                </c:pt>
                <c:pt idx="28">
                  <c:v>42787</c:v>
                </c:pt>
                <c:pt idx="29">
                  <c:v>42783</c:v>
                </c:pt>
                <c:pt idx="30">
                  <c:v>42782</c:v>
                </c:pt>
                <c:pt idx="31">
                  <c:v>42781</c:v>
                </c:pt>
                <c:pt idx="32">
                  <c:v>42780</c:v>
                </c:pt>
                <c:pt idx="33">
                  <c:v>42779</c:v>
                </c:pt>
                <c:pt idx="34">
                  <c:v>42776</c:v>
                </c:pt>
                <c:pt idx="35">
                  <c:v>42775</c:v>
                </c:pt>
                <c:pt idx="36">
                  <c:v>42774</c:v>
                </c:pt>
                <c:pt idx="37">
                  <c:v>42773</c:v>
                </c:pt>
                <c:pt idx="38">
                  <c:v>42772</c:v>
                </c:pt>
                <c:pt idx="39">
                  <c:v>42769</c:v>
                </c:pt>
                <c:pt idx="40">
                  <c:v>42768</c:v>
                </c:pt>
                <c:pt idx="41">
                  <c:v>42767</c:v>
                </c:pt>
                <c:pt idx="42">
                  <c:v>42766</c:v>
                </c:pt>
                <c:pt idx="43">
                  <c:v>42765</c:v>
                </c:pt>
                <c:pt idx="44">
                  <c:v>42762</c:v>
                </c:pt>
                <c:pt idx="45">
                  <c:v>42761</c:v>
                </c:pt>
                <c:pt idx="46">
                  <c:v>42760</c:v>
                </c:pt>
                <c:pt idx="47">
                  <c:v>42759</c:v>
                </c:pt>
                <c:pt idx="48">
                  <c:v>42758</c:v>
                </c:pt>
                <c:pt idx="49">
                  <c:v>42755</c:v>
                </c:pt>
                <c:pt idx="50">
                  <c:v>42754</c:v>
                </c:pt>
                <c:pt idx="51">
                  <c:v>42753</c:v>
                </c:pt>
                <c:pt idx="52">
                  <c:v>42752</c:v>
                </c:pt>
                <c:pt idx="53">
                  <c:v>42748</c:v>
                </c:pt>
                <c:pt idx="54">
                  <c:v>42747</c:v>
                </c:pt>
                <c:pt idx="55">
                  <c:v>42746</c:v>
                </c:pt>
                <c:pt idx="56">
                  <c:v>42745</c:v>
                </c:pt>
                <c:pt idx="57">
                  <c:v>42744</c:v>
                </c:pt>
                <c:pt idx="58">
                  <c:v>42741</c:v>
                </c:pt>
                <c:pt idx="59">
                  <c:v>42740</c:v>
                </c:pt>
                <c:pt idx="60">
                  <c:v>42739</c:v>
                </c:pt>
                <c:pt idx="61">
                  <c:v>42738</c:v>
                </c:pt>
                <c:pt idx="62">
                  <c:v>42734</c:v>
                </c:pt>
                <c:pt idx="63">
                  <c:v>42733</c:v>
                </c:pt>
                <c:pt idx="64">
                  <c:v>42732</c:v>
                </c:pt>
                <c:pt idx="65">
                  <c:v>42731</c:v>
                </c:pt>
                <c:pt idx="66">
                  <c:v>42727</c:v>
                </c:pt>
                <c:pt idx="67">
                  <c:v>42726</c:v>
                </c:pt>
                <c:pt idx="68">
                  <c:v>42725</c:v>
                </c:pt>
                <c:pt idx="69">
                  <c:v>42724</c:v>
                </c:pt>
                <c:pt idx="70">
                  <c:v>42723</c:v>
                </c:pt>
                <c:pt idx="71">
                  <c:v>42720</c:v>
                </c:pt>
                <c:pt idx="72">
                  <c:v>42719</c:v>
                </c:pt>
                <c:pt idx="73">
                  <c:v>42718</c:v>
                </c:pt>
                <c:pt idx="74">
                  <c:v>42717</c:v>
                </c:pt>
                <c:pt idx="75">
                  <c:v>42716</c:v>
                </c:pt>
                <c:pt idx="76">
                  <c:v>42713</c:v>
                </c:pt>
                <c:pt idx="77">
                  <c:v>42712</c:v>
                </c:pt>
                <c:pt idx="78">
                  <c:v>42711</c:v>
                </c:pt>
                <c:pt idx="79">
                  <c:v>42710</c:v>
                </c:pt>
                <c:pt idx="80">
                  <c:v>42709</c:v>
                </c:pt>
                <c:pt idx="81">
                  <c:v>42706</c:v>
                </c:pt>
                <c:pt idx="82">
                  <c:v>42705</c:v>
                </c:pt>
                <c:pt idx="83">
                  <c:v>42704</c:v>
                </c:pt>
                <c:pt idx="84">
                  <c:v>42703</c:v>
                </c:pt>
                <c:pt idx="85">
                  <c:v>42702</c:v>
                </c:pt>
                <c:pt idx="86">
                  <c:v>42699</c:v>
                </c:pt>
                <c:pt idx="87">
                  <c:v>42697</c:v>
                </c:pt>
                <c:pt idx="88">
                  <c:v>42696</c:v>
                </c:pt>
                <c:pt idx="89">
                  <c:v>42695</c:v>
                </c:pt>
                <c:pt idx="90">
                  <c:v>42692</c:v>
                </c:pt>
                <c:pt idx="91">
                  <c:v>42691</c:v>
                </c:pt>
                <c:pt idx="92">
                  <c:v>42690</c:v>
                </c:pt>
                <c:pt idx="93">
                  <c:v>42689</c:v>
                </c:pt>
                <c:pt idx="94">
                  <c:v>42688</c:v>
                </c:pt>
                <c:pt idx="95">
                  <c:v>42685</c:v>
                </c:pt>
                <c:pt idx="96">
                  <c:v>42684</c:v>
                </c:pt>
                <c:pt idx="97">
                  <c:v>42683</c:v>
                </c:pt>
                <c:pt idx="98">
                  <c:v>42682</c:v>
                </c:pt>
                <c:pt idx="99">
                  <c:v>42681</c:v>
                </c:pt>
                <c:pt idx="100">
                  <c:v>42678</c:v>
                </c:pt>
                <c:pt idx="101">
                  <c:v>42677</c:v>
                </c:pt>
                <c:pt idx="102">
                  <c:v>42676</c:v>
                </c:pt>
                <c:pt idx="103">
                  <c:v>42675</c:v>
                </c:pt>
                <c:pt idx="104">
                  <c:v>42674</c:v>
                </c:pt>
                <c:pt idx="105">
                  <c:v>42671</c:v>
                </c:pt>
                <c:pt idx="106">
                  <c:v>42670</c:v>
                </c:pt>
                <c:pt idx="107">
                  <c:v>42669</c:v>
                </c:pt>
                <c:pt idx="108">
                  <c:v>42668</c:v>
                </c:pt>
                <c:pt idx="109">
                  <c:v>42667</c:v>
                </c:pt>
                <c:pt idx="110">
                  <c:v>42664</c:v>
                </c:pt>
                <c:pt idx="111">
                  <c:v>42663</c:v>
                </c:pt>
                <c:pt idx="112">
                  <c:v>42662</c:v>
                </c:pt>
                <c:pt idx="113">
                  <c:v>42661</c:v>
                </c:pt>
                <c:pt idx="114">
                  <c:v>42660</c:v>
                </c:pt>
                <c:pt idx="115">
                  <c:v>42657</c:v>
                </c:pt>
                <c:pt idx="116">
                  <c:v>42656</c:v>
                </c:pt>
                <c:pt idx="117">
                  <c:v>42655</c:v>
                </c:pt>
                <c:pt idx="118">
                  <c:v>42654</c:v>
                </c:pt>
                <c:pt idx="119">
                  <c:v>42653</c:v>
                </c:pt>
                <c:pt idx="120">
                  <c:v>42650</c:v>
                </c:pt>
                <c:pt idx="121">
                  <c:v>42649</c:v>
                </c:pt>
                <c:pt idx="122">
                  <c:v>42648</c:v>
                </c:pt>
                <c:pt idx="123">
                  <c:v>42647</c:v>
                </c:pt>
                <c:pt idx="124">
                  <c:v>42646</c:v>
                </c:pt>
                <c:pt idx="125">
                  <c:v>42643</c:v>
                </c:pt>
                <c:pt idx="126">
                  <c:v>42642</c:v>
                </c:pt>
                <c:pt idx="127">
                  <c:v>42641</c:v>
                </c:pt>
                <c:pt idx="128">
                  <c:v>42640</c:v>
                </c:pt>
                <c:pt idx="129">
                  <c:v>42639</c:v>
                </c:pt>
                <c:pt idx="130">
                  <c:v>42636</c:v>
                </c:pt>
                <c:pt idx="131">
                  <c:v>42635</c:v>
                </c:pt>
                <c:pt idx="132">
                  <c:v>42634</c:v>
                </c:pt>
                <c:pt idx="133">
                  <c:v>42633</c:v>
                </c:pt>
                <c:pt idx="134">
                  <c:v>42632</c:v>
                </c:pt>
                <c:pt idx="135">
                  <c:v>42629</c:v>
                </c:pt>
                <c:pt idx="136">
                  <c:v>42628</c:v>
                </c:pt>
                <c:pt idx="137">
                  <c:v>42627</c:v>
                </c:pt>
                <c:pt idx="138">
                  <c:v>42626</c:v>
                </c:pt>
                <c:pt idx="139">
                  <c:v>42625</c:v>
                </c:pt>
                <c:pt idx="140">
                  <c:v>42622</c:v>
                </c:pt>
                <c:pt idx="141">
                  <c:v>42621</c:v>
                </c:pt>
                <c:pt idx="142">
                  <c:v>42620</c:v>
                </c:pt>
                <c:pt idx="143">
                  <c:v>42619</c:v>
                </c:pt>
                <c:pt idx="144">
                  <c:v>42615</c:v>
                </c:pt>
                <c:pt idx="145">
                  <c:v>42614</c:v>
                </c:pt>
                <c:pt idx="146">
                  <c:v>42613</c:v>
                </c:pt>
                <c:pt idx="147">
                  <c:v>42612</c:v>
                </c:pt>
                <c:pt idx="148">
                  <c:v>42611</c:v>
                </c:pt>
                <c:pt idx="149">
                  <c:v>42608</c:v>
                </c:pt>
                <c:pt idx="150">
                  <c:v>42607</c:v>
                </c:pt>
                <c:pt idx="151">
                  <c:v>42606</c:v>
                </c:pt>
                <c:pt idx="152">
                  <c:v>42605</c:v>
                </c:pt>
                <c:pt idx="153">
                  <c:v>42604</c:v>
                </c:pt>
                <c:pt idx="154">
                  <c:v>42601</c:v>
                </c:pt>
                <c:pt idx="155">
                  <c:v>42600</c:v>
                </c:pt>
                <c:pt idx="156">
                  <c:v>42599</c:v>
                </c:pt>
                <c:pt idx="157">
                  <c:v>42598</c:v>
                </c:pt>
                <c:pt idx="158">
                  <c:v>42597</c:v>
                </c:pt>
                <c:pt idx="159">
                  <c:v>42594</c:v>
                </c:pt>
                <c:pt idx="160">
                  <c:v>42593</c:v>
                </c:pt>
                <c:pt idx="161">
                  <c:v>42592</c:v>
                </c:pt>
                <c:pt idx="162">
                  <c:v>42591</c:v>
                </c:pt>
                <c:pt idx="163">
                  <c:v>42590</c:v>
                </c:pt>
                <c:pt idx="164">
                  <c:v>42587</c:v>
                </c:pt>
                <c:pt idx="165">
                  <c:v>42586</c:v>
                </c:pt>
                <c:pt idx="166">
                  <c:v>42585</c:v>
                </c:pt>
                <c:pt idx="167">
                  <c:v>42584</c:v>
                </c:pt>
                <c:pt idx="168">
                  <c:v>42583</c:v>
                </c:pt>
                <c:pt idx="169">
                  <c:v>42580</c:v>
                </c:pt>
                <c:pt idx="170">
                  <c:v>42579</c:v>
                </c:pt>
                <c:pt idx="171">
                  <c:v>42578</c:v>
                </c:pt>
                <c:pt idx="172">
                  <c:v>42577</c:v>
                </c:pt>
                <c:pt idx="173">
                  <c:v>42576</c:v>
                </c:pt>
                <c:pt idx="174">
                  <c:v>42573</c:v>
                </c:pt>
                <c:pt idx="175">
                  <c:v>42572</c:v>
                </c:pt>
                <c:pt idx="176">
                  <c:v>42571</c:v>
                </c:pt>
                <c:pt idx="177">
                  <c:v>42570</c:v>
                </c:pt>
                <c:pt idx="178">
                  <c:v>42569</c:v>
                </c:pt>
                <c:pt idx="179">
                  <c:v>42566</c:v>
                </c:pt>
                <c:pt idx="180">
                  <c:v>42565</c:v>
                </c:pt>
                <c:pt idx="181">
                  <c:v>42564</c:v>
                </c:pt>
                <c:pt idx="182">
                  <c:v>42563</c:v>
                </c:pt>
                <c:pt idx="183">
                  <c:v>42562</c:v>
                </c:pt>
                <c:pt idx="184">
                  <c:v>42559</c:v>
                </c:pt>
                <c:pt idx="185">
                  <c:v>42558</c:v>
                </c:pt>
                <c:pt idx="186">
                  <c:v>42557</c:v>
                </c:pt>
                <c:pt idx="187">
                  <c:v>42556</c:v>
                </c:pt>
                <c:pt idx="188">
                  <c:v>42552</c:v>
                </c:pt>
                <c:pt idx="189">
                  <c:v>42551</c:v>
                </c:pt>
                <c:pt idx="190">
                  <c:v>42550</c:v>
                </c:pt>
                <c:pt idx="191">
                  <c:v>42549</c:v>
                </c:pt>
                <c:pt idx="192">
                  <c:v>42548</c:v>
                </c:pt>
                <c:pt idx="193">
                  <c:v>42545</c:v>
                </c:pt>
                <c:pt idx="194">
                  <c:v>42544</c:v>
                </c:pt>
                <c:pt idx="195">
                  <c:v>42543</c:v>
                </c:pt>
                <c:pt idx="196">
                  <c:v>42542</c:v>
                </c:pt>
                <c:pt idx="197">
                  <c:v>42541</c:v>
                </c:pt>
                <c:pt idx="198">
                  <c:v>42538</c:v>
                </c:pt>
                <c:pt idx="199">
                  <c:v>42537</c:v>
                </c:pt>
                <c:pt idx="200">
                  <c:v>42536</c:v>
                </c:pt>
                <c:pt idx="201">
                  <c:v>42535</c:v>
                </c:pt>
                <c:pt idx="202">
                  <c:v>42534</c:v>
                </c:pt>
                <c:pt idx="203">
                  <c:v>42531</c:v>
                </c:pt>
                <c:pt idx="204">
                  <c:v>42530</c:v>
                </c:pt>
                <c:pt idx="205">
                  <c:v>42529</c:v>
                </c:pt>
                <c:pt idx="206">
                  <c:v>42528</c:v>
                </c:pt>
                <c:pt idx="207">
                  <c:v>42527</c:v>
                </c:pt>
                <c:pt idx="208">
                  <c:v>42524</c:v>
                </c:pt>
                <c:pt idx="209">
                  <c:v>42523</c:v>
                </c:pt>
                <c:pt idx="210">
                  <c:v>42522</c:v>
                </c:pt>
                <c:pt idx="211">
                  <c:v>42521</c:v>
                </c:pt>
                <c:pt idx="212">
                  <c:v>42517</c:v>
                </c:pt>
                <c:pt idx="213">
                  <c:v>42516</c:v>
                </c:pt>
                <c:pt idx="214">
                  <c:v>42515</c:v>
                </c:pt>
                <c:pt idx="215">
                  <c:v>42514</c:v>
                </c:pt>
                <c:pt idx="216">
                  <c:v>42513</c:v>
                </c:pt>
                <c:pt idx="217">
                  <c:v>42510</c:v>
                </c:pt>
                <c:pt idx="218">
                  <c:v>42509</c:v>
                </c:pt>
                <c:pt idx="219">
                  <c:v>42508</c:v>
                </c:pt>
                <c:pt idx="220">
                  <c:v>42507</c:v>
                </c:pt>
                <c:pt idx="221">
                  <c:v>42506</c:v>
                </c:pt>
                <c:pt idx="222">
                  <c:v>42503</c:v>
                </c:pt>
                <c:pt idx="223">
                  <c:v>42502</c:v>
                </c:pt>
                <c:pt idx="224">
                  <c:v>42501</c:v>
                </c:pt>
                <c:pt idx="225">
                  <c:v>42500</c:v>
                </c:pt>
                <c:pt idx="226">
                  <c:v>42499</c:v>
                </c:pt>
                <c:pt idx="227">
                  <c:v>42496</c:v>
                </c:pt>
                <c:pt idx="228">
                  <c:v>42495</c:v>
                </c:pt>
                <c:pt idx="229">
                  <c:v>42494</c:v>
                </c:pt>
                <c:pt idx="230">
                  <c:v>42493</c:v>
                </c:pt>
                <c:pt idx="231">
                  <c:v>42492</c:v>
                </c:pt>
                <c:pt idx="232">
                  <c:v>42489</c:v>
                </c:pt>
                <c:pt idx="233">
                  <c:v>42488</c:v>
                </c:pt>
                <c:pt idx="234">
                  <c:v>42487</c:v>
                </c:pt>
                <c:pt idx="235">
                  <c:v>42486</c:v>
                </c:pt>
                <c:pt idx="236">
                  <c:v>42485</c:v>
                </c:pt>
                <c:pt idx="237">
                  <c:v>42482</c:v>
                </c:pt>
                <c:pt idx="238">
                  <c:v>42481</c:v>
                </c:pt>
                <c:pt idx="239">
                  <c:v>42480</c:v>
                </c:pt>
                <c:pt idx="240">
                  <c:v>42479</c:v>
                </c:pt>
                <c:pt idx="241">
                  <c:v>42478</c:v>
                </c:pt>
                <c:pt idx="242">
                  <c:v>42475</c:v>
                </c:pt>
                <c:pt idx="243">
                  <c:v>42474</c:v>
                </c:pt>
                <c:pt idx="244">
                  <c:v>42473</c:v>
                </c:pt>
                <c:pt idx="245">
                  <c:v>42472</c:v>
                </c:pt>
                <c:pt idx="246">
                  <c:v>42471</c:v>
                </c:pt>
                <c:pt idx="247">
                  <c:v>42468</c:v>
                </c:pt>
                <c:pt idx="248">
                  <c:v>42467</c:v>
                </c:pt>
                <c:pt idx="249">
                  <c:v>42466</c:v>
                </c:pt>
                <c:pt idx="250">
                  <c:v>42465</c:v>
                </c:pt>
                <c:pt idx="251">
                  <c:v>42464</c:v>
                </c:pt>
                <c:pt idx="252">
                  <c:v>42461</c:v>
                </c:pt>
                <c:pt idx="253">
                  <c:v>42460</c:v>
                </c:pt>
                <c:pt idx="254">
                  <c:v>42459</c:v>
                </c:pt>
                <c:pt idx="255">
                  <c:v>42458</c:v>
                </c:pt>
                <c:pt idx="256">
                  <c:v>42457</c:v>
                </c:pt>
                <c:pt idx="257">
                  <c:v>42453</c:v>
                </c:pt>
                <c:pt idx="258">
                  <c:v>42452</c:v>
                </c:pt>
                <c:pt idx="259">
                  <c:v>42451</c:v>
                </c:pt>
                <c:pt idx="260">
                  <c:v>42450</c:v>
                </c:pt>
                <c:pt idx="261">
                  <c:v>42447</c:v>
                </c:pt>
                <c:pt idx="262">
                  <c:v>42446</c:v>
                </c:pt>
                <c:pt idx="263">
                  <c:v>42445</c:v>
                </c:pt>
                <c:pt idx="264">
                  <c:v>42444</c:v>
                </c:pt>
                <c:pt idx="265">
                  <c:v>42443</c:v>
                </c:pt>
                <c:pt idx="266">
                  <c:v>42440</c:v>
                </c:pt>
                <c:pt idx="267">
                  <c:v>42439</c:v>
                </c:pt>
                <c:pt idx="268">
                  <c:v>42438</c:v>
                </c:pt>
                <c:pt idx="269">
                  <c:v>42437</c:v>
                </c:pt>
                <c:pt idx="270">
                  <c:v>42436</c:v>
                </c:pt>
                <c:pt idx="271">
                  <c:v>42433</c:v>
                </c:pt>
                <c:pt idx="272">
                  <c:v>42432</c:v>
                </c:pt>
                <c:pt idx="273">
                  <c:v>42431</c:v>
                </c:pt>
                <c:pt idx="274">
                  <c:v>42430</c:v>
                </c:pt>
                <c:pt idx="275">
                  <c:v>42429</c:v>
                </c:pt>
                <c:pt idx="276">
                  <c:v>42426</c:v>
                </c:pt>
                <c:pt idx="277">
                  <c:v>42425</c:v>
                </c:pt>
                <c:pt idx="278">
                  <c:v>42424</c:v>
                </c:pt>
                <c:pt idx="279">
                  <c:v>42423</c:v>
                </c:pt>
                <c:pt idx="280">
                  <c:v>42422</c:v>
                </c:pt>
                <c:pt idx="281">
                  <c:v>42419</c:v>
                </c:pt>
                <c:pt idx="282">
                  <c:v>42418</c:v>
                </c:pt>
                <c:pt idx="283">
                  <c:v>42417</c:v>
                </c:pt>
                <c:pt idx="284">
                  <c:v>42416</c:v>
                </c:pt>
                <c:pt idx="285">
                  <c:v>42412</c:v>
                </c:pt>
                <c:pt idx="286">
                  <c:v>42411</c:v>
                </c:pt>
                <c:pt idx="287">
                  <c:v>42410</c:v>
                </c:pt>
                <c:pt idx="288">
                  <c:v>42409</c:v>
                </c:pt>
                <c:pt idx="289">
                  <c:v>42408</c:v>
                </c:pt>
                <c:pt idx="290">
                  <c:v>42405</c:v>
                </c:pt>
                <c:pt idx="291">
                  <c:v>42404</c:v>
                </c:pt>
                <c:pt idx="292">
                  <c:v>42403</c:v>
                </c:pt>
                <c:pt idx="293">
                  <c:v>42402</c:v>
                </c:pt>
                <c:pt idx="294">
                  <c:v>42401</c:v>
                </c:pt>
                <c:pt idx="295">
                  <c:v>42398</c:v>
                </c:pt>
                <c:pt idx="296">
                  <c:v>42397</c:v>
                </c:pt>
                <c:pt idx="297">
                  <c:v>42396</c:v>
                </c:pt>
                <c:pt idx="298">
                  <c:v>42395</c:v>
                </c:pt>
                <c:pt idx="299">
                  <c:v>42394</c:v>
                </c:pt>
                <c:pt idx="300">
                  <c:v>42391</c:v>
                </c:pt>
                <c:pt idx="301">
                  <c:v>42390</c:v>
                </c:pt>
                <c:pt idx="302">
                  <c:v>42389</c:v>
                </c:pt>
                <c:pt idx="303">
                  <c:v>42388</c:v>
                </c:pt>
                <c:pt idx="304">
                  <c:v>42384</c:v>
                </c:pt>
                <c:pt idx="305">
                  <c:v>42383</c:v>
                </c:pt>
                <c:pt idx="306">
                  <c:v>42382</c:v>
                </c:pt>
                <c:pt idx="307">
                  <c:v>42381</c:v>
                </c:pt>
                <c:pt idx="308">
                  <c:v>42380</c:v>
                </c:pt>
                <c:pt idx="309">
                  <c:v>42377</c:v>
                </c:pt>
                <c:pt idx="310">
                  <c:v>42376</c:v>
                </c:pt>
                <c:pt idx="311">
                  <c:v>42375</c:v>
                </c:pt>
                <c:pt idx="312">
                  <c:v>42374</c:v>
                </c:pt>
                <c:pt idx="313">
                  <c:v>42373</c:v>
                </c:pt>
                <c:pt idx="314">
                  <c:v>42369</c:v>
                </c:pt>
                <c:pt idx="315">
                  <c:v>42368</c:v>
                </c:pt>
                <c:pt idx="316">
                  <c:v>42367</c:v>
                </c:pt>
                <c:pt idx="317">
                  <c:v>42366</c:v>
                </c:pt>
                <c:pt idx="318">
                  <c:v>42362</c:v>
                </c:pt>
                <c:pt idx="319">
                  <c:v>42361</c:v>
                </c:pt>
                <c:pt idx="320">
                  <c:v>42360</c:v>
                </c:pt>
                <c:pt idx="321">
                  <c:v>42359</c:v>
                </c:pt>
                <c:pt idx="322">
                  <c:v>42356</c:v>
                </c:pt>
                <c:pt idx="323">
                  <c:v>42355</c:v>
                </c:pt>
                <c:pt idx="324">
                  <c:v>42354</c:v>
                </c:pt>
                <c:pt idx="325">
                  <c:v>42353</c:v>
                </c:pt>
                <c:pt idx="326">
                  <c:v>42352</c:v>
                </c:pt>
                <c:pt idx="327">
                  <c:v>42349</c:v>
                </c:pt>
                <c:pt idx="328">
                  <c:v>42348</c:v>
                </c:pt>
                <c:pt idx="329">
                  <c:v>42347</c:v>
                </c:pt>
                <c:pt idx="330">
                  <c:v>42346</c:v>
                </c:pt>
                <c:pt idx="331">
                  <c:v>42345</c:v>
                </c:pt>
                <c:pt idx="332">
                  <c:v>42342</c:v>
                </c:pt>
                <c:pt idx="333">
                  <c:v>42341</c:v>
                </c:pt>
                <c:pt idx="334">
                  <c:v>42340</c:v>
                </c:pt>
                <c:pt idx="335">
                  <c:v>42339</c:v>
                </c:pt>
                <c:pt idx="336">
                  <c:v>42338</c:v>
                </c:pt>
                <c:pt idx="337">
                  <c:v>42335</c:v>
                </c:pt>
                <c:pt idx="338">
                  <c:v>42333</c:v>
                </c:pt>
                <c:pt idx="339">
                  <c:v>42332</c:v>
                </c:pt>
                <c:pt idx="340">
                  <c:v>42331</c:v>
                </c:pt>
                <c:pt idx="341">
                  <c:v>42328</c:v>
                </c:pt>
                <c:pt idx="342">
                  <c:v>42327</c:v>
                </c:pt>
                <c:pt idx="343">
                  <c:v>42326</c:v>
                </c:pt>
                <c:pt idx="344">
                  <c:v>42325</c:v>
                </c:pt>
                <c:pt idx="345">
                  <c:v>42324</c:v>
                </c:pt>
                <c:pt idx="346">
                  <c:v>42321</c:v>
                </c:pt>
                <c:pt idx="347">
                  <c:v>42320</c:v>
                </c:pt>
                <c:pt idx="348">
                  <c:v>42319</c:v>
                </c:pt>
                <c:pt idx="349">
                  <c:v>42318</c:v>
                </c:pt>
                <c:pt idx="350">
                  <c:v>42317</c:v>
                </c:pt>
                <c:pt idx="351">
                  <c:v>42314</c:v>
                </c:pt>
                <c:pt idx="352">
                  <c:v>42313</c:v>
                </c:pt>
                <c:pt idx="353">
                  <c:v>42312</c:v>
                </c:pt>
                <c:pt idx="354">
                  <c:v>42311</c:v>
                </c:pt>
                <c:pt idx="355">
                  <c:v>42310</c:v>
                </c:pt>
                <c:pt idx="356">
                  <c:v>42307</c:v>
                </c:pt>
                <c:pt idx="357">
                  <c:v>42306</c:v>
                </c:pt>
                <c:pt idx="358">
                  <c:v>42305</c:v>
                </c:pt>
                <c:pt idx="359">
                  <c:v>42304</c:v>
                </c:pt>
                <c:pt idx="360">
                  <c:v>42303</c:v>
                </c:pt>
                <c:pt idx="361">
                  <c:v>42300</c:v>
                </c:pt>
                <c:pt idx="362">
                  <c:v>42299</c:v>
                </c:pt>
                <c:pt idx="363">
                  <c:v>42298</c:v>
                </c:pt>
                <c:pt idx="364">
                  <c:v>42297</c:v>
                </c:pt>
                <c:pt idx="365">
                  <c:v>42296</c:v>
                </c:pt>
                <c:pt idx="366">
                  <c:v>42293</c:v>
                </c:pt>
                <c:pt idx="367">
                  <c:v>42292</c:v>
                </c:pt>
                <c:pt idx="368">
                  <c:v>42291</c:v>
                </c:pt>
                <c:pt idx="369">
                  <c:v>42290</c:v>
                </c:pt>
                <c:pt idx="370">
                  <c:v>42289</c:v>
                </c:pt>
                <c:pt idx="371">
                  <c:v>42286</c:v>
                </c:pt>
                <c:pt idx="372">
                  <c:v>42285</c:v>
                </c:pt>
                <c:pt idx="373">
                  <c:v>42284</c:v>
                </c:pt>
                <c:pt idx="374">
                  <c:v>42283</c:v>
                </c:pt>
                <c:pt idx="375">
                  <c:v>42282</c:v>
                </c:pt>
                <c:pt idx="376">
                  <c:v>42279</c:v>
                </c:pt>
                <c:pt idx="377">
                  <c:v>42278</c:v>
                </c:pt>
                <c:pt idx="378">
                  <c:v>42277</c:v>
                </c:pt>
                <c:pt idx="379">
                  <c:v>42276</c:v>
                </c:pt>
                <c:pt idx="380">
                  <c:v>42275</c:v>
                </c:pt>
                <c:pt idx="381">
                  <c:v>42272</c:v>
                </c:pt>
                <c:pt idx="382">
                  <c:v>42271</c:v>
                </c:pt>
                <c:pt idx="383">
                  <c:v>42270</c:v>
                </c:pt>
                <c:pt idx="384">
                  <c:v>42269</c:v>
                </c:pt>
                <c:pt idx="385">
                  <c:v>42268</c:v>
                </c:pt>
                <c:pt idx="386">
                  <c:v>42265</c:v>
                </c:pt>
                <c:pt idx="387">
                  <c:v>42264</c:v>
                </c:pt>
                <c:pt idx="388">
                  <c:v>42263</c:v>
                </c:pt>
                <c:pt idx="389">
                  <c:v>42262</c:v>
                </c:pt>
                <c:pt idx="390">
                  <c:v>42261</c:v>
                </c:pt>
                <c:pt idx="391">
                  <c:v>42258</c:v>
                </c:pt>
                <c:pt idx="392">
                  <c:v>42257</c:v>
                </c:pt>
                <c:pt idx="393">
                  <c:v>42256</c:v>
                </c:pt>
                <c:pt idx="394">
                  <c:v>42255</c:v>
                </c:pt>
                <c:pt idx="395">
                  <c:v>42251</c:v>
                </c:pt>
                <c:pt idx="396">
                  <c:v>42250</c:v>
                </c:pt>
                <c:pt idx="397">
                  <c:v>42249</c:v>
                </c:pt>
                <c:pt idx="398">
                  <c:v>42248</c:v>
                </c:pt>
                <c:pt idx="399">
                  <c:v>42247</c:v>
                </c:pt>
                <c:pt idx="400">
                  <c:v>42244</c:v>
                </c:pt>
                <c:pt idx="401">
                  <c:v>42243</c:v>
                </c:pt>
                <c:pt idx="402">
                  <c:v>42242</c:v>
                </c:pt>
                <c:pt idx="403">
                  <c:v>42241</c:v>
                </c:pt>
                <c:pt idx="404">
                  <c:v>42240</c:v>
                </c:pt>
                <c:pt idx="405">
                  <c:v>42237</c:v>
                </c:pt>
                <c:pt idx="406">
                  <c:v>42236</c:v>
                </c:pt>
                <c:pt idx="407">
                  <c:v>42235</c:v>
                </c:pt>
                <c:pt idx="408">
                  <c:v>42234</c:v>
                </c:pt>
                <c:pt idx="409">
                  <c:v>42233</c:v>
                </c:pt>
                <c:pt idx="410">
                  <c:v>42230</c:v>
                </c:pt>
                <c:pt idx="411">
                  <c:v>42229</c:v>
                </c:pt>
                <c:pt idx="412">
                  <c:v>42228</c:v>
                </c:pt>
                <c:pt idx="413">
                  <c:v>42227</c:v>
                </c:pt>
                <c:pt idx="414">
                  <c:v>42226</c:v>
                </c:pt>
                <c:pt idx="415">
                  <c:v>42223</c:v>
                </c:pt>
                <c:pt idx="416">
                  <c:v>42222</c:v>
                </c:pt>
                <c:pt idx="417">
                  <c:v>42221</c:v>
                </c:pt>
                <c:pt idx="418">
                  <c:v>42220</c:v>
                </c:pt>
                <c:pt idx="419">
                  <c:v>42219</c:v>
                </c:pt>
                <c:pt idx="420">
                  <c:v>42216</c:v>
                </c:pt>
                <c:pt idx="421">
                  <c:v>42215</c:v>
                </c:pt>
                <c:pt idx="422">
                  <c:v>42214</c:v>
                </c:pt>
                <c:pt idx="423">
                  <c:v>42213</c:v>
                </c:pt>
                <c:pt idx="424">
                  <c:v>42212</c:v>
                </c:pt>
                <c:pt idx="425">
                  <c:v>42209</c:v>
                </c:pt>
                <c:pt idx="426">
                  <c:v>42208</c:v>
                </c:pt>
                <c:pt idx="427">
                  <c:v>42207</c:v>
                </c:pt>
                <c:pt idx="428">
                  <c:v>42206</c:v>
                </c:pt>
                <c:pt idx="429">
                  <c:v>42205</c:v>
                </c:pt>
                <c:pt idx="430">
                  <c:v>42202</c:v>
                </c:pt>
                <c:pt idx="431">
                  <c:v>42201</c:v>
                </c:pt>
                <c:pt idx="432">
                  <c:v>42200</c:v>
                </c:pt>
                <c:pt idx="433">
                  <c:v>42199</c:v>
                </c:pt>
                <c:pt idx="434">
                  <c:v>42198</c:v>
                </c:pt>
                <c:pt idx="435">
                  <c:v>42195</c:v>
                </c:pt>
                <c:pt idx="436">
                  <c:v>42194</c:v>
                </c:pt>
                <c:pt idx="437">
                  <c:v>42193</c:v>
                </c:pt>
                <c:pt idx="438">
                  <c:v>42192</c:v>
                </c:pt>
                <c:pt idx="439">
                  <c:v>42191</c:v>
                </c:pt>
                <c:pt idx="440">
                  <c:v>42187</c:v>
                </c:pt>
                <c:pt idx="441">
                  <c:v>42186</c:v>
                </c:pt>
                <c:pt idx="442">
                  <c:v>42185</c:v>
                </c:pt>
                <c:pt idx="443">
                  <c:v>42184</c:v>
                </c:pt>
                <c:pt idx="444">
                  <c:v>42181</c:v>
                </c:pt>
                <c:pt idx="445">
                  <c:v>42180</c:v>
                </c:pt>
                <c:pt idx="446">
                  <c:v>42179</c:v>
                </c:pt>
                <c:pt idx="447">
                  <c:v>42178</c:v>
                </c:pt>
                <c:pt idx="448">
                  <c:v>42177</c:v>
                </c:pt>
                <c:pt idx="449">
                  <c:v>42174</c:v>
                </c:pt>
                <c:pt idx="450">
                  <c:v>42173</c:v>
                </c:pt>
                <c:pt idx="451">
                  <c:v>42172</c:v>
                </c:pt>
                <c:pt idx="452">
                  <c:v>42171</c:v>
                </c:pt>
                <c:pt idx="453">
                  <c:v>42170</c:v>
                </c:pt>
                <c:pt idx="454">
                  <c:v>42167</c:v>
                </c:pt>
                <c:pt idx="455">
                  <c:v>42166</c:v>
                </c:pt>
                <c:pt idx="456">
                  <c:v>42165</c:v>
                </c:pt>
                <c:pt idx="457">
                  <c:v>42164</c:v>
                </c:pt>
                <c:pt idx="458">
                  <c:v>42163</c:v>
                </c:pt>
                <c:pt idx="459">
                  <c:v>42160</c:v>
                </c:pt>
                <c:pt idx="460">
                  <c:v>42159</c:v>
                </c:pt>
                <c:pt idx="461">
                  <c:v>42158</c:v>
                </c:pt>
                <c:pt idx="462">
                  <c:v>42157</c:v>
                </c:pt>
                <c:pt idx="463">
                  <c:v>42156</c:v>
                </c:pt>
                <c:pt idx="464">
                  <c:v>42153</c:v>
                </c:pt>
                <c:pt idx="465">
                  <c:v>42152</c:v>
                </c:pt>
                <c:pt idx="466">
                  <c:v>42151</c:v>
                </c:pt>
                <c:pt idx="467">
                  <c:v>42150</c:v>
                </c:pt>
                <c:pt idx="468">
                  <c:v>42146</c:v>
                </c:pt>
                <c:pt idx="469">
                  <c:v>42145</c:v>
                </c:pt>
                <c:pt idx="470">
                  <c:v>42144</c:v>
                </c:pt>
                <c:pt idx="471">
                  <c:v>42143</c:v>
                </c:pt>
                <c:pt idx="472">
                  <c:v>42142</c:v>
                </c:pt>
                <c:pt idx="473">
                  <c:v>42139</c:v>
                </c:pt>
                <c:pt idx="474">
                  <c:v>42138</c:v>
                </c:pt>
                <c:pt idx="475">
                  <c:v>42137</c:v>
                </c:pt>
                <c:pt idx="476">
                  <c:v>42136</c:v>
                </c:pt>
                <c:pt idx="477">
                  <c:v>42135</c:v>
                </c:pt>
                <c:pt idx="478">
                  <c:v>42132</c:v>
                </c:pt>
                <c:pt idx="479">
                  <c:v>42131</c:v>
                </c:pt>
                <c:pt idx="480">
                  <c:v>42130</c:v>
                </c:pt>
                <c:pt idx="481">
                  <c:v>42129</c:v>
                </c:pt>
                <c:pt idx="482">
                  <c:v>42128</c:v>
                </c:pt>
                <c:pt idx="483">
                  <c:v>42125</c:v>
                </c:pt>
                <c:pt idx="484">
                  <c:v>42124</c:v>
                </c:pt>
                <c:pt idx="485">
                  <c:v>42123</c:v>
                </c:pt>
                <c:pt idx="486">
                  <c:v>42122</c:v>
                </c:pt>
                <c:pt idx="487">
                  <c:v>42121</c:v>
                </c:pt>
                <c:pt idx="488">
                  <c:v>42118</c:v>
                </c:pt>
                <c:pt idx="489">
                  <c:v>42117</c:v>
                </c:pt>
                <c:pt idx="490">
                  <c:v>42116</c:v>
                </c:pt>
                <c:pt idx="491">
                  <c:v>42115</c:v>
                </c:pt>
                <c:pt idx="492">
                  <c:v>42114</c:v>
                </c:pt>
                <c:pt idx="493">
                  <c:v>42111</c:v>
                </c:pt>
                <c:pt idx="494">
                  <c:v>42110</c:v>
                </c:pt>
                <c:pt idx="495">
                  <c:v>42109</c:v>
                </c:pt>
                <c:pt idx="496">
                  <c:v>42108</c:v>
                </c:pt>
                <c:pt idx="497">
                  <c:v>42107</c:v>
                </c:pt>
                <c:pt idx="498">
                  <c:v>42104</c:v>
                </c:pt>
                <c:pt idx="499">
                  <c:v>42103</c:v>
                </c:pt>
                <c:pt idx="500">
                  <c:v>42102</c:v>
                </c:pt>
                <c:pt idx="501">
                  <c:v>42101</c:v>
                </c:pt>
                <c:pt idx="502">
                  <c:v>42100</c:v>
                </c:pt>
                <c:pt idx="503">
                  <c:v>42096</c:v>
                </c:pt>
                <c:pt idx="504">
                  <c:v>42095</c:v>
                </c:pt>
                <c:pt idx="505">
                  <c:v>42094</c:v>
                </c:pt>
                <c:pt idx="506">
                  <c:v>42093</c:v>
                </c:pt>
                <c:pt idx="507">
                  <c:v>42090</c:v>
                </c:pt>
                <c:pt idx="508">
                  <c:v>42089</c:v>
                </c:pt>
                <c:pt idx="509">
                  <c:v>42088</c:v>
                </c:pt>
                <c:pt idx="510">
                  <c:v>42087</c:v>
                </c:pt>
                <c:pt idx="511">
                  <c:v>42086</c:v>
                </c:pt>
                <c:pt idx="512">
                  <c:v>42083</c:v>
                </c:pt>
                <c:pt idx="513">
                  <c:v>42082</c:v>
                </c:pt>
                <c:pt idx="514">
                  <c:v>42081</c:v>
                </c:pt>
                <c:pt idx="515">
                  <c:v>42080</c:v>
                </c:pt>
                <c:pt idx="516">
                  <c:v>42079</c:v>
                </c:pt>
                <c:pt idx="517">
                  <c:v>42076</c:v>
                </c:pt>
                <c:pt idx="518">
                  <c:v>42075</c:v>
                </c:pt>
                <c:pt idx="519">
                  <c:v>42074</c:v>
                </c:pt>
                <c:pt idx="520">
                  <c:v>42073</c:v>
                </c:pt>
                <c:pt idx="521">
                  <c:v>42072</c:v>
                </c:pt>
                <c:pt idx="522">
                  <c:v>42069</c:v>
                </c:pt>
                <c:pt idx="523">
                  <c:v>42068</c:v>
                </c:pt>
                <c:pt idx="524">
                  <c:v>42067</c:v>
                </c:pt>
                <c:pt idx="525">
                  <c:v>42066</c:v>
                </c:pt>
                <c:pt idx="526">
                  <c:v>42065</c:v>
                </c:pt>
                <c:pt idx="527">
                  <c:v>42062</c:v>
                </c:pt>
                <c:pt idx="528">
                  <c:v>42061</c:v>
                </c:pt>
                <c:pt idx="529">
                  <c:v>42060</c:v>
                </c:pt>
                <c:pt idx="530">
                  <c:v>42059</c:v>
                </c:pt>
                <c:pt idx="531">
                  <c:v>42058</c:v>
                </c:pt>
                <c:pt idx="532">
                  <c:v>42055</c:v>
                </c:pt>
                <c:pt idx="533">
                  <c:v>42054</c:v>
                </c:pt>
                <c:pt idx="534">
                  <c:v>42053</c:v>
                </c:pt>
                <c:pt idx="535">
                  <c:v>42052</c:v>
                </c:pt>
                <c:pt idx="536">
                  <c:v>42048</c:v>
                </c:pt>
                <c:pt idx="537">
                  <c:v>42047</c:v>
                </c:pt>
                <c:pt idx="538">
                  <c:v>42046</c:v>
                </c:pt>
                <c:pt idx="539">
                  <c:v>42045</c:v>
                </c:pt>
                <c:pt idx="540">
                  <c:v>42044</c:v>
                </c:pt>
                <c:pt idx="541">
                  <c:v>42041</c:v>
                </c:pt>
                <c:pt idx="542">
                  <c:v>42040</c:v>
                </c:pt>
                <c:pt idx="543">
                  <c:v>42039</c:v>
                </c:pt>
                <c:pt idx="544">
                  <c:v>42038</c:v>
                </c:pt>
                <c:pt idx="545">
                  <c:v>42037</c:v>
                </c:pt>
                <c:pt idx="546">
                  <c:v>42034</c:v>
                </c:pt>
                <c:pt idx="547">
                  <c:v>42033</c:v>
                </c:pt>
                <c:pt idx="548">
                  <c:v>42032</c:v>
                </c:pt>
                <c:pt idx="549">
                  <c:v>42031</c:v>
                </c:pt>
                <c:pt idx="550">
                  <c:v>42030</c:v>
                </c:pt>
                <c:pt idx="551">
                  <c:v>42027</c:v>
                </c:pt>
                <c:pt idx="552">
                  <c:v>42026</c:v>
                </c:pt>
                <c:pt idx="553">
                  <c:v>42025</c:v>
                </c:pt>
                <c:pt idx="554">
                  <c:v>42024</c:v>
                </c:pt>
                <c:pt idx="555">
                  <c:v>42020</c:v>
                </c:pt>
                <c:pt idx="556">
                  <c:v>42019</c:v>
                </c:pt>
                <c:pt idx="557">
                  <c:v>42018</c:v>
                </c:pt>
                <c:pt idx="558">
                  <c:v>42017</c:v>
                </c:pt>
                <c:pt idx="559">
                  <c:v>42016</c:v>
                </c:pt>
                <c:pt idx="560">
                  <c:v>42013</c:v>
                </c:pt>
                <c:pt idx="561">
                  <c:v>42012</c:v>
                </c:pt>
                <c:pt idx="562">
                  <c:v>42011</c:v>
                </c:pt>
                <c:pt idx="563">
                  <c:v>42010</c:v>
                </c:pt>
                <c:pt idx="564">
                  <c:v>42009</c:v>
                </c:pt>
                <c:pt idx="565">
                  <c:v>42006</c:v>
                </c:pt>
                <c:pt idx="566">
                  <c:v>42004</c:v>
                </c:pt>
                <c:pt idx="567">
                  <c:v>42003</c:v>
                </c:pt>
                <c:pt idx="568">
                  <c:v>42002</c:v>
                </c:pt>
                <c:pt idx="569">
                  <c:v>41999</c:v>
                </c:pt>
                <c:pt idx="570">
                  <c:v>41997</c:v>
                </c:pt>
                <c:pt idx="571">
                  <c:v>41996</c:v>
                </c:pt>
                <c:pt idx="572">
                  <c:v>41995</c:v>
                </c:pt>
                <c:pt idx="573">
                  <c:v>41992</c:v>
                </c:pt>
                <c:pt idx="574">
                  <c:v>41991</c:v>
                </c:pt>
                <c:pt idx="575">
                  <c:v>41990</c:v>
                </c:pt>
                <c:pt idx="576">
                  <c:v>41989</c:v>
                </c:pt>
                <c:pt idx="577">
                  <c:v>41988</c:v>
                </c:pt>
                <c:pt idx="578">
                  <c:v>41985</c:v>
                </c:pt>
                <c:pt idx="579">
                  <c:v>41984</c:v>
                </c:pt>
                <c:pt idx="580">
                  <c:v>41983</c:v>
                </c:pt>
                <c:pt idx="581">
                  <c:v>41982</c:v>
                </c:pt>
                <c:pt idx="582">
                  <c:v>41981</c:v>
                </c:pt>
                <c:pt idx="583">
                  <c:v>41978</c:v>
                </c:pt>
                <c:pt idx="584">
                  <c:v>41977</c:v>
                </c:pt>
                <c:pt idx="585">
                  <c:v>41976</c:v>
                </c:pt>
                <c:pt idx="586">
                  <c:v>41975</c:v>
                </c:pt>
                <c:pt idx="587">
                  <c:v>41974</c:v>
                </c:pt>
                <c:pt idx="588">
                  <c:v>41971</c:v>
                </c:pt>
                <c:pt idx="589">
                  <c:v>41969</c:v>
                </c:pt>
                <c:pt idx="590">
                  <c:v>41968</c:v>
                </c:pt>
                <c:pt idx="591">
                  <c:v>41967</c:v>
                </c:pt>
                <c:pt idx="592">
                  <c:v>41964</c:v>
                </c:pt>
                <c:pt idx="593">
                  <c:v>41963</c:v>
                </c:pt>
                <c:pt idx="594">
                  <c:v>41962</c:v>
                </c:pt>
                <c:pt idx="595">
                  <c:v>41961</c:v>
                </c:pt>
                <c:pt idx="596">
                  <c:v>41960</c:v>
                </c:pt>
                <c:pt idx="597">
                  <c:v>41957</c:v>
                </c:pt>
                <c:pt idx="598">
                  <c:v>41956</c:v>
                </c:pt>
                <c:pt idx="599">
                  <c:v>41955</c:v>
                </c:pt>
                <c:pt idx="600">
                  <c:v>41954</c:v>
                </c:pt>
                <c:pt idx="601">
                  <c:v>41953</c:v>
                </c:pt>
                <c:pt idx="602">
                  <c:v>41950</c:v>
                </c:pt>
                <c:pt idx="603">
                  <c:v>41949</c:v>
                </c:pt>
                <c:pt idx="604">
                  <c:v>41948</c:v>
                </c:pt>
                <c:pt idx="605">
                  <c:v>41947</c:v>
                </c:pt>
                <c:pt idx="606">
                  <c:v>41946</c:v>
                </c:pt>
                <c:pt idx="607">
                  <c:v>41943</c:v>
                </c:pt>
                <c:pt idx="608">
                  <c:v>41942</c:v>
                </c:pt>
                <c:pt idx="609">
                  <c:v>41941</c:v>
                </c:pt>
                <c:pt idx="610">
                  <c:v>41940</c:v>
                </c:pt>
                <c:pt idx="611">
                  <c:v>41939</c:v>
                </c:pt>
                <c:pt idx="612">
                  <c:v>41936</c:v>
                </c:pt>
                <c:pt idx="613">
                  <c:v>41935</c:v>
                </c:pt>
                <c:pt idx="614">
                  <c:v>41934</c:v>
                </c:pt>
                <c:pt idx="615">
                  <c:v>41933</c:v>
                </c:pt>
                <c:pt idx="616">
                  <c:v>41932</c:v>
                </c:pt>
                <c:pt idx="617">
                  <c:v>41929</c:v>
                </c:pt>
                <c:pt idx="618">
                  <c:v>41928</c:v>
                </c:pt>
                <c:pt idx="619">
                  <c:v>41927</c:v>
                </c:pt>
                <c:pt idx="620">
                  <c:v>41926</c:v>
                </c:pt>
                <c:pt idx="621">
                  <c:v>41925</c:v>
                </c:pt>
                <c:pt idx="622">
                  <c:v>41922</c:v>
                </c:pt>
                <c:pt idx="623">
                  <c:v>41921</c:v>
                </c:pt>
                <c:pt idx="624">
                  <c:v>41920</c:v>
                </c:pt>
                <c:pt idx="625">
                  <c:v>41919</c:v>
                </c:pt>
                <c:pt idx="626">
                  <c:v>41918</c:v>
                </c:pt>
                <c:pt idx="627">
                  <c:v>41915</c:v>
                </c:pt>
                <c:pt idx="628">
                  <c:v>41914</c:v>
                </c:pt>
                <c:pt idx="629">
                  <c:v>41913</c:v>
                </c:pt>
                <c:pt idx="630">
                  <c:v>41912</c:v>
                </c:pt>
                <c:pt idx="631">
                  <c:v>41911</c:v>
                </c:pt>
                <c:pt idx="632">
                  <c:v>41908</c:v>
                </c:pt>
                <c:pt idx="633">
                  <c:v>41907</c:v>
                </c:pt>
                <c:pt idx="634">
                  <c:v>41906</c:v>
                </c:pt>
                <c:pt idx="635">
                  <c:v>41905</c:v>
                </c:pt>
                <c:pt idx="636">
                  <c:v>41904</c:v>
                </c:pt>
                <c:pt idx="637">
                  <c:v>41901</c:v>
                </c:pt>
                <c:pt idx="638">
                  <c:v>41900</c:v>
                </c:pt>
                <c:pt idx="639">
                  <c:v>41899</c:v>
                </c:pt>
                <c:pt idx="640">
                  <c:v>41898</c:v>
                </c:pt>
                <c:pt idx="641">
                  <c:v>41897</c:v>
                </c:pt>
                <c:pt idx="642">
                  <c:v>41894</c:v>
                </c:pt>
                <c:pt idx="643">
                  <c:v>41893</c:v>
                </c:pt>
                <c:pt idx="644">
                  <c:v>41892</c:v>
                </c:pt>
                <c:pt idx="645">
                  <c:v>41891</c:v>
                </c:pt>
                <c:pt idx="646">
                  <c:v>41890</c:v>
                </c:pt>
                <c:pt idx="647">
                  <c:v>41887</c:v>
                </c:pt>
                <c:pt idx="648">
                  <c:v>41886</c:v>
                </c:pt>
                <c:pt idx="649">
                  <c:v>41885</c:v>
                </c:pt>
                <c:pt idx="650">
                  <c:v>41884</c:v>
                </c:pt>
                <c:pt idx="651">
                  <c:v>41880</c:v>
                </c:pt>
                <c:pt idx="652">
                  <c:v>41879</c:v>
                </c:pt>
                <c:pt idx="653">
                  <c:v>41878</c:v>
                </c:pt>
                <c:pt idx="654">
                  <c:v>41877</c:v>
                </c:pt>
                <c:pt idx="655">
                  <c:v>41876</c:v>
                </c:pt>
                <c:pt idx="656">
                  <c:v>41873</c:v>
                </c:pt>
                <c:pt idx="657">
                  <c:v>41872</c:v>
                </c:pt>
                <c:pt idx="658">
                  <c:v>41871</c:v>
                </c:pt>
                <c:pt idx="659">
                  <c:v>41870</c:v>
                </c:pt>
                <c:pt idx="660">
                  <c:v>41869</c:v>
                </c:pt>
                <c:pt idx="661">
                  <c:v>41866</c:v>
                </c:pt>
                <c:pt idx="662">
                  <c:v>41865</c:v>
                </c:pt>
                <c:pt idx="663">
                  <c:v>41864</c:v>
                </c:pt>
                <c:pt idx="664">
                  <c:v>41863</c:v>
                </c:pt>
                <c:pt idx="665">
                  <c:v>41862</c:v>
                </c:pt>
                <c:pt idx="666">
                  <c:v>41859</c:v>
                </c:pt>
                <c:pt idx="667">
                  <c:v>41858</c:v>
                </c:pt>
                <c:pt idx="668">
                  <c:v>41857</c:v>
                </c:pt>
                <c:pt idx="669">
                  <c:v>41856</c:v>
                </c:pt>
                <c:pt idx="670">
                  <c:v>41855</c:v>
                </c:pt>
                <c:pt idx="671">
                  <c:v>41852</c:v>
                </c:pt>
                <c:pt idx="672">
                  <c:v>41851</c:v>
                </c:pt>
                <c:pt idx="673">
                  <c:v>41850</c:v>
                </c:pt>
                <c:pt idx="674">
                  <c:v>41849</c:v>
                </c:pt>
                <c:pt idx="675">
                  <c:v>41848</c:v>
                </c:pt>
                <c:pt idx="676">
                  <c:v>41845</c:v>
                </c:pt>
                <c:pt idx="677">
                  <c:v>41844</c:v>
                </c:pt>
                <c:pt idx="678">
                  <c:v>41843</c:v>
                </c:pt>
                <c:pt idx="679">
                  <c:v>41842</c:v>
                </c:pt>
                <c:pt idx="680">
                  <c:v>41841</c:v>
                </c:pt>
                <c:pt idx="681">
                  <c:v>41838</c:v>
                </c:pt>
                <c:pt idx="682">
                  <c:v>41837</c:v>
                </c:pt>
                <c:pt idx="683">
                  <c:v>41836</c:v>
                </c:pt>
                <c:pt idx="684">
                  <c:v>41835</c:v>
                </c:pt>
                <c:pt idx="685">
                  <c:v>41834</c:v>
                </c:pt>
                <c:pt idx="686">
                  <c:v>41831</c:v>
                </c:pt>
                <c:pt idx="687">
                  <c:v>41830</c:v>
                </c:pt>
                <c:pt idx="688">
                  <c:v>41829</c:v>
                </c:pt>
                <c:pt idx="689">
                  <c:v>41828</c:v>
                </c:pt>
                <c:pt idx="690">
                  <c:v>41827</c:v>
                </c:pt>
                <c:pt idx="691">
                  <c:v>41823</c:v>
                </c:pt>
                <c:pt idx="692">
                  <c:v>41822</c:v>
                </c:pt>
                <c:pt idx="693">
                  <c:v>41821</c:v>
                </c:pt>
                <c:pt idx="694">
                  <c:v>41820</c:v>
                </c:pt>
                <c:pt idx="695">
                  <c:v>41817</c:v>
                </c:pt>
                <c:pt idx="696">
                  <c:v>41816</c:v>
                </c:pt>
                <c:pt idx="697">
                  <c:v>41815</c:v>
                </c:pt>
                <c:pt idx="698">
                  <c:v>41814</c:v>
                </c:pt>
                <c:pt idx="699">
                  <c:v>41813</c:v>
                </c:pt>
                <c:pt idx="700">
                  <c:v>41810</c:v>
                </c:pt>
                <c:pt idx="701">
                  <c:v>41809</c:v>
                </c:pt>
                <c:pt idx="702">
                  <c:v>41808</c:v>
                </c:pt>
                <c:pt idx="703">
                  <c:v>41807</c:v>
                </c:pt>
                <c:pt idx="704">
                  <c:v>41806</c:v>
                </c:pt>
                <c:pt idx="705">
                  <c:v>41803</c:v>
                </c:pt>
                <c:pt idx="706">
                  <c:v>41802</c:v>
                </c:pt>
                <c:pt idx="707">
                  <c:v>41801</c:v>
                </c:pt>
                <c:pt idx="708">
                  <c:v>41800</c:v>
                </c:pt>
                <c:pt idx="709">
                  <c:v>41799</c:v>
                </c:pt>
                <c:pt idx="710">
                  <c:v>41796</c:v>
                </c:pt>
                <c:pt idx="711">
                  <c:v>41795</c:v>
                </c:pt>
                <c:pt idx="712">
                  <c:v>41794</c:v>
                </c:pt>
                <c:pt idx="713">
                  <c:v>41793</c:v>
                </c:pt>
                <c:pt idx="714">
                  <c:v>41792</c:v>
                </c:pt>
                <c:pt idx="715">
                  <c:v>41789</c:v>
                </c:pt>
                <c:pt idx="716">
                  <c:v>41788</c:v>
                </c:pt>
                <c:pt idx="717">
                  <c:v>41787</c:v>
                </c:pt>
                <c:pt idx="718">
                  <c:v>41786</c:v>
                </c:pt>
                <c:pt idx="719">
                  <c:v>41782</c:v>
                </c:pt>
                <c:pt idx="720">
                  <c:v>41781</c:v>
                </c:pt>
                <c:pt idx="721">
                  <c:v>41780</c:v>
                </c:pt>
                <c:pt idx="722">
                  <c:v>41779</c:v>
                </c:pt>
                <c:pt idx="723">
                  <c:v>41778</c:v>
                </c:pt>
                <c:pt idx="724">
                  <c:v>41775</c:v>
                </c:pt>
                <c:pt idx="725">
                  <c:v>41774</c:v>
                </c:pt>
                <c:pt idx="726">
                  <c:v>41773</c:v>
                </c:pt>
                <c:pt idx="727">
                  <c:v>41772</c:v>
                </c:pt>
                <c:pt idx="728">
                  <c:v>41771</c:v>
                </c:pt>
                <c:pt idx="729">
                  <c:v>41768</c:v>
                </c:pt>
                <c:pt idx="730">
                  <c:v>41767</c:v>
                </c:pt>
                <c:pt idx="731">
                  <c:v>41766</c:v>
                </c:pt>
                <c:pt idx="732">
                  <c:v>41765</c:v>
                </c:pt>
                <c:pt idx="733">
                  <c:v>41764</c:v>
                </c:pt>
                <c:pt idx="734">
                  <c:v>41761</c:v>
                </c:pt>
                <c:pt idx="735">
                  <c:v>41760</c:v>
                </c:pt>
                <c:pt idx="736">
                  <c:v>41759</c:v>
                </c:pt>
                <c:pt idx="737">
                  <c:v>41758</c:v>
                </c:pt>
                <c:pt idx="738">
                  <c:v>41757</c:v>
                </c:pt>
                <c:pt idx="739">
                  <c:v>41754</c:v>
                </c:pt>
                <c:pt idx="740">
                  <c:v>41753</c:v>
                </c:pt>
                <c:pt idx="741">
                  <c:v>41752</c:v>
                </c:pt>
                <c:pt idx="742">
                  <c:v>41751</c:v>
                </c:pt>
                <c:pt idx="743">
                  <c:v>41750</c:v>
                </c:pt>
                <c:pt idx="744">
                  <c:v>41746</c:v>
                </c:pt>
                <c:pt idx="745">
                  <c:v>41745</c:v>
                </c:pt>
                <c:pt idx="746">
                  <c:v>41744</c:v>
                </c:pt>
                <c:pt idx="747">
                  <c:v>41743</c:v>
                </c:pt>
                <c:pt idx="748">
                  <c:v>41740</c:v>
                </c:pt>
                <c:pt idx="749">
                  <c:v>41739</c:v>
                </c:pt>
                <c:pt idx="750">
                  <c:v>41738</c:v>
                </c:pt>
                <c:pt idx="751">
                  <c:v>41737</c:v>
                </c:pt>
                <c:pt idx="752">
                  <c:v>41736</c:v>
                </c:pt>
                <c:pt idx="753">
                  <c:v>41733</c:v>
                </c:pt>
                <c:pt idx="754">
                  <c:v>41732</c:v>
                </c:pt>
                <c:pt idx="755">
                  <c:v>41731</c:v>
                </c:pt>
                <c:pt idx="756">
                  <c:v>41730</c:v>
                </c:pt>
                <c:pt idx="757">
                  <c:v>41729</c:v>
                </c:pt>
              </c:numCache>
            </c:numRef>
          </c:cat>
          <c:val>
            <c:numRef>
              <c:f>Exhibits!$EE$102:$EE$859</c:f>
              <c:numCache>
                <c:formatCode>0%</c:formatCode>
                <c:ptCount val="758"/>
                <c:pt idx="0">
                  <c:v>1.4731629375739137</c:v>
                </c:pt>
                <c:pt idx="1">
                  <c:v>1.4480308177853054</c:v>
                </c:pt>
                <c:pt idx="2">
                  <c:v>1.4472080627312387</c:v>
                </c:pt>
                <c:pt idx="3">
                  <c:v>1.4539403661129564</c:v>
                </c:pt>
                <c:pt idx="4">
                  <c:v>1.4392913887774117</c:v>
                </c:pt>
                <c:pt idx="5">
                  <c:v>1.4241398736258966</c:v>
                </c:pt>
                <c:pt idx="6">
                  <c:v>1.41196850069503</c:v>
                </c:pt>
                <c:pt idx="7">
                  <c:v>1.406050857957406</c:v>
                </c:pt>
                <c:pt idx="8">
                  <c:v>1.3883576237504867</c:v>
                </c:pt>
                <c:pt idx="9">
                  <c:v>1.3793051951012263</c:v>
                </c:pt>
                <c:pt idx="10">
                  <c:v>1.3783823375988142</c:v>
                </c:pt>
                <c:pt idx="11">
                  <c:v>1.3670982413870465</c:v>
                </c:pt>
                <c:pt idx="12">
                  <c:v>1.370311907926858</c:v>
                </c:pt>
                <c:pt idx="13">
                  <c:v>1.3608356625689377</c:v>
                </c:pt>
                <c:pt idx="14">
                  <c:v>1.3616886501579684</c:v>
                </c:pt>
                <c:pt idx="15">
                  <c:v>1.3635617079247726</c:v>
                </c:pt>
                <c:pt idx="16">
                  <c:v>1.3675895210342444</c:v>
                </c:pt>
                <c:pt idx="17">
                  <c:v>1.3586491095186521</c:v>
                </c:pt>
                <c:pt idx="18">
                  <c:v>1.3439342905239477</c:v>
                </c:pt>
                <c:pt idx="19">
                  <c:v>1.3426303962263122</c:v>
                </c:pt>
                <c:pt idx="20">
                  <c:v>1.3380897046440556</c:v>
                </c:pt>
                <c:pt idx="21">
                  <c:v>1.3428261579530549</c:v>
                </c:pt>
                <c:pt idx="22">
                  <c:v>1.3493020030508402</c:v>
                </c:pt>
                <c:pt idx="23">
                  <c:v>1.3457058158757971</c:v>
                </c:pt>
                <c:pt idx="24">
                  <c:v>1.3461821919530566</c:v>
                </c:pt>
                <c:pt idx="25">
                  <c:v>1.3482566117637658</c:v>
                </c:pt>
                <c:pt idx="26">
                  <c:v>1.3375992629976596</c:v>
                </c:pt>
                <c:pt idx="27">
                  <c:v>1.3359367526069696</c:v>
                </c:pt>
                <c:pt idx="28">
                  <c:v>1.3511457142614289</c:v>
                </c:pt>
                <c:pt idx="29">
                  <c:v>1.3482073338275857</c:v>
                </c:pt>
                <c:pt idx="30">
                  <c:v>1.3432568387780808</c:v>
                </c:pt>
                <c:pt idx="31">
                  <c:v>1.3508845052292766</c:v>
                </c:pt>
                <c:pt idx="32">
                  <c:v>1.3551754299235483</c:v>
                </c:pt>
                <c:pt idx="33">
                  <c:v>1.3526373588575584</c:v>
                </c:pt>
                <c:pt idx="34">
                  <c:v>1.355853344449943</c:v>
                </c:pt>
                <c:pt idx="35">
                  <c:v>1.3470723080281073</c:v>
                </c:pt>
                <c:pt idx="36">
                  <c:v>1.3544574518666646</c:v>
                </c:pt>
                <c:pt idx="37">
                  <c:v>1.2675110757990862</c:v>
                </c:pt>
                <c:pt idx="38">
                  <c:v>1.2731264461350802</c:v>
                </c:pt>
                <c:pt idx="39">
                  <c:v>1.2622900244997657</c:v>
                </c:pt>
                <c:pt idx="40">
                  <c:v>1.2530579442043392</c:v>
                </c:pt>
                <c:pt idx="41">
                  <c:v>1.2408376921316886</c:v>
                </c:pt>
                <c:pt idx="42">
                  <c:v>1.2427031852915471</c:v>
                </c:pt>
                <c:pt idx="43">
                  <c:v>1.2496855630999355</c:v>
                </c:pt>
                <c:pt idx="44">
                  <c:v>1.2463495291677047</c:v>
                </c:pt>
                <c:pt idx="45">
                  <c:v>1.2471590529772285</c:v>
                </c:pt>
                <c:pt idx="46">
                  <c:v>1.2576198954991398</c:v>
                </c:pt>
                <c:pt idx="47">
                  <c:v>1.2638479451362272</c:v>
                </c:pt>
                <c:pt idx="48">
                  <c:v>1.2754650885223235</c:v>
                </c:pt>
                <c:pt idx="49">
                  <c:v>1.2781883749289702</c:v>
                </c:pt>
                <c:pt idx="50">
                  <c:v>1.2683063071529015</c:v>
                </c:pt>
                <c:pt idx="51">
                  <c:v>1.2618319932894251</c:v>
                </c:pt>
                <c:pt idx="52">
                  <c:v>1.2540782227821203</c:v>
                </c:pt>
                <c:pt idx="53">
                  <c:v>1.2626560797240909</c:v>
                </c:pt>
                <c:pt idx="54">
                  <c:v>1.2649009585941684</c:v>
                </c:pt>
                <c:pt idx="55">
                  <c:v>1.2697413197595786</c:v>
                </c:pt>
                <c:pt idx="56">
                  <c:v>1.2658633587260786</c:v>
                </c:pt>
                <c:pt idx="57">
                  <c:v>1.2583314658672544</c:v>
                </c:pt>
                <c:pt idx="58">
                  <c:v>1.2374751056385072</c:v>
                </c:pt>
                <c:pt idx="59">
                  <c:v>1.2395851137908114</c:v>
                </c:pt>
                <c:pt idx="60">
                  <c:v>1.2340882238732647</c:v>
                </c:pt>
                <c:pt idx="61">
                  <c:v>1.2152230801739281</c:v>
                </c:pt>
                <c:pt idx="62">
                  <c:v>1.2227319787062798</c:v>
                </c:pt>
                <c:pt idx="63">
                  <c:v>1.2363904214514345</c:v>
                </c:pt>
                <c:pt idx="64">
                  <c:v>1.2370152412149642</c:v>
                </c:pt>
                <c:pt idx="65">
                  <c:v>1.2481369142187666</c:v>
                </c:pt>
                <c:pt idx="66">
                  <c:v>1.2443201203256369</c:v>
                </c:pt>
                <c:pt idx="67">
                  <c:v>1.2496352304243461</c:v>
                </c:pt>
                <c:pt idx="68">
                  <c:v>1.2497301340971183</c:v>
                </c:pt>
                <c:pt idx="69">
                  <c:v>1.2472565350104472</c:v>
                </c:pt>
                <c:pt idx="70">
                  <c:v>1.256213729051556</c:v>
                </c:pt>
                <c:pt idx="71">
                  <c:v>1.2566378372462688</c:v>
                </c:pt>
                <c:pt idx="72">
                  <c:v>1.2558361017246691</c:v>
                </c:pt>
                <c:pt idx="73">
                  <c:v>1.2476580872705041</c:v>
                </c:pt>
                <c:pt idx="74">
                  <c:v>1.2594979669923609</c:v>
                </c:pt>
                <c:pt idx="75">
                  <c:v>1.2474681063105104</c:v>
                </c:pt>
                <c:pt idx="76">
                  <c:v>1.2627785286346982</c:v>
                </c:pt>
                <c:pt idx="77">
                  <c:v>1.2718719683674624</c:v>
                </c:pt>
                <c:pt idx="78">
                  <c:v>1.2737705560034893</c:v>
                </c:pt>
                <c:pt idx="79">
                  <c:v>1.2694453769503782</c:v>
                </c:pt>
                <c:pt idx="80">
                  <c:v>1.2623731086725456</c:v>
                </c:pt>
                <c:pt idx="81">
                  <c:v>1.2631219269437115</c:v>
                </c:pt>
                <c:pt idx="82">
                  <c:v>1.2632155204670397</c:v>
                </c:pt>
                <c:pt idx="83">
                  <c:v>1.2557665553074526</c:v>
                </c:pt>
                <c:pt idx="84">
                  <c:v>1.254492008479658</c:v>
                </c:pt>
                <c:pt idx="85">
                  <c:v>1.2561414735816891</c:v>
                </c:pt>
                <c:pt idx="86">
                  <c:v>1.2790278246592357</c:v>
                </c:pt>
                <c:pt idx="87">
                  <c:v>1.2824238778946648</c:v>
                </c:pt>
                <c:pt idx="88">
                  <c:v>1.2698303558908541</c:v>
                </c:pt>
                <c:pt idx="89">
                  <c:v>1.2587416935782103</c:v>
                </c:pt>
                <c:pt idx="90">
                  <c:v>1.2427012104541353</c:v>
                </c:pt>
                <c:pt idx="91">
                  <c:v>1.2476888600836242</c:v>
                </c:pt>
                <c:pt idx="92">
                  <c:v>1.2304874685103733</c:v>
                </c:pt>
                <c:pt idx="93">
                  <c:v>1.2391098099550943</c:v>
                </c:pt>
                <c:pt idx="94">
                  <c:v>1.2420709332715525</c:v>
                </c:pt>
                <c:pt idx="95">
                  <c:v>1.2061516773839611</c:v>
                </c:pt>
                <c:pt idx="96">
                  <c:v>1.1784402826618376</c:v>
                </c:pt>
                <c:pt idx="97">
                  <c:v>1.1781859850318916</c:v>
                </c:pt>
                <c:pt idx="98">
                  <c:v>1.1338902552677106</c:v>
                </c:pt>
                <c:pt idx="99">
                  <c:v>1.1430993275194603</c:v>
                </c:pt>
                <c:pt idx="100">
                  <c:v>1.1254812489074866</c:v>
                </c:pt>
                <c:pt idx="101">
                  <c:v>1.1473240020372335</c:v>
                </c:pt>
                <c:pt idx="102">
                  <c:v>1.1565616376176995</c:v>
                </c:pt>
                <c:pt idx="103">
                  <c:v>1.1551584570751363</c:v>
                </c:pt>
                <c:pt idx="104">
                  <c:v>1.1464564231057508</c:v>
                </c:pt>
                <c:pt idx="105">
                  <c:v>1.1644735136030224</c:v>
                </c:pt>
                <c:pt idx="106">
                  <c:v>1.138921829514753</c:v>
                </c:pt>
                <c:pt idx="107">
                  <c:v>1.1477649041837918</c:v>
                </c:pt>
                <c:pt idx="108">
                  <c:v>1.1654972232627392</c:v>
                </c:pt>
                <c:pt idx="109">
                  <c:v>1.1859382664608058</c:v>
                </c:pt>
                <c:pt idx="110">
                  <c:v>1.1769979027505548</c:v>
                </c:pt>
                <c:pt idx="111">
                  <c:v>1.1691134055152486</c:v>
                </c:pt>
                <c:pt idx="112">
                  <c:v>1.1743084752921662</c:v>
                </c:pt>
                <c:pt idx="113">
                  <c:v>1.1528215599391669</c:v>
                </c:pt>
                <c:pt idx="114">
                  <c:v>1.1474865528781282</c:v>
                </c:pt>
                <c:pt idx="115">
                  <c:v>1.1481138070728907</c:v>
                </c:pt>
                <c:pt idx="116">
                  <c:v>1.1455459420692222</c:v>
                </c:pt>
                <c:pt idx="117">
                  <c:v>1.1434979454300374</c:v>
                </c:pt>
                <c:pt idx="118">
                  <c:v>1.1348110446408006</c:v>
                </c:pt>
                <c:pt idx="119">
                  <c:v>1.1552541515779666</c:v>
                </c:pt>
                <c:pt idx="120">
                  <c:v>1.1370271862356167</c:v>
                </c:pt>
                <c:pt idx="121">
                  <c:v>1.1414978115972114</c:v>
                </c:pt>
                <c:pt idx="122">
                  <c:v>1.1522678428146931</c:v>
                </c:pt>
                <c:pt idx="123">
                  <c:v>1.1547072469772508</c:v>
                </c:pt>
                <c:pt idx="124">
                  <c:v>1.150433074446628</c:v>
                </c:pt>
                <c:pt idx="125">
                  <c:v>1.1651721870185261</c:v>
                </c:pt>
                <c:pt idx="126">
                  <c:v>1.152587683638391</c:v>
                </c:pt>
                <c:pt idx="127">
                  <c:v>1.1519632690270891</c:v>
                </c:pt>
                <c:pt idx="128">
                  <c:v>1.1588362988446694</c:v>
                </c:pt>
                <c:pt idx="129">
                  <c:v>1.1684580809215412</c:v>
                </c:pt>
                <c:pt idx="130">
                  <c:v>1.1866974538488853</c:v>
                </c:pt>
                <c:pt idx="131">
                  <c:v>1.1832689976625386</c:v>
                </c:pt>
                <c:pt idx="132">
                  <c:v>1.1799302684031294</c:v>
                </c:pt>
                <c:pt idx="133">
                  <c:v>1.1794241443014997</c:v>
                </c:pt>
                <c:pt idx="134">
                  <c:v>1.1968301518606801</c:v>
                </c:pt>
                <c:pt idx="135">
                  <c:v>1.1920330301337163</c:v>
                </c:pt>
                <c:pt idx="136">
                  <c:v>1.2127807302707294</c:v>
                </c:pt>
                <c:pt idx="137">
                  <c:v>1.2077150734566833</c:v>
                </c:pt>
                <c:pt idx="138">
                  <c:v>1.2297908718406769</c:v>
                </c:pt>
                <c:pt idx="139">
                  <c:v>1.2409199501247064</c:v>
                </c:pt>
                <c:pt idx="140">
                  <c:v>1.2296656215367878</c:v>
                </c:pt>
                <c:pt idx="141">
                  <c:v>1.2443561721954932</c:v>
                </c:pt>
                <c:pt idx="142">
                  <c:v>1.2691724760912368</c:v>
                </c:pt>
                <c:pt idx="143">
                  <c:v>1.2686638761282261</c:v>
                </c:pt>
                <c:pt idx="144">
                  <c:v>1.2731746006058104</c:v>
                </c:pt>
                <c:pt idx="145">
                  <c:v>1.2654284157178286</c:v>
                </c:pt>
                <c:pt idx="146">
                  <c:v>1.2726123899292032</c:v>
                </c:pt>
                <c:pt idx="147">
                  <c:v>1.275184619041325</c:v>
                </c:pt>
                <c:pt idx="148">
                  <c:v>1.28685158835311</c:v>
                </c:pt>
                <c:pt idx="149">
                  <c:v>1.2737905140337575</c:v>
                </c:pt>
                <c:pt idx="150">
                  <c:v>1.2782772826446906</c:v>
                </c:pt>
                <c:pt idx="151">
                  <c:v>1.2666052122417264</c:v>
                </c:pt>
                <c:pt idx="152">
                  <c:v>1.2761928080029998</c:v>
                </c:pt>
                <c:pt idx="153">
                  <c:v>1.2781157968771355</c:v>
                </c:pt>
                <c:pt idx="154">
                  <c:v>1.2672859732088799</c:v>
                </c:pt>
                <c:pt idx="155">
                  <c:v>1.2787239564636725</c:v>
                </c:pt>
                <c:pt idx="156">
                  <c:v>1.2679488917207944</c:v>
                </c:pt>
                <c:pt idx="157">
                  <c:v>1.2793327896771789</c:v>
                </c:pt>
                <c:pt idx="158">
                  <c:v>1.2886629223824644</c:v>
                </c:pt>
                <c:pt idx="159">
                  <c:v>1.2906969126193113</c:v>
                </c:pt>
                <c:pt idx="160">
                  <c:v>1.2927717885778136</c:v>
                </c:pt>
                <c:pt idx="161">
                  <c:v>1.2804430214545259</c:v>
                </c:pt>
                <c:pt idx="162">
                  <c:v>1.2813554302136501</c:v>
                </c:pt>
                <c:pt idx="163">
                  <c:v>1.2769105784517474</c:v>
                </c:pt>
                <c:pt idx="164">
                  <c:v>1.2807449692857273</c:v>
                </c:pt>
                <c:pt idx="165">
                  <c:v>1.2602959288534561</c:v>
                </c:pt>
                <c:pt idx="166">
                  <c:v>1.2609941553581343</c:v>
                </c:pt>
                <c:pt idx="167">
                  <c:v>1.265396787668821</c:v>
                </c:pt>
                <c:pt idx="168">
                  <c:v>1.2906926590212466</c:v>
                </c:pt>
                <c:pt idx="169">
                  <c:v>1.2812999907739369</c:v>
                </c:pt>
                <c:pt idx="170">
                  <c:v>1.2917227674738421</c:v>
                </c:pt>
                <c:pt idx="171">
                  <c:v>1.2586753171149345</c:v>
                </c:pt>
                <c:pt idx="172">
                  <c:v>1.2252954221195105</c:v>
                </c:pt>
                <c:pt idx="173">
                  <c:v>1.268523220635571</c:v>
                </c:pt>
                <c:pt idx="174">
                  <c:v>1.2617959310373525</c:v>
                </c:pt>
                <c:pt idx="175">
                  <c:v>1.2351705440404486</c:v>
                </c:pt>
                <c:pt idx="176">
                  <c:v>1.2355990338519132</c:v>
                </c:pt>
                <c:pt idx="177">
                  <c:v>1.2194403497687007</c:v>
                </c:pt>
                <c:pt idx="178">
                  <c:v>1.2290709376657829</c:v>
                </c:pt>
                <c:pt idx="179">
                  <c:v>1.228495646424592</c:v>
                </c:pt>
                <c:pt idx="180">
                  <c:v>1.2597514517376145</c:v>
                </c:pt>
                <c:pt idx="181">
                  <c:v>1.2392775180883253</c:v>
                </c:pt>
                <c:pt idx="182">
                  <c:v>1.2481087845295129</c:v>
                </c:pt>
                <c:pt idx="183">
                  <c:v>1.2455184769893632</c:v>
                </c:pt>
                <c:pt idx="184">
                  <c:v>1.2356735231227218</c:v>
                </c:pt>
                <c:pt idx="185">
                  <c:v>1.2219814972814336</c:v>
                </c:pt>
                <c:pt idx="186">
                  <c:v>1.2353008769788933</c:v>
                </c:pt>
                <c:pt idx="187">
                  <c:v>1.225889564196794</c:v>
                </c:pt>
                <c:pt idx="188">
                  <c:v>1.2239169878195988</c:v>
                </c:pt>
                <c:pt idx="189">
                  <c:v>1.2432149023237038</c:v>
                </c:pt>
                <c:pt idx="190">
                  <c:v>1.245709372131206</c:v>
                </c:pt>
                <c:pt idx="191">
                  <c:v>1.2316779685135857</c:v>
                </c:pt>
                <c:pt idx="192">
                  <c:v>1.2217001414625879</c:v>
                </c:pt>
                <c:pt idx="193">
                  <c:v>1.2414506612131075</c:v>
                </c:pt>
                <c:pt idx="194">
                  <c:v>1.248628031387147</c:v>
                </c:pt>
                <c:pt idx="195">
                  <c:v>1.2441515447223652</c:v>
                </c:pt>
                <c:pt idx="196">
                  <c:v>1.2504261279776565</c:v>
                </c:pt>
                <c:pt idx="197">
                  <c:v>1.2562452239229105</c:v>
                </c:pt>
                <c:pt idx="198">
                  <c:v>1.2423687902607592</c:v>
                </c:pt>
                <c:pt idx="199">
                  <c:v>1.2472534833235556</c:v>
                </c:pt>
                <c:pt idx="200">
                  <c:v>1.2540641377994617</c:v>
                </c:pt>
                <c:pt idx="201">
                  <c:v>1.258476175696545</c:v>
                </c:pt>
                <c:pt idx="202">
                  <c:v>1.2424323855870698</c:v>
                </c:pt>
                <c:pt idx="203">
                  <c:v>1.2485759863937105</c:v>
                </c:pt>
                <c:pt idx="204">
                  <c:v>1.2735428344434614</c:v>
                </c:pt>
                <c:pt idx="205">
                  <c:v>1.2741369300471539</c:v>
                </c:pt>
                <c:pt idx="206">
                  <c:v>1.2633743082170463</c:v>
                </c:pt>
                <c:pt idx="207">
                  <c:v>1.2734794751123366</c:v>
                </c:pt>
                <c:pt idx="208">
                  <c:v>1.2740735435673018</c:v>
                </c:pt>
                <c:pt idx="209">
                  <c:v>1.2850113966746464</c:v>
                </c:pt>
                <c:pt idx="210">
                  <c:v>1.2767171798401207</c:v>
                </c:pt>
                <c:pt idx="211">
                  <c:v>1.2754395161394589</c:v>
                </c:pt>
                <c:pt idx="212">
                  <c:v>1.2725564848379762</c:v>
                </c:pt>
                <c:pt idx="213">
                  <c:v>1.2678206349138419</c:v>
                </c:pt>
                <c:pt idx="214">
                  <c:v>1.2571324059069178</c:v>
                </c:pt>
                <c:pt idx="215">
                  <c:v>1.2538688504964093</c:v>
                </c:pt>
                <c:pt idx="216">
                  <c:v>1.2427435971140492</c:v>
                </c:pt>
                <c:pt idx="217">
                  <c:v>1.2380071787935831</c:v>
                </c:pt>
                <c:pt idx="218">
                  <c:v>1.218941631926125</c:v>
                </c:pt>
                <c:pt idx="219">
                  <c:v>1.2163769089645959</c:v>
                </c:pt>
                <c:pt idx="220">
                  <c:v>1.2212885476220814</c:v>
                </c:pt>
                <c:pt idx="221">
                  <c:v>1.2417592801346988</c:v>
                </c:pt>
                <c:pt idx="222">
                  <c:v>1.2328124377038228</c:v>
                </c:pt>
                <c:pt idx="223">
                  <c:v>1.2357069997233729</c:v>
                </c:pt>
                <c:pt idx="224">
                  <c:v>1.2353272408702447</c:v>
                </c:pt>
                <c:pt idx="225">
                  <c:v>1.2556044243880571</c:v>
                </c:pt>
                <c:pt idx="226">
                  <c:v>1.2662334217653175</c:v>
                </c:pt>
                <c:pt idx="227">
                  <c:v>1.2344240878622648</c:v>
                </c:pt>
                <c:pt idx="228">
                  <c:v>1.2476818410712969</c:v>
                </c:pt>
                <c:pt idx="229">
                  <c:v>1.2508107814346274</c:v>
                </c:pt>
                <c:pt idx="230">
                  <c:v>1.2398575686495843</c:v>
                </c:pt>
                <c:pt idx="231">
                  <c:v>1.2527665070408602</c:v>
                </c:pt>
                <c:pt idx="232">
                  <c:v>1.252346907059509</c:v>
                </c:pt>
                <c:pt idx="233">
                  <c:v>1.2433620542981956</c:v>
                </c:pt>
                <c:pt idx="234">
                  <c:v>1.2465973897884193</c:v>
                </c:pt>
                <c:pt idx="235">
                  <c:v>1.2428321523431329</c:v>
                </c:pt>
                <c:pt idx="236">
                  <c:v>1.2578066539657569</c:v>
                </c:pt>
                <c:pt idx="237">
                  <c:v>1.2545508400122685</c:v>
                </c:pt>
                <c:pt idx="238">
                  <c:v>1.2621668104715347</c:v>
                </c:pt>
                <c:pt idx="239">
                  <c:v>1.2620283191041632</c:v>
                </c:pt>
                <c:pt idx="240">
                  <c:v>1.2649282040293646</c:v>
                </c:pt>
                <c:pt idx="241">
                  <c:v>1.2370610579279264</c:v>
                </c:pt>
                <c:pt idx="242">
                  <c:v>1.2311117932570397</c:v>
                </c:pt>
                <c:pt idx="243">
                  <c:v>1.2111603369463599</c:v>
                </c:pt>
                <c:pt idx="244">
                  <c:v>1.2237190561487374</c:v>
                </c:pt>
                <c:pt idx="245">
                  <c:v>1.2123262215145201</c:v>
                </c:pt>
                <c:pt idx="246">
                  <c:v>1.2177266747668465</c:v>
                </c:pt>
                <c:pt idx="247">
                  <c:v>1.2284593593690216</c:v>
                </c:pt>
                <c:pt idx="248">
                  <c:v>1.231597733120805</c:v>
                </c:pt>
                <c:pt idx="249">
                  <c:v>1.2354345954200803</c:v>
                </c:pt>
                <c:pt idx="250">
                  <c:v>1.2208728883843247</c:v>
                </c:pt>
                <c:pt idx="251">
                  <c:v>1.2348052170735484</c:v>
                </c:pt>
                <c:pt idx="252">
                  <c:v>1.243775301138734</c:v>
                </c:pt>
                <c:pt idx="253">
                  <c:v>1.2042303126116629</c:v>
                </c:pt>
                <c:pt idx="254">
                  <c:v>1.2153344501098524</c:v>
                </c:pt>
                <c:pt idx="255">
                  <c:v>1.2182228148140357</c:v>
                </c:pt>
                <c:pt idx="256">
                  <c:v>1.2087957289498052</c:v>
                </c:pt>
                <c:pt idx="257">
                  <c:v>1.2029795021658365</c:v>
                </c:pt>
                <c:pt idx="258">
                  <c:v>1.2105464404661856</c:v>
                </c:pt>
                <c:pt idx="259">
                  <c:v>1.2020838860465799</c:v>
                </c:pt>
                <c:pt idx="260">
                  <c:v>1.2207570811310653</c:v>
                </c:pt>
                <c:pt idx="261">
                  <c:v>1.2284735715569013</c:v>
                </c:pt>
                <c:pt idx="262">
                  <c:v>1.2273768188984682</c:v>
                </c:pt>
                <c:pt idx="263">
                  <c:v>1.2389247072845917</c:v>
                </c:pt>
                <c:pt idx="264">
                  <c:v>1.2286389929988775</c:v>
                </c:pt>
                <c:pt idx="265">
                  <c:v>1.2331424298322502</c:v>
                </c:pt>
                <c:pt idx="266">
                  <c:v>1.2229906317189525</c:v>
                </c:pt>
                <c:pt idx="267">
                  <c:v>1.2148318984950459</c:v>
                </c:pt>
                <c:pt idx="268">
                  <c:v>1.2261911959368177</c:v>
                </c:pt>
                <c:pt idx="269">
                  <c:v>1.2328758780588487</c:v>
                </c:pt>
                <c:pt idx="270">
                  <c:v>1.2532641373937921</c:v>
                </c:pt>
                <c:pt idx="271">
                  <c:v>1.2503296737485361</c:v>
                </c:pt>
                <c:pt idx="272">
                  <c:v>1.2523285580921584</c:v>
                </c:pt>
                <c:pt idx="273">
                  <c:v>1.2311085248616813</c:v>
                </c:pt>
                <c:pt idx="274">
                  <c:v>1.2315355913891559</c:v>
                </c:pt>
                <c:pt idx="275">
                  <c:v>1.2144506493042138</c:v>
                </c:pt>
                <c:pt idx="276">
                  <c:v>1.2085765777473421</c:v>
                </c:pt>
                <c:pt idx="277">
                  <c:v>1.2038453320152185</c:v>
                </c:pt>
                <c:pt idx="278">
                  <c:v>1.2068603096460295</c:v>
                </c:pt>
                <c:pt idx="279">
                  <c:v>1.2010890096362479</c:v>
                </c:pt>
                <c:pt idx="280">
                  <c:v>1.2071655251192093</c:v>
                </c:pt>
                <c:pt idx="281">
                  <c:v>1.1963552455260689</c:v>
                </c:pt>
                <c:pt idx="282">
                  <c:v>1.1841698282376973</c:v>
                </c:pt>
                <c:pt idx="283">
                  <c:v>1.2130062287593608</c:v>
                </c:pt>
                <c:pt idx="284">
                  <c:v>1.1952596944952767</c:v>
                </c:pt>
                <c:pt idx="285">
                  <c:v>1.1748945259559509</c:v>
                </c:pt>
                <c:pt idx="286">
                  <c:v>1.1323257569987288</c:v>
                </c:pt>
                <c:pt idx="287">
                  <c:v>1.1459438318981408</c:v>
                </c:pt>
                <c:pt idx="288">
                  <c:v>1.0964635373983571</c:v>
                </c:pt>
                <c:pt idx="289">
                  <c:v>1.1069097794297493</c:v>
                </c:pt>
                <c:pt idx="290">
                  <c:v>1.1322843943725782</c:v>
                </c:pt>
                <c:pt idx="291">
                  <c:v>1.1658885116337923</c:v>
                </c:pt>
                <c:pt idx="292">
                  <c:v>1.140856186834206</c:v>
                </c:pt>
                <c:pt idx="293">
                  <c:v>1.1497751473139846</c:v>
                </c:pt>
                <c:pt idx="294">
                  <c:v>1.1457609432071449</c:v>
                </c:pt>
                <c:pt idx="295">
                  <c:v>1.1441630050628151</c:v>
                </c:pt>
                <c:pt idx="296">
                  <c:v>1.1257903016507416</c:v>
                </c:pt>
                <c:pt idx="297">
                  <c:v>1.118706351555584</c:v>
                </c:pt>
                <c:pt idx="298">
                  <c:v>1.1087218355643405</c:v>
                </c:pt>
                <c:pt idx="299">
                  <c:v>1.0929392127202142</c:v>
                </c:pt>
                <c:pt idx="300">
                  <c:v>1.0895652466775498</c:v>
                </c:pt>
                <c:pt idx="301">
                  <c:v>1.0633743716007642</c:v>
                </c:pt>
                <c:pt idx="302">
                  <c:v>1.0699208348462566</c:v>
                </c:pt>
                <c:pt idx="303">
                  <c:v>1.1175776214474085</c:v>
                </c:pt>
                <c:pt idx="304">
                  <c:v>1.1137057640166244</c:v>
                </c:pt>
                <c:pt idx="305">
                  <c:v>1.1324931696892759</c:v>
                </c:pt>
                <c:pt idx="306">
                  <c:v>1.1177593293850934</c:v>
                </c:pt>
                <c:pt idx="307">
                  <c:v>1.1236913993100237</c:v>
                </c:pt>
                <c:pt idx="308">
                  <c:v>1.1037192425312701</c:v>
                </c:pt>
                <c:pt idx="309">
                  <c:v>1.1076659091979368</c:v>
                </c:pt>
                <c:pt idx="310">
                  <c:v>1.1152873763303599</c:v>
                </c:pt>
                <c:pt idx="311">
                  <c:v>1.1091635145698828</c:v>
                </c:pt>
                <c:pt idx="312">
                  <c:v>1.1147237772260998</c:v>
                </c:pt>
                <c:pt idx="313">
                  <c:v>1.1254111200592933</c:v>
                </c:pt>
                <c:pt idx="314">
                  <c:v>1.1454337096475469</c:v>
                </c:pt>
                <c:pt idx="315">
                  <c:v>1.1475342270920881</c:v>
                </c:pt>
                <c:pt idx="316">
                  <c:v>1.1571242412995166</c:v>
                </c:pt>
                <c:pt idx="317">
                  <c:v>1.1536108241194156</c:v>
                </c:pt>
                <c:pt idx="318">
                  <c:v>1.1456038436749256</c:v>
                </c:pt>
                <c:pt idx="319">
                  <c:v>1.1406520718690762</c:v>
                </c:pt>
                <c:pt idx="320">
                  <c:v>1.1432244853073641</c:v>
                </c:pt>
                <c:pt idx="321">
                  <c:v>1.1278663909647846</c:v>
                </c:pt>
                <c:pt idx="322">
                  <c:v>1.1456199955622497</c:v>
                </c:pt>
                <c:pt idx="323">
                  <c:v>1.1376551649441995</c:v>
                </c:pt>
                <c:pt idx="324">
                  <c:v>1.1418269820022959</c:v>
                </c:pt>
                <c:pt idx="325">
                  <c:v>1.1413116774573098</c:v>
                </c:pt>
                <c:pt idx="326">
                  <c:v>1.1302665591911849</c:v>
                </c:pt>
                <c:pt idx="327">
                  <c:v>1.121913525306236</c:v>
                </c:pt>
                <c:pt idx="328">
                  <c:v>1.1199659518774541</c:v>
                </c:pt>
                <c:pt idx="329">
                  <c:v>1.1216999648037322</c:v>
                </c:pt>
                <c:pt idx="330">
                  <c:v>1.1217525078890622</c:v>
                </c:pt>
                <c:pt idx="331">
                  <c:v>1.1188542626448192</c:v>
                </c:pt>
                <c:pt idx="332">
                  <c:v>1.0968271191721781</c:v>
                </c:pt>
                <c:pt idx="333">
                  <c:v>1.0805162269992168</c:v>
                </c:pt>
                <c:pt idx="334">
                  <c:v>1.0773315136234207</c:v>
                </c:pt>
                <c:pt idx="335">
                  <c:v>1.0744680775000726</c:v>
                </c:pt>
                <c:pt idx="336">
                  <c:v>1.0755681875110739</c:v>
                </c:pt>
                <c:pt idx="337">
                  <c:v>1.0773800801152575</c:v>
                </c:pt>
                <c:pt idx="338">
                  <c:v>1.0768307201196525</c:v>
                </c:pt>
                <c:pt idx="339">
                  <c:v>1.0710845462978944</c:v>
                </c:pt>
                <c:pt idx="340">
                  <c:v>1.0525701962697569</c:v>
                </c:pt>
                <c:pt idx="341">
                  <c:v>1.0234990820700813</c:v>
                </c:pt>
                <c:pt idx="342">
                  <c:v>1.0215262376926877</c:v>
                </c:pt>
                <c:pt idx="343">
                  <c:v>1.0106158669747147</c:v>
                </c:pt>
                <c:pt idx="344">
                  <c:v>0.98523393506084478</c:v>
                </c:pt>
                <c:pt idx="345">
                  <c:v>0.99800039785996597</c:v>
                </c:pt>
                <c:pt idx="346">
                  <c:v>0.99627543949689201</c:v>
                </c:pt>
                <c:pt idx="347">
                  <c:v>1.020422177365478</c:v>
                </c:pt>
                <c:pt idx="348">
                  <c:v>1.0325214949869013</c:v>
                </c:pt>
                <c:pt idx="349">
                  <c:v>1.0405983961870606</c:v>
                </c:pt>
                <c:pt idx="350">
                  <c:v>1.0373457141509959</c:v>
                </c:pt>
                <c:pt idx="351">
                  <c:v>1.0470094609721317</c:v>
                </c:pt>
                <c:pt idx="352">
                  <c:v>1.0513981404297359</c:v>
                </c:pt>
                <c:pt idx="353">
                  <c:v>1.0473305736256004</c:v>
                </c:pt>
                <c:pt idx="354">
                  <c:v>1.0552888766015576</c:v>
                </c:pt>
                <c:pt idx="355">
                  <c:v>1.0662638779872899</c:v>
                </c:pt>
                <c:pt idx="356">
                  <c:v>1.0491245646874083</c:v>
                </c:pt>
                <c:pt idx="357">
                  <c:v>1.0620356894021949</c:v>
                </c:pt>
                <c:pt idx="358">
                  <c:v>1.0848222893586883</c:v>
                </c:pt>
                <c:pt idx="359">
                  <c:v>1.0965920534259748</c:v>
                </c:pt>
                <c:pt idx="360">
                  <c:v>1.1128754264103788</c:v>
                </c:pt>
                <c:pt idx="361">
                  <c:v>1.1016484817431775</c:v>
                </c:pt>
                <c:pt idx="362">
                  <c:v>1.0686796281977833</c:v>
                </c:pt>
                <c:pt idx="363">
                  <c:v>1.0808448128576491</c:v>
                </c:pt>
                <c:pt idx="364">
                  <c:v>1.1169684851680919</c:v>
                </c:pt>
                <c:pt idx="365">
                  <c:v>1.1207400933399096</c:v>
                </c:pt>
                <c:pt idx="366">
                  <c:v>1.1049363366219829</c:v>
                </c:pt>
                <c:pt idx="367">
                  <c:v>1.1041908230163595</c:v>
                </c:pt>
                <c:pt idx="368">
                  <c:v>1.092336736050467</c:v>
                </c:pt>
                <c:pt idx="369">
                  <c:v>1.1057331530405261</c:v>
                </c:pt>
                <c:pt idx="370">
                  <c:v>1.1195732578898052</c:v>
                </c:pt>
                <c:pt idx="371">
                  <c:v>1.1256695480106889</c:v>
                </c:pt>
                <c:pt idx="372">
                  <c:v>1.1493749096954993</c:v>
                </c:pt>
                <c:pt idx="373">
                  <c:v>1.1549394584611812</c:v>
                </c:pt>
                <c:pt idx="374">
                  <c:v>1.145595572834426</c:v>
                </c:pt>
                <c:pt idx="375">
                  <c:v>1.1474812114033792</c:v>
                </c:pt>
                <c:pt idx="376">
                  <c:v>1.1398295912113183</c:v>
                </c:pt>
                <c:pt idx="377">
                  <c:v>1.1309704056346943</c:v>
                </c:pt>
                <c:pt idx="378">
                  <c:v>1.1329868473905498</c:v>
                </c:pt>
                <c:pt idx="379">
                  <c:v>1.1252757027023823</c:v>
                </c:pt>
                <c:pt idx="380">
                  <c:v>1.1112217057667877</c:v>
                </c:pt>
                <c:pt idx="381">
                  <c:v>1.1187724372438996</c:v>
                </c:pt>
                <c:pt idx="382">
                  <c:v>1.1147713843352394</c:v>
                </c:pt>
                <c:pt idx="383">
                  <c:v>1.1045065188953926</c:v>
                </c:pt>
                <c:pt idx="384">
                  <c:v>1.0967346370279969</c:v>
                </c:pt>
                <c:pt idx="385">
                  <c:v>1.093885787318257</c:v>
                </c:pt>
                <c:pt idx="386">
                  <c:v>1.0854842479394291</c:v>
                </c:pt>
                <c:pt idx="387">
                  <c:v>1.0897480648651632</c:v>
                </c:pt>
                <c:pt idx="388">
                  <c:v>1.0814215342529183</c:v>
                </c:pt>
                <c:pt idx="389">
                  <c:v>1.0832142330795156</c:v>
                </c:pt>
                <c:pt idx="390">
                  <c:v>1.0795612152506076</c:v>
                </c:pt>
                <c:pt idx="391">
                  <c:v>1.0752352925696307</c:v>
                </c:pt>
                <c:pt idx="392">
                  <c:v>1.0598900240274312</c:v>
                </c:pt>
                <c:pt idx="393">
                  <c:v>1.056150976089488</c:v>
                </c:pt>
                <c:pt idx="394">
                  <c:v>1.0686061979136821</c:v>
                </c:pt>
                <c:pt idx="395">
                  <c:v>1.0509393442961836</c:v>
                </c:pt>
                <c:pt idx="396">
                  <c:v>1.052954344855906</c:v>
                </c:pt>
                <c:pt idx="397">
                  <c:v>1.0412322767886315</c:v>
                </c:pt>
                <c:pt idx="398">
                  <c:v>1.0361096175593072</c:v>
                </c:pt>
                <c:pt idx="399">
                  <c:v>1.0507478676995203</c:v>
                </c:pt>
                <c:pt idx="400">
                  <c:v>1.0632644826751516</c:v>
                </c:pt>
                <c:pt idx="401">
                  <c:v>1.0629320727028524</c:v>
                </c:pt>
                <c:pt idx="402">
                  <c:v>1.0443090478721526</c:v>
                </c:pt>
                <c:pt idx="403">
                  <c:v>1.034104384512025</c:v>
                </c:pt>
                <c:pt idx="404">
                  <c:v>1.0478792636304328</c:v>
                </c:pt>
                <c:pt idx="405">
                  <c:v>1.0891686124876989</c:v>
                </c:pt>
                <c:pt idx="406">
                  <c:v>1.1015721259292746</c:v>
                </c:pt>
                <c:pt idx="407">
                  <c:v>1.1180642725261332</c:v>
                </c:pt>
                <c:pt idx="408">
                  <c:v>1.1206752385835743</c:v>
                </c:pt>
                <c:pt idx="409">
                  <c:v>1.1560855040346396</c:v>
                </c:pt>
                <c:pt idx="410">
                  <c:v>1.14110595393239</c:v>
                </c:pt>
                <c:pt idx="411">
                  <c:v>1.1437573918275563</c:v>
                </c:pt>
                <c:pt idx="412">
                  <c:v>1.1518998082539964</c:v>
                </c:pt>
                <c:pt idx="413">
                  <c:v>1.1713880557993699</c:v>
                </c:pt>
                <c:pt idx="414">
                  <c:v>1.1737626476663927</c:v>
                </c:pt>
                <c:pt idx="415">
                  <c:v>1.1733172133679519</c:v>
                </c:pt>
                <c:pt idx="416">
                  <c:v>1.1665907559688486</c:v>
                </c:pt>
                <c:pt idx="417">
                  <c:v>1.1755775227079364</c:v>
                </c:pt>
                <c:pt idx="418">
                  <c:v>1.1730032652821938</c:v>
                </c:pt>
                <c:pt idx="419">
                  <c:v>1.1754724010846629</c:v>
                </c:pt>
                <c:pt idx="420">
                  <c:v>1.1834089090211708</c:v>
                </c:pt>
                <c:pt idx="421">
                  <c:v>1.1851694724014523</c:v>
                </c:pt>
                <c:pt idx="422">
                  <c:v>1.1742434823881038</c:v>
                </c:pt>
                <c:pt idx="423">
                  <c:v>1.0925278826234106</c:v>
                </c:pt>
                <c:pt idx="424">
                  <c:v>1.0763331106001508</c:v>
                </c:pt>
                <c:pt idx="425">
                  <c:v>1.0719665367231792</c:v>
                </c:pt>
                <c:pt idx="426">
                  <c:v>1.0796038457904524</c:v>
                </c:pt>
                <c:pt idx="427">
                  <c:v>1.0757432618091571</c:v>
                </c:pt>
                <c:pt idx="428">
                  <c:v>1.0621299461125082</c:v>
                </c:pt>
                <c:pt idx="429">
                  <c:v>1.0666836302075322</c:v>
                </c:pt>
                <c:pt idx="430">
                  <c:v>1.0601675332391738</c:v>
                </c:pt>
                <c:pt idx="431">
                  <c:v>1.0614360088623813</c:v>
                </c:pt>
                <c:pt idx="432">
                  <c:v>1.0601659221651589</c:v>
                </c:pt>
                <c:pt idx="433">
                  <c:v>1.0568972241042172</c:v>
                </c:pt>
                <c:pt idx="434">
                  <c:v>1.069803272447212</c:v>
                </c:pt>
                <c:pt idx="435">
                  <c:v>1.049663802433265</c:v>
                </c:pt>
                <c:pt idx="436">
                  <c:v>1.0377523199899996</c:v>
                </c:pt>
                <c:pt idx="437">
                  <c:v>1.0239596112393559</c:v>
                </c:pt>
                <c:pt idx="438">
                  <c:v>1.0286873396512948</c:v>
                </c:pt>
                <c:pt idx="439">
                  <c:v>1.0246841370892452</c:v>
                </c:pt>
                <c:pt idx="440">
                  <c:v>1.0251985697843009</c:v>
                </c:pt>
                <c:pt idx="441">
                  <c:v>1.0226772243026667</c:v>
                </c:pt>
                <c:pt idx="442">
                  <c:v>1.0241648938111638</c:v>
                </c:pt>
                <c:pt idx="443">
                  <c:v>1.0095349954076804</c:v>
                </c:pt>
                <c:pt idx="444">
                  <c:v>1.0301183808628462</c:v>
                </c:pt>
                <c:pt idx="445">
                  <c:v>1.0358846763006888</c:v>
                </c:pt>
                <c:pt idx="446">
                  <c:v>1.0429016292590363</c:v>
                </c:pt>
                <c:pt idx="447">
                  <c:v>1.0527398817185996</c:v>
                </c:pt>
                <c:pt idx="448">
                  <c:v>1.0681724872020997</c:v>
                </c:pt>
                <c:pt idx="449">
                  <c:v>1.0621716063388538</c:v>
                </c:pt>
                <c:pt idx="450">
                  <c:v>1.0643689256093438</c:v>
                </c:pt>
                <c:pt idx="451">
                  <c:v>1.0674903318850133</c:v>
                </c:pt>
                <c:pt idx="452">
                  <c:v>1.0662292286938737</c:v>
                </c:pt>
                <c:pt idx="453">
                  <c:v>1.0736309920551452</c:v>
                </c:pt>
                <c:pt idx="454">
                  <c:v>1.0774802737032882</c:v>
                </c:pt>
                <c:pt idx="455">
                  <c:v>1.0795902066182419</c:v>
                </c:pt>
                <c:pt idx="456">
                  <c:v>1.0697562905343259</c:v>
                </c:pt>
                <c:pt idx="457">
                  <c:v>1.0628802247441285</c:v>
                </c:pt>
                <c:pt idx="458">
                  <c:v>1.0661152285822686</c:v>
                </c:pt>
                <c:pt idx="459">
                  <c:v>1.0729223951672493</c:v>
                </c:pt>
                <c:pt idx="460">
                  <c:v>1.0640217853106479</c:v>
                </c:pt>
                <c:pt idx="461">
                  <c:v>1.0627565196048498</c:v>
                </c:pt>
                <c:pt idx="462">
                  <c:v>1.0631414522416385</c:v>
                </c:pt>
                <c:pt idx="463">
                  <c:v>1.0601907862735718</c:v>
                </c:pt>
                <c:pt idx="464">
                  <c:v>1.0639545225373082</c:v>
                </c:pt>
                <c:pt idx="465">
                  <c:v>1.0709925497073665</c:v>
                </c:pt>
                <c:pt idx="466">
                  <c:v>1.0705558923196694</c:v>
                </c:pt>
                <c:pt idx="467">
                  <c:v>1.0772247277132934</c:v>
                </c:pt>
                <c:pt idx="468">
                  <c:v>1.0813821706159445</c:v>
                </c:pt>
                <c:pt idx="469">
                  <c:v>1.0840745404398635</c:v>
                </c:pt>
                <c:pt idx="470">
                  <c:v>1.0863846296200503</c:v>
                </c:pt>
                <c:pt idx="471">
                  <c:v>1.0899178201982089</c:v>
                </c:pt>
                <c:pt idx="472">
                  <c:v>1.0702671651763747</c:v>
                </c:pt>
                <c:pt idx="473">
                  <c:v>1.0709217582376882</c:v>
                </c:pt>
                <c:pt idx="474">
                  <c:v>1.071902684668206</c:v>
                </c:pt>
                <c:pt idx="475">
                  <c:v>1.0638824693309175</c:v>
                </c:pt>
                <c:pt idx="476">
                  <c:v>1.0697259513908814</c:v>
                </c:pt>
                <c:pt idx="477">
                  <c:v>1.0684135436695492</c:v>
                </c:pt>
                <c:pt idx="478">
                  <c:v>1.0764955571214911</c:v>
                </c:pt>
                <c:pt idx="479">
                  <c:v>1.0697790169587651</c:v>
                </c:pt>
                <c:pt idx="480">
                  <c:v>1.0648953470729003</c:v>
                </c:pt>
                <c:pt idx="481">
                  <c:v>1.0681223885868751</c:v>
                </c:pt>
                <c:pt idx="482">
                  <c:v>1.0691605264953004</c:v>
                </c:pt>
                <c:pt idx="483">
                  <c:v>1.0700885247484802</c:v>
                </c:pt>
                <c:pt idx="484">
                  <c:v>1.0661976873964416</c:v>
                </c:pt>
                <c:pt idx="485">
                  <c:v>1.0765561667065995</c:v>
                </c:pt>
                <c:pt idx="486">
                  <c:v>1.0829149531483735</c:v>
                </c:pt>
                <c:pt idx="487">
                  <c:v>1.0787482864817068</c:v>
                </c:pt>
                <c:pt idx="488">
                  <c:v>1.0763616516368382</c:v>
                </c:pt>
                <c:pt idx="489">
                  <c:v>1.0672204835378727</c:v>
                </c:pt>
                <c:pt idx="490">
                  <c:v>1.0611628812469978</c:v>
                </c:pt>
                <c:pt idx="491">
                  <c:v>1.0734555111082977</c:v>
                </c:pt>
                <c:pt idx="492">
                  <c:v>1.0632906759434626</c:v>
                </c:pt>
                <c:pt idx="493">
                  <c:v>1.0675036211751747</c:v>
                </c:pt>
                <c:pt idx="494">
                  <c:v>1.0681597532764378</c:v>
                </c:pt>
                <c:pt idx="495">
                  <c:v>0.95243256928424647</c:v>
                </c:pt>
                <c:pt idx="496">
                  <c:v>0.94381824489340238</c:v>
                </c:pt>
                <c:pt idx="497">
                  <c:v>0.96063615172945804</c:v>
                </c:pt>
                <c:pt idx="498">
                  <c:v>0.96664938083348695</c:v>
                </c:pt>
                <c:pt idx="499">
                  <c:v>0.95546124998100002</c:v>
                </c:pt>
                <c:pt idx="500">
                  <c:v>0.96455927974541522</c:v>
                </c:pt>
                <c:pt idx="501">
                  <c:v>0.95819255648565282</c:v>
                </c:pt>
                <c:pt idx="502">
                  <c:v>0.95679599324562614</c:v>
                </c:pt>
                <c:pt idx="503">
                  <c:v>0.96492656419238587</c:v>
                </c:pt>
                <c:pt idx="504">
                  <c:v>0.95550349896045694</c:v>
                </c:pt>
                <c:pt idx="505">
                  <c:v>0.92740887100333325</c:v>
                </c:pt>
                <c:pt idx="506">
                  <c:v>0.92449405874231649</c:v>
                </c:pt>
                <c:pt idx="507">
                  <c:v>0.92254706715834467</c:v>
                </c:pt>
                <c:pt idx="508">
                  <c:v>0.91014800821512609</c:v>
                </c:pt>
                <c:pt idx="509">
                  <c:v>0.91110087316240074</c:v>
                </c:pt>
                <c:pt idx="510">
                  <c:v>0.92398690545586371</c:v>
                </c:pt>
                <c:pt idx="511">
                  <c:v>0.93062076617593348</c:v>
                </c:pt>
                <c:pt idx="512">
                  <c:v>0.93761031278321993</c:v>
                </c:pt>
                <c:pt idx="513">
                  <c:v>0.9329496118137941</c:v>
                </c:pt>
                <c:pt idx="514">
                  <c:v>0.93691098839215514</c:v>
                </c:pt>
                <c:pt idx="515">
                  <c:v>0.94983293737642283</c:v>
                </c:pt>
                <c:pt idx="516">
                  <c:v>0.95230124551879236</c:v>
                </c:pt>
                <c:pt idx="517">
                  <c:v>0.94844685579716481</c:v>
                </c:pt>
                <c:pt idx="518">
                  <c:v>0.95033986996423858</c:v>
                </c:pt>
                <c:pt idx="519">
                  <c:v>0.91774008435354437</c:v>
                </c:pt>
                <c:pt idx="520">
                  <c:v>0.90857686449990138</c:v>
                </c:pt>
                <c:pt idx="521">
                  <c:v>0.92021208462568749</c:v>
                </c:pt>
                <c:pt idx="522">
                  <c:v>0.92284663487032426</c:v>
                </c:pt>
                <c:pt idx="523">
                  <c:v>0.93597031940666209</c:v>
                </c:pt>
                <c:pt idx="524">
                  <c:v>0.93584649573157552</c:v>
                </c:pt>
                <c:pt idx="525">
                  <c:v>0.94358700439357324</c:v>
                </c:pt>
                <c:pt idx="526">
                  <c:v>0.94616053380533782</c:v>
                </c:pt>
                <c:pt idx="527">
                  <c:v>0.93519602906644184</c:v>
                </c:pt>
                <c:pt idx="528">
                  <c:v>0.93587697496219513</c:v>
                </c:pt>
                <c:pt idx="529">
                  <c:v>0.91977432054025521</c:v>
                </c:pt>
                <c:pt idx="530">
                  <c:v>0.92384623684671396</c:v>
                </c:pt>
                <c:pt idx="531">
                  <c:v>0.91436037078714272</c:v>
                </c:pt>
                <c:pt idx="532">
                  <c:v>0.91023286253212621</c:v>
                </c:pt>
                <c:pt idx="533">
                  <c:v>0.91966801160748157</c:v>
                </c:pt>
                <c:pt idx="534">
                  <c:v>0.89577414930310872</c:v>
                </c:pt>
                <c:pt idx="535">
                  <c:v>0.88542797543533147</c:v>
                </c:pt>
                <c:pt idx="536">
                  <c:v>0.89407202136488895</c:v>
                </c:pt>
                <c:pt idx="537">
                  <c:v>0.90875453582494103</c:v>
                </c:pt>
                <c:pt idx="538">
                  <c:v>1.0172654152447052</c:v>
                </c:pt>
                <c:pt idx="539">
                  <c:v>1.0180580774573651</c:v>
                </c:pt>
                <c:pt idx="540">
                  <c:v>1.0015985931111404</c:v>
                </c:pt>
                <c:pt idx="541">
                  <c:v>0.99650835710928942</c:v>
                </c:pt>
                <c:pt idx="542">
                  <c:v>0.99372413437147045</c:v>
                </c:pt>
                <c:pt idx="543">
                  <c:v>0.990114866703523</c:v>
                </c:pt>
                <c:pt idx="544">
                  <c:v>0.99549961570473899</c:v>
                </c:pt>
                <c:pt idx="545">
                  <c:v>0.99630956652915315</c:v>
                </c:pt>
                <c:pt idx="546">
                  <c:v>0.99054906379436913</c:v>
                </c:pt>
                <c:pt idx="547">
                  <c:v>0.99897278869628459</c:v>
                </c:pt>
                <c:pt idx="548">
                  <c:v>0.98611631370797237</c:v>
                </c:pt>
                <c:pt idx="549">
                  <c:v>0.98670035762807518</c:v>
                </c:pt>
                <c:pt idx="550">
                  <c:v>0.9800568159736569</c:v>
                </c:pt>
                <c:pt idx="551">
                  <c:v>0.98158308541891659</c:v>
                </c:pt>
                <c:pt idx="552">
                  <c:v>0.98585009500507526</c:v>
                </c:pt>
                <c:pt idx="553">
                  <c:v>0.97979305295861829</c:v>
                </c:pt>
                <c:pt idx="554">
                  <c:v>0.96981502836991484</c:v>
                </c:pt>
                <c:pt idx="555">
                  <c:v>0.98746431802247181</c:v>
                </c:pt>
                <c:pt idx="556">
                  <c:v>0.98644224116229184</c:v>
                </c:pt>
                <c:pt idx="557">
                  <c:v>1.0093264504871791</c:v>
                </c:pt>
                <c:pt idx="558">
                  <c:v>1.0166344042601227</c:v>
                </c:pt>
                <c:pt idx="559">
                  <c:v>1.012538841120191</c:v>
                </c:pt>
                <c:pt idx="560">
                  <c:v>1.0116278868956405</c:v>
                </c:pt>
                <c:pt idx="561">
                  <c:v>1.0035351359342677</c:v>
                </c:pt>
                <c:pt idx="562">
                  <c:v>0.99566795250163054</c:v>
                </c:pt>
                <c:pt idx="563">
                  <c:v>0.97512364646231287</c:v>
                </c:pt>
                <c:pt idx="564">
                  <c:v>0.99178450795076056</c:v>
                </c:pt>
                <c:pt idx="565">
                  <c:v>0.99663719425925279</c:v>
                </c:pt>
                <c:pt idx="566">
                  <c:v>1.0063625947169188</c:v>
                </c:pt>
                <c:pt idx="567">
                  <c:v>1.0068772038998337</c:v>
                </c:pt>
                <c:pt idx="568">
                  <c:v>1.0142274323528804</c:v>
                </c:pt>
                <c:pt idx="569">
                  <c:v>0.99728659541204334</c:v>
                </c:pt>
                <c:pt idx="570">
                  <c:v>0.98596209596659357</c:v>
                </c:pt>
                <c:pt idx="571">
                  <c:v>0.9894522943262003</c:v>
                </c:pt>
                <c:pt idx="572">
                  <c:v>0.970786733766826</c:v>
                </c:pt>
                <c:pt idx="573">
                  <c:v>0.95170460816296132</c:v>
                </c:pt>
                <c:pt idx="574">
                  <c:v>0.969964034295283</c:v>
                </c:pt>
                <c:pt idx="575">
                  <c:v>0.9603575701324818</c:v>
                </c:pt>
                <c:pt idx="576">
                  <c:v>0.94390079578193131</c:v>
                </c:pt>
                <c:pt idx="577">
                  <c:v>0.95377971873837963</c:v>
                </c:pt>
                <c:pt idx="578">
                  <c:v>0.94698731167912797</c:v>
                </c:pt>
                <c:pt idx="579">
                  <c:v>0.94364059146493795</c:v>
                </c:pt>
                <c:pt idx="580">
                  <c:v>0.92681099116794496</c:v>
                </c:pt>
                <c:pt idx="581">
                  <c:v>0.93576365243848703</c:v>
                </c:pt>
                <c:pt idx="582">
                  <c:v>0.9323179226821493</c:v>
                </c:pt>
                <c:pt idx="583">
                  <c:v>0.93127080226330106</c:v>
                </c:pt>
                <c:pt idx="584">
                  <c:v>0.93605226490046156</c:v>
                </c:pt>
                <c:pt idx="585">
                  <c:v>0.94900077340170208</c:v>
                </c:pt>
                <c:pt idx="586">
                  <c:v>0.94511326808675333</c:v>
                </c:pt>
                <c:pt idx="587">
                  <c:v>0.95240945718467906</c:v>
                </c:pt>
                <c:pt idx="588">
                  <c:v>0.96172845360044967</c:v>
                </c:pt>
                <c:pt idx="589">
                  <c:v>0.94939173371656005</c:v>
                </c:pt>
                <c:pt idx="590">
                  <c:v>0.94799889171328977</c:v>
                </c:pt>
                <c:pt idx="591">
                  <c:v>0.96508222504662311</c:v>
                </c:pt>
                <c:pt idx="592">
                  <c:v>0.95552751078666276</c:v>
                </c:pt>
                <c:pt idx="593">
                  <c:v>0.96250925085110972</c:v>
                </c:pt>
                <c:pt idx="594">
                  <c:v>0.96589908135958424</c:v>
                </c:pt>
                <c:pt idx="595">
                  <c:v>0.96470825075523758</c:v>
                </c:pt>
                <c:pt idx="596">
                  <c:v>0.96832714017146926</c:v>
                </c:pt>
                <c:pt idx="597">
                  <c:v>0.97539594318749179</c:v>
                </c:pt>
                <c:pt idx="598">
                  <c:v>0.97815691363923352</c:v>
                </c:pt>
                <c:pt idx="599">
                  <c:v>0.9758016171662901</c:v>
                </c:pt>
                <c:pt idx="600">
                  <c:v>0.96742968984174416</c:v>
                </c:pt>
                <c:pt idx="601">
                  <c:v>0.97268631969231423</c:v>
                </c:pt>
                <c:pt idx="602">
                  <c:v>0.96662535350299805</c:v>
                </c:pt>
                <c:pt idx="603">
                  <c:v>0.96064770989011028</c:v>
                </c:pt>
                <c:pt idx="604">
                  <c:v>0.94854776433986521</c:v>
                </c:pt>
                <c:pt idx="605">
                  <c:v>0.94981664651509179</c:v>
                </c:pt>
                <c:pt idx="606">
                  <c:v>0.92377820882135353</c:v>
                </c:pt>
                <c:pt idx="607">
                  <c:v>0.92588164856399136</c:v>
                </c:pt>
                <c:pt idx="608">
                  <c:v>0.93025491619565137</c:v>
                </c:pt>
                <c:pt idx="609">
                  <c:v>0.9488137361690524</c:v>
                </c:pt>
                <c:pt idx="610">
                  <c:v>0.98144531511642086</c:v>
                </c:pt>
                <c:pt idx="611">
                  <c:v>0.97313114564888148</c:v>
                </c:pt>
                <c:pt idx="612">
                  <c:v>0.97082618110987429</c:v>
                </c:pt>
                <c:pt idx="613">
                  <c:v>0.95607267265359519</c:v>
                </c:pt>
                <c:pt idx="614">
                  <c:v>0.95936037664068341</c:v>
                </c:pt>
                <c:pt idx="615">
                  <c:v>0.96983003238420651</c:v>
                </c:pt>
                <c:pt idx="616">
                  <c:v>0.98399995482866398</c:v>
                </c:pt>
                <c:pt idx="617">
                  <c:v>0.95993450636335886</c:v>
                </c:pt>
                <c:pt idx="618">
                  <c:v>0.95120009277381601</c:v>
                </c:pt>
                <c:pt idx="619">
                  <c:v>0.94269514167728496</c:v>
                </c:pt>
                <c:pt idx="620">
                  <c:v>0.94147867065970681</c:v>
                </c:pt>
                <c:pt idx="621">
                  <c:v>0.91320923542298149</c:v>
                </c:pt>
                <c:pt idx="622">
                  <c:v>0.92176631361483385</c:v>
                </c:pt>
                <c:pt idx="623">
                  <c:v>0.93642996608627016</c:v>
                </c:pt>
                <c:pt idx="624">
                  <c:v>0.94682962749264299</c:v>
                </c:pt>
                <c:pt idx="625">
                  <c:v>0.94068532769948088</c:v>
                </c:pt>
                <c:pt idx="626">
                  <c:v>0.94141481098215563</c:v>
                </c:pt>
                <c:pt idx="627">
                  <c:v>0.96160660322707781</c:v>
                </c:pt>
                <c:pt idx="628">
                  <c:v>0.943906415314124</c:v>
                </c:pt>
                <c:pt idx="629">
                  <c:v>0.94071385853222123</c:v>
                </c:pt>
                <c:pt idx="630">
                  <c:v>0.93011282608384371</c:v>
                </c:pt>
                <c:pt idx="631">
                  <c:v>0.90497580094681851</c:v>
                </c:pt>
                <c:pt idx="632">
                  <c:v>0.89234422199945018</c:v>
                </c:pt>
                <c:pt idx="633">
                  <c:v>0.8907147769692576</c:v>
                </c:pt>
                <c:pt idx="634">
                  <c:v>0.90448462824225984</c:v>
                </c:pt>
                <c:pt idx="635">
                  <c:v>0.89036051499371371</c:v>
                </c:pt>
                <c:pt idx="636">
                  <c:v>0.89677402782073934</c:v>
                </c:pt>
                <c:pt idx="637">
                  <c:v>0.91393685625486532</c:v>
                </c:pt>
                <c:pt idx="638">
                  <c:v>0.920139175922421</c:v>
                </c:pt>
                <c:pt idx="639">
                  <c:v>0.90573122323587263</c:v>
                </c:pt>
                <c:pt idx="640">
                  <c:v>0.88459405651566714</c:v>
                </c:pt>
                <c:pt idx="641">
                  <c:v>0.8793628501090538</c:v>
                </c:pt>
                <c:pt idx="642">
                  <c:v>0.87871660479433233</c:v>
                </c:pt>
                <c:pt idx="643">
                  <c:v>0.8859025408908292</c:v>
                </c:pt>
                <c:pt idx="644">
                  <c:v>0.88268420927393942</c:v>
                </c:pt>
                <c:pt idx="645">
                  <c:v>0.88094328464952776</c:v>
                </c:pt>
                <c:pt idx="646">
                  <c:v>0.88511690735403525</c:v>
                </c:pt>
                <c:pt idx="647">
                  <c:v>0.88318690220735474</c:v>
                </c:pt>
                <c:pt idx="648">
                  <c:v>0.86823424141727967</c:v>
                </c:pt>
                <c:pt idx="649">
                  <c:v>0.84423049710061748</c:v>
                </c:pt>
                <c:pt idx="650">
                  <c:v>0.84616576570255275</c:v>
                </c:pt>
                <c:pt idx="651">
                  <c:v>0.84676600579859118</c:v>
                </c:pt>
                <c:pt idx="652">
                  <c:v>0.8443592669297586</c:v>
                </c:pt>
                <c:pt idx="653">
                  <c:v>0.84669368966036618</c:v>
                </c:pt>
                <c:pt idx="654">
                  <c:v>0.85855686767394279</c:v>
                </c:pt>
                <c:pt idx="655">
                  <c:v>0.86269181122868177</c:v>
                </c:pt>
                <c:pt idx="656">
                  <c:v>0.86183784026369448</c:v>
                </c:pt>
                <c:pt idx="657">
                  <c:v>0.86039056705798433</c:v>
                </c:pt>
                <c:pt idx="658">
                  <c:v>0.86412631224083936</c:v>
                </c:pt>
                <c:pt idx="659">
                  <c:v>0.8585905273456238</c:v>
                </c:pt>
                <c:pt idx="660">
                  <c:v>0.83965418568567196</c:v>
                </c:pt>
                <c:pt idx="661">
                  <c:v>0.82796940307697631</c:v>
                </c:pt>
                <c:pt idx="662">
                  <c:v>0.83142211447092407</c:v>
                </c:pt>
                <c:pt idx="663">
                  <c:v>0.82809376234485421</c:v>
                </c:pt>
                <c:pt idx="664">
                  <c:v>0.82846721337184459</c:v>
                </c:pt>
                <c:pt idx="665">
                  <c:v>0.83168210338876503</c:v>
                </c:pt>
                <c:pt idx="666">
                  <c:v>0.81544990034866593</c:v>
                </c:pt>
                <c:pt idx="667">
                  <c:v>0.81709791243408791</c:v>
                </c:pt>
                <c:pt idx="668">
                  <c:v>0.8324461206829048</c:v>
                </c:pt>
                <c:pt idx="669">
                  <c:v>0.84155773799497757</c:v>
                </c:pt>
                <c:pt idx="670">
                  <c:v>0.85327726391697989</c:v>
                </c:pt>
                <c:pt idx="671">
                  <c:v>0.84101184836738196</c:v>
                </c:pt>
                <c:pt idx="672">
                  <c:v>0.82811300247464625</c:v>
                </c:pt>
                <c:pt idx="673">
                  <c:v>0.85750151064544211</c:v>
                </c:pt>
                <c:pt idx="674">
                  <c:v>0.82244490172442186</c:v>
                </c:pt>
                <c:pt idx="675">
                  <c:v>0.80290523132597946</c:v>
                </c:pt>
                <c:pt idx="676">
                  <c:v>0.79969630213169962</c:v>
                </c:pt>
                <c:pt idx="677">
                  <c:v>0.81535241694320826</c:v>
                </c:pt>
                <c:pt idx="678">
                  <c:v>0.80690424853381837</c:v>
                </c:pt>
                <c:pt idx="679">
                  <c:v>0.8126873810639389</c:v>
                </c:pt>
                <c:pt idx="680">
                  <c:v>0.80784476605183242</c:v>
                </c:pt>
                <c:pt idx="681">
                  <c:v>0.82000905225425158</c:v>
                </c:pt>
                <c:pt idx="682">
                  <c:v>0.80776500134113582</c:v>
                </c:pt>
                <c:pt idx="683">
                  <c:v>0.82981885061728244</c:v>
                </c:pt>
                <c:pt idx="684">
                  <c:v>0.82920963109518131</c:v>
                </c:pt>
                <c:pt idx="685">
                  <c:v>0.8315732183453165</c:v>
                </c:pt>
                <c:pt idx="686">
                  <c:v>0.82525313679587708</c:v>
                </c:pt>
                <c:pt idx="687">
                  <c:v>0.82681372846367451</c:v>
                </c:pt>
                <c:pt idx="688">
                  <c:v>0.84106026715673854</c:v>
                </c:pt>
                <c:pt idx="689">
                  <c:v>0.83635628220949043</c:v>
                </c:pt>
                <c:pt idx="690">
                  <c:v>0.8407052719057303</c:v>
                </c:pt>
                <c:pt idx="691">
                  <c:v>0.83876118127088406</c:v>
                </c:pt>
                <c:pt idx="692">
                  <c:v>0.8279873636804248</c:v>
                </c:pt>
                <c:pt idx="693">
                  <c:v>0.84280712335999752</c:v>
                </c:pt>
                <c:pt idx="694">
                  <c:v>0.84300735028384455</c:v>
                </c:pt>
                <c:pt idx="695">
                  <c:v>0.84120205475027932</c:v>
                </c:pt>
                <c:pt idx="696">
                  <c:v>0.83757838007573904</c:v>
                </c:pt>
                <c:pt idx="697">
                  <c:v>0.84384671829926527</c:v>
                </c:pt>
                <c:pt idx="698">
                  <c:v>0.84371333161125672</c:v>
                </c:pt>
                <c:pt idx="699">
                  <c:v>0.84776514164114725</c:v>
                </c:pt>
                <c:pt idx="700">
                  <c:v>0.83749806339661625</c:v>
                </c:pt>
                <c:pt idx="701">
                  <c:v>0.83722957098152684</c:v>
                </c:pt>
                <c:pt idx="702">
                  <c:v>0.84010755772940182</c:v>
                </c:pt>
                <c:pt idx="703">
                  <c:v>0.83017109700207992</c:v>
                </c:pt>
                <c:pt idx="704">
                  <c:v>0.8406058796107756</c:v>
                </c:pt>
                <c:pt idx="705">
                  <c:v>0.85315541725938859</c:v>
                </c:pt>
                <c:pt idx="706">
                  <c:v>0.84777657404270756</c:v>
                </c:pt>
                <c:pt idx="707">
                  <c:v>0.85744381065983233</c:v>
                </c:pt>
                <c:pt idx="708">
                  <c:v>0.85639048610420365</c:v>
                </c:pt>
                <c:pt idx="709">
                  <c:v>0.88955196532258574</c:v>
                </c:pt>
                <c:pt idx="710">
                  <c:v>0.90212188550359262</c:v>
                </c:pt>
                <c:pt idx="711">
                  <c:v>0.88015515674773148</c:v>
                </c:pt>
                <c:pt idx="712">
                  <c:v>0.87219193002236572</c:v>
                </c:pt>
                <c:pt idx="713">
                  <c:v>0.86933515817455376</c:v>
                </c:pt>
                <c:pt idx="714">
                  <c:v>0.87340887301451497</c:v>
                </c:pt>
                <c:pt idx="715">
                  <c:v>0.8666384804619468</c:v>
                </c:pt>
                <c:pt idx="716">
                  <c:v>0.85816946785690462</c:v>
                </c:pt>
                <c:pt idx="717">
                  <c:v>0.87406299415229172</c:v>
                </c:pt>
                <c:pt idx="718">
                  <c:v>0.86631509389836892</c:v>
                </c:pt>
                <c:pt idx="719">
                  <c:v>0.87470814703285138</c:v>
                </c:pt>
                <c:pt idx="720">
                  <c:v>0.87509536871726568</c:v>
                </c:pt>
                <c:pt idx="721">
                  <c:v>0.85896316332674838</c:v>
                </c:pt>
                <c:pt idx="722">
                  <c:v>0.86327266381646428</c:v>
                </c:pt>
                <c:pt idx="723">
                  <c:v>0.86555279410962382</c:v>
                </c:pt>
                <c:pt idx="724">
                  <c:v>0.86156299752384313</c:v>
                </c:pt>
                <c:pt idx="725">
                  <c:v>0.86005638151441044</c:v>
                </c:pt>
                <c:pt idx="726">
                  <c:v>0.86338601525469894</c:v>
                </c:pt>
                <c:pt idx="727">
                  <c:v>0.87995102328038122</c:v>
                </c:pt>
                <c:pt idx="728">
                  <c:v>0.89143871051064272</c:v>
                </c:pt>
                <c:pt idx="729">
                  <c:v>0.8926431479115936</c:v>
                </c:pt>
                <c:pt idx="730">
                  <c:v>0.89737500911033174</c:v>
                </c:pt>
                <c:pt idx="731">
                  <c:v>0.88517755077965932</c:v>
                </c:pt>
                <c:pt idx="732">
                  <c:v>0.87920299084133213</c:v>
                </c:pt>
                <c:pt idx="733">
                  <c:v>0.88994337851212968</c:v>
                </c:pt>
                <c:pt idx="734">
                  <c:v>0.90140874681745409</c:v>
                </c:pt>
                <c:pt idx="735">
                  <c:v>0.88710300540408504</c:v>
                </c:pt>
                <c:pt idx="736">
                  <c:v>0.86121557649645608</c:v>
                </c:pt>
                <c:pt idx="737">
                  <c:v>0.92378451876879342</c:v>
                </c:pt>
                <c:pt idx="738">
                  <c:v>0.92470290485830553</c:v>
                </c:pt>
                <c:pt idx="739">
                  <c:v>0.95342554995821027</c:v>
                </c:pt>
                <c:pt idx="740">
                  <c:v>0.96842086392259641</c:v>
                </c:pt>
                <c:pt idx="741">
                  <c:v>0.96199511376047886</c:v>
                </c:pt>
                <c:pt idx="742">
                  <c:v>0.97646176493407877</c:v>
                </c:pt>
                <c:pt idx="743">
                  <c:v>0.95443219424350212</c:v>
                </c:pt>
                <c:pt idx="744">
                  <c:v>0.95199171805302596</c:v>
                </c:pt>
                <c:pt idx="745">
                  <c:v>0.96311656354128294</c:v>
                </c:pt>
                <c:pt idx="746">
                  <c:v>0.96792003141076932</c:v>
                </c:pt>
                <c:pt idx="747">
                  <c:v>0.96844696349507853</c:v>
                </c:pt>
                <c:pt idx="748">
                  <c:v>0.94237463380626441</c:v>
                </c:pt>
                <c:pt idx="749">
                  <c:v>0.9500054910853869</c:v>
                </c:pt>
                <c:pt idx="750">
                  <c:v>0.96671221480893454</c:v>
                </c:pt>
                <c:pt idx="751">
                  <c:v>0.95968742142050478</c:v>
                </c:pt>
                <c:pt idx="752">
                  <c:v>0.94037217982955457</c:v>
                </c:pt>
                <c:pt idx="753">
                  <c:v>0.95647543008116787</c:v>
                </c:pt>
                <c:pt idx="754">
                  <c:v>0.97226613046573851</c:v>
                </c:pt>
                <c:pt idx="755">
                  <c:v>0.98407012655026649</c:v>
                </c:pt>
                <c:pt idx="756">
                  <c:v>0.99149997166657222</c:v>
                </c:pt>
                <c:pt idx="757">
                  <c:v>1</c:v>
                </c:pt>
              </c:numCache>
            </c:numRef>
          </c:val>
          <c:smooth val="0"/>
          <c:extLst>
            <c:ext xmlns:c16="http://schemas.microsoft.com/office/drawing/2014/chart" uri="{C3380CC4-5D6E-409C-BE32-E72D297353CC}">
              <c16:uniqueId val="{00000000-A7E4-430C-9E3D-D851F3DD4F29}"/>
            </c:ext>
          </c:extLst>
        </c:ser>
        <c:ser>
          <c:idx val="1"/>
          <c:order val="1"/>
          <c:tx>
            <c:strRef>
              <c:f>Exhibits!$EF$28</c:f>
              <c:strCache>
                <c:ptCount val="1"/>
                <c:pt idx="0">
                  <c:v>S&amp;P 500</c:v>
                </c:pt>
              </c:strCache>
            </c:strRef>
          </c:tx>
          <c:spPr>
            <a:ln w="12700" cap="rnd">
              <a:solidFill>
                <a:schemeClr val="accent2"/>
              </a:solidFill>
              <a:round/>
            </a:ln>
            <a:effectLst/>
          </c:spPr>
          <c:marker>
            <c:symbol val="none"/>
          </c:marker>
          <c:cat>
            <c:numRef>
              <c:f>Exhibits!$EB$102:$EB$859</c:f>
              <c:numCache>
                <c:formatCode>m/d/yyyy</c:formatCode>
                <c:ptCount val="758"/>
                <c:pt idx="0">
                  <c:v>42825</c:v>
                </c:pt>
                <c:pt idx="1">
                  <c:v>42824</c:v>
                </c:pt>
                <c:pt idx="2">
                  <c:v>42823</c:v>
                </c:pt>
                <c:pt idx="3">
                  <c:v>42822</c:v>
                </c:pt>
                <c:pt idx="4">
                  <c:v>42821</c:v>
                </c:pt>
                <c:pt idx="5">
                  <c:v>42818</c:v>
                </c:pt>
                <c:pt idx="6">
                  <c:v>42817</c:v>
                </c:pt>
                <c:pt idx="7">
                  <c:v>42816</c:v>
                </c:pt>
                <c:pt idx="8">
                  <c:v>42815</c:v>
                </c:pt>
                <c:pt idx="9">
                  <c:v>42814</c:v>
                </c:pt>
                <c:pt idx="10">
                  <c:v>42811</c:v>
                </c:pt>
                <c:pt idx="11">
                  <c:v>42810</c:v>
                </c:pt>
                <c:pt idx="12">
                  <c:v>42809</c:v>
                </c:pt>
                <c:pt idx="13">
                  <c:v>42808</c:v>
                </c:pt>
                <c:pt idx="14">
                  <c:v>42807</c:v>
                </c:pt>
                <c:pt idx="15">
                  <c:v>42804</c:v>
                </c:pt>
                <c:pt idx="16">
                  <c:v>42803</c:v>
                </c:pt>
                <c:pt idx="17">
                  <c:v>42802</c:v>
                </c:pt>
                <c:pt idx="18">
                  <c:v>42801</c:v>
                </c:pt>
                <c:pt idx="19">
                  <c:v>42800</c:v>
                </c:pt>
                <c:pt idx="20">
                  <c:v>42797</c:v>
                </c:pt>
                <c:pt idx="21">
                  <c:v>42796</c:v>
                </c:pt>
                <c:pt idx="22">
                  <c:v>42795</c:v>
                </c:pt>
                <c:pt idx="23">
                  <c:v>42794</c:v>
                </c:pt>
                <c:pt idx="24">
                  <c:v>42793</c:v>
                </c:pt>
                <c:pt idx="25">
                  <c:v>42790</c:v>
                </c:pt>
                <c:pt idx="26">
                  <c:v>42789</c:v>
                </c:pt>
                <c:pt idx="27">
                  <c:v>42788</c:v>
                </c:pt>
                <c:pt idx="28">
                  <c:v>42787</c:v>
                </c:pt>
                <c:pt idx="29">
                  <c:v>42783</c:v>
                </c:pt>
                <c:pt idx="30">
                  <c:v>42782</c:v>
                </c:pt>
                <c:pt idx="31">
                  <c:v>42781</c:v>
                </c:pt>
                <c:pt idx="32">
                  <c:v>42780</c:v>
                </c:pt>
                <c:pt idx="33">
                  <c:v>42779</c:v>
                </c:pt>
                <c:pt idx="34">
                  <c:v>42776</c:v>
                </c:pt>
                <c:pt idx="35">
                  <c:v>42775</c:v>
                </c:pt>
                <c:pt idx="36">
                  <c:v>42774</c:v>
                </c:pt>
                <c:pt idx="37">
                  <c:v>42773</c:v>
                </c:pt>
                <c:pt idx="38">
                  <c:v>42772</c:v>
                </c:pt>
                <c:pt idx="39">
                  <c:v>42769</c:v>
                </c:pt>
                <c:pt idx="40">
                  <c:v>42768</c:v>
                </c:pt>
                <c:pt idx="41">
                  <c:v>42767</c:v>
                </c:pt>
                <c:pt idx="42">
                  <c:v>42766</c:v>
                </c:pt>
                <c:pt idx="43">
                  <c:v>42765</c:v>
                </c:pt>
                <c:pt idx="44">
                  <c:v>42762</c:v>
                </c:pt>
                <c:pt idx="45">
                  <c:v>42761</c:v>
                </c:pt>
                <c:pt idx="46">
                  <c:v>42760</c:v>
                </c:pt>
                <c:pt idx="47">
                  <c:v>42759</c:v>
                </c:pt>
                <c:pt idx="48">
                  <c:v>42758</c:v>
                </c:pt>
                <c:pt idx="49">
                  <c:v>42755</c:v>
                </c:pt>
                <c:pt idx="50">
                  <c:v>42754</c:v>
                </c:pt>
                <c:pt idx="51">
                  <c:v>42753</c:v>
                </c:pt>
                <c:pt idx="52">
                  <c:v>42752</c:v>
                </c:pt>
                <c:pt idx="53">
                  <c:v>42748</c:v>
                </c:pt>
                <c:pt idx="54">
                  <c:v>42747</c:v>
                </c:pt>
                <c:pt idx="55">
                  <c:v>42746</c:v>
                </c:pt>
                <c:pt idx="56">
                  <c:v>42745</c:v>
                </c:pt>
                <c:pt idx="57">
                  <c:v>42744</c:v>
                </c:pt>
                <c:pt idx="58">
                  <c:v>42741</c:v>
                </c:pt>
                <c:pt idx="59">
                  <c:v>42740</c:v>
                </c:pt>
                <c:pt idx="60">
                  <c:v>42739</c:v>
                </c:pt>
                <c:pt idx="61">
                  <c:v>42738</c:v>
                </c:pt>
                <c:pt idx="62">
                  <c:v>42734</c:v>
                </c:pt>
                <c:pt idx="63">
                  <c:v>42733</c:v>
                </c:pt>
                <c:pt idx="64">
                  <c:v>42732</c:v>
                </c:pt>
                <c:pt idx="65">
                  <c:v>42731</c:v>
                </c:pt>
                <c:pt idx="66">
                  <c:v>42727</c:v>
                </c:pt>
                <c:pt idx="67">
                  <c:v>42726</c:v>
                </c:pt>
                <c:pt idx="68">
                  <c:v>42725</c:v>
                </c:pt>
                <c:pt idx="69">
                  <c:v>42724</c:v>
                </c:pt>
                <c:pt idx="70">
                  <c:v>42723</c:v>
                </c:pt>
                <c:pt idx="71">
                  <c:v>42720</c:v>
                </c:pt>
                <c:pt idx="72">
                  <c:v>42719</c:v>
                </c:pt>
                <c:pt idx="73">
                  <c:v>42718</c:v>
                </c:pt>
                <c:pt idx="74">
                  <c:v>42717</c:v>
                </c:pt>
                <c:pt idx="75">
                  <c:v>42716</c:v>
                </c:pt>
                <c:pt idx="76">
                  <c:v>42713</c:v>
                </c:pt>
                <c:pt idx="77">
                  <c:v>42712</c:v>
                </c:pt>
                <c:pt idx="78">
                  <c:v>42711</c:v>
                </c:pt>
                <c:pt idx="79">
                  <c:v>42710</c:v>
                </c:pt>
                <c:pt idx="80">
                  <c:v>42709</c:v>
                </c:pt>
                <c:pt idx="81">
                  <c:v>42706</c:v>
                </c:pt>
                <c:pt idx="82">
                  <c:v>42705</c:v>
                </c:pt>
                <c:pt idx="83">
                  <c:v>42704</c:v>
                </c:pt>
                <c:pt idx="84">
                  <c:v>42703</c:v>
                </c:pt>
                <c:pt idx="85">
                  <c:v>42702</c:v>
                </c:pt>
                <c:pt idx="86">
                  <c:v>42699</c:v>
                </c:pt>
                <c:pt idx="87">
                  <c:v>42697</c:v>
                </c:pt>
                <c:pt idx="88">
                  <c:v>42696</c:v>
                </c:pt>
                <c:pt idx="89">
                  <c:v>42695</c:v>
                </c:pt>
                <c:pt idx="90">
                  <c:v>42692</c:v>
                </c:pt>
                <c:pt idx="91">
                  <c:v>42691</c:v>
                </c:pt>
                <c:pt idx="92">
                  <c:v>42690</c:v>
                </c:pt>
                <c:pt idx="93">
                  <c:v>42689</c:v>
                </c:pt>
                <c:pt idx="94">
                  <c:v>42688</c:v>
                </c:pt>
                <c:pt idx="95">
                  <c:v>42685</c:v>
                </c:pt>
                <c:pt idx="96">
                  <c:v>42684</c:v>
                </c:pt>
                <c:pt idx="97">
                  <c:v>42683</c:v>
                </c:pt>
                <c:pt idx="98">
                  <c:v>42682</c:v>
                </c:pt>
                <c:pt idx="99">
                  <c:v>42681</c:v>
                </c:pt>
                <c:pt idx="100">
                  <c:v>42678</c:v>
                </c:pt>
                <c:pt idx="101">
                  <c:v>42677</c:v>
                </c:pt>
                <c:pt idx="102">
                  <c:v>42676</c:v>
                </c:pt>
                <c:pt idx="103">
                  <c:v>42675</c:v>
                </c:pt>
                <c:pt idx="104">
                  <c:v>42674</c:v>
                </c:pt>
                <c:pt idx="105">
                  <c:v>42671</c:v>
                </c:pt>
                <c:pt idx="106">
                  <c:v>42670</c:v>
                </c:pt>
                <c:pt idx="107">
                  <c:v>42669</c:v>
                </c:pt>
                <c:pt idx="108">
                  <c:v>42668</c:v>
                </c:pt>
                <c:pt idx="109">
                  <c:v>42667</c:v>
                </c:pt>
                <c:pt idx="110">
                  <c:v>42664</c:v>
                </c:pt>
                <c:pt idx="111">
                  <c:v>42663</c:v>
                </c:pt>
                <c:pt idx="112">
                  <c:v>42662</c:v>
                </c:pt>
                <c:pt idx="113">
                  <c:v>42661</c:v>
                </c:pt>
                <c:pt idx="114">
                  <c:v>42660</c:v>
                </c:pt>
                <c:pt idx="115">
                  <c:v>42657</c:v>
                </c:pt>
                <c:pt idx="116">
                  <c:v>42656</c:v>
                </c:pt>
                <c:pt idx="117">
                  <c:v>42655</c:v>
                </c:pt>
                <c:pt idx="118">
                  <c:v>42654</c:v>
                </c:pt>
                <c:pt idx="119">
                  <c:v>42653</c:v>
                </c:pt>
                <c:pt idx="120">
                  <c:v>42650</c:v>
                </c:pt>
                <c:pt idx="121">
                  <c:v>42649</c:v>
                </c:pt>
                <c:pt idx="122">
                  <c:v>42648</c:v>
                </c:pt>
                <c:pt idx="123">
                  <c:v>42647</c:v>
                </c:pt>
                <c:pt idx="124">
                  <c:v>42646</c:v>
                </c:pt>
                <c:pt idx="125">
                  <c:v>42643</c:v>
                </c:pt>
                <c:pt idx="126">
                  <c:v>42642</c:v>
                </c:pt>
                <c:pt idx="127">
                  <c:v>42641</c:v>
                </c:pt>
                <c:pt idx="128">
                  <c:v>42640</c:v>
                </c:pt>
                <c:pt idx="129">
                  <c:v>42639</c:v>
                </c:pt>
                <c:pt idx="130">
                  <c:v>42636</c:v>
                </c:pt>
                <c:pt idx="131">
                  <c:v>42635</c:v>
                </c:pt>
                <c:pt idx="132">
                  <c:v>42634</c:v>
                </c:pt>
                <c:pt idx="133">
                  <c:v>42633</c:v>
                </c:pt>
                <c:pt idx="134">
                  <c:v>42632</c:v>
                </c:pt>
                <c:pt idx="135">
                  <c:v>42629</c:v>
                </c:pt>
                <c:pt idx="136">
                  <c:v>42628</c:v>
                </c:pt>
                <c:pt idx="137">
                  <c:v>42627</c:v>
                </c:pt>
                <c:pt idx="138">
                  <c:v>42626</c:v>
                </c:pt>
                <c:pt idx="139">
                  <c:v>42625</c:v>
                </c:pt>
                <c:pt idx="140">
                  <c:v>42622</c:v>
                </c:pt>
                <c:pt idx="141">
                  <c:v>42621</c:v>
                </c:pt>
                <c:pt idx="142">
                  <c:v>42620</c:v>
                </c:pt>
                <c:pt idx="143">
                  <c:v>42619</c:v>
                </c:pt>
                <c:pt idx="144">
                  <c:v>42615</c:v>
                </c:pt>
                <c:pt idx="145">
                  <c:v>42614</c:v>
                </c:pt>
                <c:pt idx="146">
                  <c:v>42613</c:v>
                </c:pt>
                <c:pt idx="147">
                  <c:v>42612</c:v>
                </c:pt>
                <c:pt idx="148">
                  <c:v>42611</c:v>
                </c:pt>
                <c:pt idx="149">
                  <c:v>42608</c:v>
                </c:pt>
                <c:pt idx="150">
                  <c:v>42607</c:v>
                </c:pt>
                <c:pt idx="151">
                  <c:v>42606</c:v>
                </c:pt>
                <c:pt idx="152">
                  <c:v>42605</c:v>
                </c:pt>
                <c:pt idx="153">
                  <c:v>42604</c:v>
                </c:pt>
                <c:pt idx="154">
                  <c:v>42601</c:v>
                </c:pt>
                <c:pt idx="155">
                  <c:v>42600</c:v>
                </c:pt>
                <c:pt idx="156">
                  <c:v>42599</c:v>
                </c:pt>
                <c:pt idx="157">
                  <c:v>42598</c:v>
                </c:pt>
                <c:pt idx="158">
                  <c:v>42597</c:v>
                </c:pt>
                <c:pt idx="159">
                  <c:v>42594</c:v>
                </c:pt>
                <c:pt idx="160">
                  <c:v>42593</c:v>
                </c:pt>
                <c:pt idx="161">
                  <c:v>42592</c:v>
                </c:pt>
                <c:pt idx="162">
                  <c:v>42591</c:v>
                </c:pt>
                <c:pt idx="163">
                  <c:v>42590</c:v>
                </c:pt>
                <c:pt idx="164">
                  <c:v>42587</c:v>
                </c:pt>
                <c:pt idx="165">
                  <c:v>42586</c:v>
                </c:pt>
                <c:pt idx="166">
                  <c:v>42585</c:v>
                </c:pt>
                <c:pt idx="167">
                  <c:v>42584</c:v>
                </c:pt>
                <c:pt idx="168">
                  <c:v>42583</c:v>
                </c:pt>
                <c:pt idx="169">
                  <c:v>42580</c:v>
                </c:pt>
                <c:pt idx="170">
                  <c:v>42579</c:v>
                </c:pt>
                <c:pt idx="171">
                  <c:v>42578</c:v>
                </c:pt>
                <c:pt idx="172">
                  <c:v>42577</c:v>
                </c:pt>
                <c:pt idx="173">
                  <c:v>42576</c:v>
                </c:pt>
                <c:pt idx="174">
                  <c:v>42573</c:v>
                </c:pt>
                <c:pt idx="175">
                  <c:v>42572</c:v>
                </c:pt>
                <c:pt idx="176">
                  <c:v>42571</c:v>
                </c:pt>
                <c:pt idx="177">
                  <c:v>42570</c:v>
                </c:pt>
                <c:pt idx="178">
                  <c:v>42569</c:v>
                </c:pt>
                <c:pt idx="179">
                  <c:v>42566</c:v>
                </c:pt>
                <c:pt idx="180">
                  <c:v>42565</c:v>
                </c:pt>
                <c:pt idx="181">
                  <c:v>42564</c:v>
                </c:pt>
                <c:pt idx="182">
                  <c:v>42563</c:v>
                </c:pt>
                <c:pt idx="183">
                  <c:v>42562</c:v>
                </c:pt>
                <c:pt idx="184">
                  <c:v>42559</c:v>
                </c:pt>
                <c:pt idx="185">
                  <c:v>42558</c:v>
                </c:pt>
                <c:pt idx="186">
                  <c:v>42557</c:v>
                </c:pt>
                <c:pt idx="187">
                  <c:v>42556</c:v>
                </c:pt>
                <c:pt idx="188">
                  <c:v>42552</c:v>
                </c:pt>
                <c:pt idx="189">
                  <c:v>42551</c:v>
                </c:pt>
                <c:pt idx="190">
                  <c:v>42550</c:v>
                </c:pt>
                <c:pt idx="191">
                  <c:v>42549</c:v>
                </c:pt>
                <c:pt idx="192">
                  <c:v>42548</c:v>
                </c:pt>
                <c:pt idx="193">
                  <c:v>42545</c:v>
                </c:pt>
                <c:pt idx="194">
                  <c:v>42544</c:v>
                </c:pt>
                <c:pt idx="195">
                  <c:v>42543</c:v>
                </c:pt>
                <c:pt idx="196">
                  <c:v>42542</c:v>
                </c:pt>
                <c:pt idx="197">
                  <c:v>42541</c:v>
                </c:pt>
                <c:pt idx="198">
                  <c:v>42538</c:v>
                </c:pt>
                <c:pt idx="199">
                  <c:v>42537</c:v>
                </c:pt>
                <c:pt idx="200">
                  <c:v>42536</c:v>
                </c:pt>
                <c:pt idx="201">
                  <c:v>42535</c:v>
                </c:pt>
                <c:pt idx="202">
                  <c:v>42534</c:v>
                </c:pt>
                <c:pt idx="203">
                  <c:v>42531</c:v>
                </c:pt>
                <c:pt idx="204">
                  <c:v>42530</c:v>
                </c:pt>
                <c:pt idx="205">
                  <c:v>42529</c:v>
                </c:pt>
                <c:pt idx="206">
                  <c:v>42528</c:v>
                </c:pt>
                <c:pt idx="207">
                  <c:v>42527</c:v>
                </c:pt>
                <c:pt idx="208">
                  <c:v>42524</c:v>
                </c:pt>
                <c:pt idx="209">
                  <c:v>42523</c:v>
                </c:pt>
                <c:pt idx="210">
                  <c:v>42522</c:v>
                </c:pt>
                <c:pt idx="211">
                  <c:v>42521</c:v>
                </c:pt>
                <c:pt idx="212">
                  <c:v>42517</c:v>
                </c:pt>
                <c:pt idx="213">
                  <c:v>42516</c:v>
                </c:pt>
                <c:pt idx="214">
                  <c:v>42515</c:v>
                </c:pt>
                <c:pt idx="215">
                  <c:v>42514</c:v>
                </c:pt>
                <c:pt idx="216">
                  <c:v>42513</c:v>
                </c:pt>
                <c:pt idx="217">
                  <c:v>42510</c:v>
                </c:pt>
                <c:pt idx="218">
                  <c:v>42509</c:v>
                </c:pt>
                <c:pt idx="219">
                  <c:v>42508</c:v>
                </c:pt>
                <c:pt idx="220">
                  <c:v>42507</c:v>
                </c:pt>
                <c:pt idx="221">
                  <c:v>42506</c:v>
                </c:pt>
                <c:pt idx="222">
                  <c:v>42503</c:v>
                </c:pt>
                <c:pt idx="223">
                  <c:v>42502</c:v>
                </c:pt>
                <c:pt idx="224">
                  <c:v>42501</c:v>
                </c:pt>
                <c:pt idx="225">
                  <c:v>42500</c:v>
                </c:pt>
                <c:pt idx="226">
                  <c:v>42499</c:v>
                </c:pt>
                <c:pt idx="227">
                  <c:v>42496</c:v>
                </c:pt>
                <c:pt idx="228">
                  <c:v>42495</c:v>
                </c:pt>
                <c:pt idx="229">
                  <c:v>42494</c:v>
                </c:pt>
                <c:pt idx="230">
                  <c:v>42493</c:v>
                </c:pt>
                <c:pt idx="231">
                  <c:v>42492</c:v>
                </c:pt>
                <c:pt idx="232">
                  <c:v>42489</c:v>
                </c:pt>
                <c:pt idx="233">
                  <c:v>42488</c:v>
                </c:pt>
                <c:pt idx="234">
                  <c:v>42487</c:v>
                </c:pt>
                <c:pt idx="235">
                  <c:v>42486</c:v>
                </c:pt>
                <c:pt idx="236">
                  <c:v>42485</c:v>
                </c:pt>
                <c:pt idx="237">
                  <c:v>42482</c:v>
                </c:pt>
                <c:pt idx="238">
                  <c:v>42481</c:v>
                </c:pt>
                <c:pt idx="239">
                  <c:v>42480</c:v>
                </c:pt>
                <c:pt idx="240">
                  <c:v>42479</c:v>
                </c:pt>
                <c:pt idx="241">
                  <c:v>42478</c:v>
                </c:pt>
                <c:pt idx="242">
                  <c:v>42475</c:v>
                </c:pt>
                <c:pt idx="243">
                  <c:v>42474</c:v>
                </c:pt>
                <c:pt idx="244">
                  <c:v>42473</c:v>
                </c:pt>
                <c:pt idx="245">
                  <c:v>42472</c:v>
                </c:pt>
                <c:pt idx="246">
                  <c:v>42471</c:v>
                </c:pt>
                <c:pt idx="247">
                  <c:v>42468</c:v>
                </c:pt>
                <c:pt idx="248">
                  <c:v>42467</c:v>
                </c:pt>
                <c:pt idx="249">
                  <c:v>42466</c:v>
                </c:pt>
                <c:pt idx="250">
                  <c:v>42465</c:v>
                </c:pt>
                <c:pt idx="251">
                  <c:v>42464</c:v>
                </c:pt>
                <c:pt idx="252">
                  <c:v>42461</c:v>
                </c:pt>
                <c:pt idx="253">
                  <c:v>42460</c:v>
                </c:pt>
                <c:pt idx="254">
                  <c:v>42459</c:v>
                </c:pt>
                <c:pt idx="255">
                  <c:v>42458</c:v>
                </c:pt>
                <c:pt idx="256">
                  <c:v>42457</c:v>
                </c:pt>
                <c:pt idx="257">
                  <c:v>42453</c:v>
                </c:pt>
                <c:pt idx="258">
                  <c:v>42452</c:v>
                </c:pt>
                <c:pt idx="259">
                  <c:v>42451</c:v>
                </c:pt>
                <c:pt idx="260">
                  <c:v>42450</c:v>
                </c:pt>
                <c:pt idx="261">
                  <c:v>42447</c:v>
                </c:pt>
                <c:pt idx="262">
                  <c:v>42446</c:v>
                </c:pt>
                <c:pt idx="263">
                  <c:v>42445</c:v>
                </c:pt>
                <c:pt idx="264">
                  <c:v>42444</c:v>
                </c:pt>
                <c:pt idx="265">
                  <c:v>42443</c:v>
                </c:pt>
                <c:pt idx="266">
                  <c:v>42440</c:v>
                </c:pt>
                <c:pt idx="267">
                  <c:v>42439</c:v>
                </c:pt>
                <c:pt idx="268">
                  <c:v>42438</c:v>
                </c:pt>
                <c:pt idx="269">
                  <c:v>42437</c:v>
                </c:pt>
                <c:pt idx="270">
                  <c:v>42436</c:v>
                </c:pt>
                <c:pt idx="271">
                  <c:v>42433</c:v>
                </c:pt>
                <c:pt idx="272">
                  <c:v>42432</c:v>
                </c:pt>
                <c:pt idx="273">
                  <c:v>42431</c:v>
                </c:pt>
                <c:pt idx="274">
                  <c:v>42430</c:v>
                </c:pt>
                <c:pt idx="275">
                  <c:v>42429</c:v>
                </c:pt>
                <c:pt idx="276">
                  <c:v>42426</c:v>
                </c:pt>
                <c:pt idx="277">
                  <c:v>42425</c:v>
                </c:pt>
                <c:pt idx="278">
                  <c:v>42424</c:v>
                </c:pt>
                <c:pt idx="279">
                  <c:v>42423</c:v>
                </c:pt>
                <c:pt idx="280">
                  <c:v>42422</c:v>
                </c:pt>
                <c:pt idx="281">
                  <c:v>42419</c:v>
                </c:pt>
                <c:pt idx="282">
                  <c:v>42418</c:v>
                </c:pt>
                <c:pt idx="283">
                  <c:v>42417</c:v>
                </c:pt>
                <c:pt idx="284">
                  <c:v>42416</c:v>
                </c:pt>
                <c:pt idx="285">
                  <c:v>42412</c:v>
                </c:pt>
                <c:pt idx="286">
                  <c:v>42411</c:v>
                </c:pt>
                <c:pt idx="287">
                  <c:v>42410</c:v>
                </c:pt>
                <c:pt idx="288">
                  <c:v>42409</c:v>
                </c:pt>
                <c:pt idx="289">
                  <c:v>42408</c:v>
                </c:pt>
                <c:pt idx="290">
                  <c:v>42405</c:v>
                </c:pt>
                <c:pt idx="291">
                  <c:v>42404</c:v>
                </c:pt>
                <c:pt idx="292">
                  <c:v>42403</c:v>
                </c:pt>
                <c:pt idx="293">
                  <c:v>42402</c:v>
                </c:pt>
                <c:pt idx="294">
                  <c:v>42401</c:v>
                </c:pt>
                <c:pt idx="295">
                  <c:v>42398</c:v>
                </c:pt>
                <c:pt idx="296">
                  <c:v>42397</c:v>
                </c:pt>
                <c:pt idx="297">
                  <c:v>42396</c:v>
                </c:pt>
                <c:pt idx="298">
                  <c:v>42395</c:v>
                </c:pt>
                <c:pt idx="299">
                  <c:v>42394</c:v>
                </c:pt>
                <c:pt idx="300">
                  <c:v>42391</c:v>
                </c:pt>
                <c:pt idx="301">
                  <c:v>42390</c:v>
                </c:pt>
                <c:pt idx="302">
                  <c:v>42389</c:v>
                </c:pt>
                <c:pt idx="303">
                  <c:v>42388</c:v>
                </c:pt>
                <c:pt idx="304">
                  <c:v>42384</c:v>
                </c:pt>
                <c:pt idx="305">
                  <c:v>42383</c:v>
                </c:pt>
                <c:pt idx="306">
                  <c:v>42382</c:v>
                </c:pt>
                <c:pt idx="307">
                  <c:v>42381</c:v>
                </c:pt>
                <c:pt idx="308">
                  <c:v>42380</c:v>
                </c:pt>
                <c:pt idx="309">
                  <c:v>42377</c:v>
                </c:pt>
                <c:pt idx="310">
                  <c:v>42376</c:v>
                </c:pt>
                <c:pt idx="311">
                  <c:v>42375</c:v>
                </c:pt>
                <c:pt idx="312">
                  <c:v>42374</c:v>
                </c:pt>
                <c:pt idx="313">
                  <c:v>42373</c:v>
                </c:pt>
                <c:pt idx="314">
                  <c:v>42369</c:v>
                </c:pt>
                <c:pt idx="315">
                  <c:v>42368</c:v>
                </c:pt>
                <c:pt idx="316">
                  <c:v>42367</c:v>
                </c:pt>
                <c:pt idx="317">
                  <c:v>42366</c:v>
                </c:pt>
                <c:pt idx="318">
                  <c:v>42362</c:v>
                </c:pt>
                <c:pt idx="319">
                  <c:v>42361</c:v>
                </c:pt>
                <c:pt idx="320">
                  <c:v>42360</c:v>
                </c:pt>
                <c:pt idx="321">
                  <c:v>42359</c:v>
                </c:pt>
                <c:pt idx="322">
                  <c:v>42356</c:v>
                </c:pt>
                <c:pt idx="323">
                  <c:v>42355</c:v>
                </c:pt>
                <c:pt idx="324">
                  <c:v>42354</c:v>
                </c:pt>
                <c:pt idx="325">
                  <c:v>42353</c:v>
                </c:pt>
                <c:pt idx="326">
                  <c:v>42352</c:v>
                </c:pt>
                <c:pt idx="327">
                  <c:v>42349</c:v>
                </c:pt>
                <c:pt idx="328">
                  <c:v>42348</c:v>
                </c:pt>
                <c:pt idx="329">
                  <c:v>42347</c:v>
                </c:pt>
                <c:pt idx="330">
                  <c:v>42346</c:v>
                </c:pt>
                <c:pt idx="331">
                  <c:v>42345</c:v>
                </c:pt>
                <c:pt idx="332">
                  <c:v>42342</c:v>
                </c:pt>
                <c:pt idx="333">
                  <c:v>42341</c:v>
                </c:pt>
                <c:pt idx="334">
                  <c:v>42340</c:v>
                </c:pt>
                <c:pt idx="335">
                  <c:v>42339</c:v>
                </c:pt>
                <c:pt idx="336">
                  <c:v>42338</c:v>
                </c:pt>
                <c:pt idx="337">
                  <c:v>42335</c:v>
                </c:pt>
                <c:pt idx="338">
                  <c:v>42333</c:v>
                </c:pt>
                <c:pt idx="339">
                  <c:v>42332</c:v>
                </c:pt>
                <c:pt idx="340">
                  <c:v>42331</c:v>
                </c:pt>
                <c:pt idx="341">
                  <c:v>42328</c:v>
                </c:pt>
                <c:pt idx="342">
                  <c:v>42327</c:v>
                </c:pt>
                <c:pt idx="343">
                  <c:v>42326</c:v>
                </c:pt>
                <c:pt idx="344">
                  <c:v>42325</c:v>
                </c:pt>
                <c:pt idx="345">
                  <c:v>42324</c:v>
                </c:pt>
                <c:pt idx="346">
                  <c:v>42321</c:v>
                </c:pt>
                <c:pt idx="347">
                  <c:v>42320</c:v>
                </c:pt>
                <c:pt idx="348">
                  <c:v>42319</c:v>
                </c:pt>
                <c:pt idx="349">
                  <c:v>42318</c:v>
                </c:pt>
                <c:pt idx="350">
                  <c:v>42317</c:v>
                </c:pt>
                <c:pt idx="351">
                  <c:v>42314</c:v>
                </c:pt>
                <c:pt idx="352">
                  <c:v>42313</c:v>
                </c:pt>
                <c:pt idx="353">
                  <c:v>42312</c:v>
                </c:pt>
                <c:pt idx="354">
                  <c:v>42311</c:v>
                </c:pt>
                <c:pt idx="355">
                  <c:v>42310</c:v>
                </c:pt>
                <c:pt idx="356">
                  <c:v>42307</c:v>
                </c:pt>
                <c:pt idx="357">
                  <c:v>42306</c:v>
                </c:pt>
                <c:pt idx="358">
                  <c:v>42305</c:v>
                </c:pt>
                <c:pt idx="359">
                  <c:v>42304</c:v>
                </c:pt>
                <c:pt idx="360">
                  <c:v>42303</c:v>
                </c:pt>
                <c:pt idx="361">
                  <c:v>42300</c:v>
                </c:pt>
                <c:pt idx="362">
                  <c:v>42299</c:v>
                </c:pt>
                <c:pt idx="363">
                  <c:v>42298</c:v>
                </c:pt>
                <c:pt idx="364">
                  <c:v>42297</c:v>
                </c:pt>
                <c:pt idx="365">
                  <c:v>42296</c:v>
                </c:pt>
                <c:pt idx="366">
                  <c:v>42293</c:v>
                </c:pt>
                <c:pt idx="367">
                  <c:v>42292</c:v>
                </c:pt>
                <c:pt idx="368">
                  <c:v>42291</c:v>
                </c:pt>
                <c:pt idx="369">
                  <c:v>42290</c:v>
                </c:pt>
                <c:pt idx="370">
                  <c:v>42289</c:v>
                </c:pt>
                <c:pt idx="371">
                  <c:v>42286</c:v>
                </c:pt>
                <c:pt idx="372">
                  <c:v>42285</c:v>
                </c:pt>
                <c:pt idx="373">
                  <c:v>42284</c:v>
                </c:pt>
                <c:pt idx="374">
                  <c:v>42283</c:v>
                </c:pt>
                <c:pt idx="375">
                  <c:v>42282</c:v>
                </c:pt>
                <c:pt idx="376">
                  <c:v>42279</c:v>
                </c:pt>
                <c:pt idx="377">
                  <c:v>42278</c:v>
                </c:pt>
                <c:pt idx="378">
                  <c:v>42277</c:v>
                </c:pt>
                <c:pt idx="379">
                  <c:v>42276</c:v>
                </c:pt>
                <c:pt idx="380">
                  <c:v>42275</c:v>
                </c:pt>
                <c:pt idx="381">
                  <c:v>42272</c:v>
                </c:pt>
                <c:pt idx="382">
                  <c:v>42271</c:v>
                </c:pt>
                <c:pt idx="383">
                  <c:v>42270</c:v>
                </c:pt>
                <c:pt idx="384">
                  <c:v>42269</c:v>
                </c:pt>
                <c:pt idx="385">
                  <c:v>42268</c:v>
                </c:pt>
                <c:pt idx="386">
                  <c:v>42265</c:v>
                </c:pt>
                <c:pt idx="387">
                  <c:v>42264</c:v>
                </c:pt>
                <c:pt idx="388">
                  <c:v>42263</c:v>
                </c:pt>
                <c:pt idx="389">
                  <c:v>42262</c:v>
                </c:pt>
                <c:pt idx="390">
                  <c:v>42261</c:v>
                </c:pt>
                <c:pt idx="391">
                  <c:v>42258</c:v>
                </c:pt>
                <c:pt idx="392">
                  <c:v>42257</c:v>
                </c:pt>
                <c:pt idx="393">
                  <c:v>42256</c:v>
                </c:pt>
                <c:pt idx="394">
                  <c:v>42255</c:v>
                </c:pt>
                <c:pt idx="395">
                  <c:v>42251</c:v>
                </c:pt>
                <c:pt idx="396">
                  <c:v>42250</c:v>
                </c:pt>
                <c:pt idx="397">
                  <c:v>42249</c:v>
                </c:pt>
                <c:pt idx="398">
                  <c:v>42248</c:v>
                </c:pt>
                <c:pt idx="399">
                  <c:v>42247</c:v>
                </c:pt>
                <c:pt idx="400">
                  <c:v>42244</c:v>
                </c:pt>
                <c:pt idx="401">
                  <c:v>42243</c:v>
                </c:pt>
                <c:pt idx="402">
                  <c:v>42242</c:v>
                </c:pt>
                <c:pt idx="403">
                  <c:v>42241</c:v>
                </c:pt>
                <c:pt idx="404">
                  <c:v>42240</c:v>
                </c:pt>
                <c:pt idx="405">
                  <c:v>42237</c:v>
                </c:pt>
                <c:pt idx="406">
                  <c:v>42236</c:v>
                </c:pt>
                <c:pt idx="407">
                  <c:v>42235</c:v>
                </c:pt>
                <c:pt idx="408">
                  <c:v>42234</c:v>
                </c:pt>
                <c:pt idx="409">
                  <c:v>42233</c:v>
                </c:pt>
                <c:pt idx="410">
                  <c:v>42230</c:v>
                </c:pt>
                <c:pt idx="411">
                  <c:v>42229</c:v>
                </c:pt>
                <c:pt idx="412">
                  <c:v>42228</c:v>
                </c:pt>
                <c:pt idx="413">
                  <c:v>42227</c:v>
                </c:pt>
                <c:pt idx="414">
                  <c:v>42226</c:v>
                </c:pt>
                <c:pt idx="415">
                  <c:v>42223</c:v>
                </c:pt>
                <c:pt idx="416">
                  <c:v>42222</c:v>
                </c:pt>
                <c:pt idx="417">
                  <c:v>42221</c:v>
                </c:pt>
                <c:pt idx="418">
                  <c:v>42220</c:v>
                </c:pt>
                <c:pt idx="419">
                  <c:v>42219</c:v>
                </c:pt>
                <c:pt idx="420">
                  <c:v>42216</c:v>
                </c:pt>
                <c:pt idx="421">
                  <c:v>42215</c:v>
                </c:pt>
                <c:pt idx="422">
                  <c:v>42214</c:v>
                </c:pt>
                <c:pt idx="423">
                  <c:v>42213</c:v>
                </c:pt>
                <c:pt idx="424">
                  <c:v>42212</c:v>
                </c:pt>
                <c:pt idx="425">
                  <c:v>42209</c:v>
                </c:pt>
                <c:pt idx="426">
                  <c:v>42208</c:v>
                </c:pt>
                <c:pt idx="427">
                  <c:v>42207</c:v>
                </c:pt>
                <c:pt idx="428">
                  <c:v>42206</c:v>
                </c:pt>
                <c:pt idx="429">
                  <c:v>42205</c:v>
                </c:pt>
                <c:pt idx="430">
                  <c:v>42202</c:v>
                </c:pt>
                <c:pt idx="431">
                  <c:v>42201</c:v>
                </c:pt>
                <c:pt idx="432">
                  <c:v>42200</c:v>
                </c:pt>
                <c:pt idx="433">
                  <c:v>42199</c:v>
                </c:pt>
                <c:pt idx="434">
                  <c:v>42198</c:v>
                </c:pt>
                <c:pt idx="435">
                  <c:v>42195</c:v>
                </c:pt>
                <c:pt idx="436">
                  <c:v>42194</c:v>
                </c:pt>
                <c:pt idx="437">
                  <c:v>42193</c:v>
                </c:pt>
                <c:pt idx="438">
                  <c:v>42192</c:v>
                </c:pt>
                <c:pt idx="439">
                  <c:v>42191</c:v>
                </c:pt>
                <c:pt idx="440">
                  <c:v>42187</c:v>
                </c:pt>
                <c:pt idx="441">
                  <c:v>42186</c:v>
                </c:pt>
                <c:pt idx="442">
                  <c:v>42185</c:v>
                </c:pt>
                <c:pt idx="443">
                  <c:v>42184</c:v>
                </c:pt>
                <c:pt idx="444">
                  <c:v>42181</c:v>
                </c:pt>
                <c:pt idx="445">
                  <c:v>42180</c:v>
                </c:pt>
                <c:pt idx="446">
                  <c:v>42179</c:v>
                </c:pt>
                <c:pt idx="447">
                  <c:v>42178</c:v>
                </c:pt>
                <c:pt idx="448">
                  <c:v>42177</c:v>
                </c:pt>
                <c:pt idx="449">
                  <c:v>42174</c:v>
                </c:pt>
                <c:pt idx="450">
                  <c:v>42173</c:v>
                </c:pt>
                <c:pt idx="451">
                  <c:v>42172</c:v>
                </c:pt>
                <c:pt idx="452">
                  <c:v>42171</c:v>
                </c:pt>
                <c:pt idx="453">
                  <c:v>42170</c:v>
                </c:pt>
                <c:pt idx="454">
                  <c:v>42167</c:v>
                </c:pt>
                <c:pt idx="455">
                  <c:v>42166</c:v>
                </c:pt>
                <c:pt idx="456">
                  <c:v>42165</c:v>
                </c:pt>
                <c:pt idx="457">
                  <c:v>42164</c:v>
                </c:pt>
                <c:pt idx="458">
                  <c:v>42163</c:v>
                </c:pt>
                <c:pt idx="459">
                  <c:v>42160</c:v>
                </c:pt>
                <c:pt idx="460">
                  <c:v>42159</c:v>
                </c:pt>
                <c:pt idx="461">
                  <c:v>42158</c:v>
                </c:pt>
                <c:pt idx="462">
                  <c:v>42157</c:v>
                </c:pt>
                <c:pt idx="463">
                  <c:v>42156</c:v>
                </c:pt>
                <c:pt idx="464">
                  <c:v>42153</c:v>
                </c:pt>
                <c:pt idx="465">
                  <c:v>42152</c:v>
                </c:pt>
                <c:pt idx="466">
                  <c:v>42151</c:v>
                </c:pt>
                <c:pt idx="467">
                  <c:v>42150</c:v>
                </c:pt>
                <c:pt idx="468">
                  <c:v>42146</c:v>
                </c:pt>
                <c:pt idx="469">
                  <c:v>42145</c:v>
                </c:pt>
                <c:pt idx="470">
                  <c:v>42144</c:v>
                </c:pt>
                <c:pt idx="471">
                  <c:v>42143</c:v>
                </c:pt>
                <c:pt idx="472">
                  <c:v>42142</c:v>
                </c:pt>
                <c:pt idx="473">
                  <c:v>42139</c:v>
                </c:pt>
                <c:pt idx="474">
                  <c:v>42138</c:v>
                </c:pt>
                <c:pt idx="475">
                  <c:v>42137</c:v>
                </c:pt>
                <c:pt idx="476">
                  <c:v>42136</c:v>
                </c:pt>
                <c:pt idx="477">
                  <c:v>42135</c:v>
                </c:pt>
                <c:pt idx="478">
                  <c:v>42132</c:v>
                </c:pt>
                <c:pt idx="479">
                  <c:v>42131</c:v>
                </c:pt>
                <c:pt idx="480">
                  <c:v>42130</c:v>
                </c:pt>
                <c:pt idx="481">
                  <c:v>42129</c:v>
                </c:pt>
                <c:pt idx="482">
                  <c:v>42128</c:v>
                </c:pt>
                <c:pt idx="483">
                  <c:v>42125</c:v>
                </c:pt>
                <c:pt idx="484">
                  <c:v>42124</c:v>
                </c:pt>
                <c:pt idx="485">
                  <c:v>42123</c:v>
                </c:pt>
                <c:pt idx="486">
                  <c:v>42122</c:v>
                </c:pt>
                <c:pt idx="487">
                  <c:v>42121</c:v>
                </c:pt>
                <c:pt idx="488">
                  <c:v>42118</c:v>
                </c:pt>
                <c:pt idx="489">
                  <c:v>42117</c:v>
                </c:pt>
                <c:pt idx="490">
                  <c:v>42116</c:v>
                </c:pt>
                <c:pt idx="491">
                  <c:v>42115</c:v>
                </c:pt>
                <c:pt idx="492">
                  <c:v>42114</c:v>
                </c:pt>
                <c:pt idx="493">
                  <c:v>42111</c:v>
                </c:pt>
                <c:pt idx="494">
                  <c:v>42110</c:v>
                </c:pt>
                <c:pt idx="495">
                  <c:v>42109</c:v>
                </c:pt>
                <c:pt idx="496">
                  <c:v>42108</c:v>
                </c:pt>
                <c:pt idx="497">
                  <c:v>42107</c:v>
                </c:pt>
                <c:pt idx="498">
                  <c:v>42104</c:v>
                </c:pt>
                <c:pt idx="499">
                  <c:v>42103</c:v>
                </c:pt>
                <c:pt idx="500">
                  <c:v>42102</c:v>
                </c:pt>
                <c:pt idx="501">
                  <c:v>42101</c:v>
                </c:pt>
                <c:pt idx="502">
                  <c:v>42100</c:v>
                </c:pt>
                <c:pt idx="503">
                  <c:v>42096</c:v>
                </c:pt>
                <c:pt idx="504">
                  <c:v>42095</c:v>
                </c:pt>
                <c:pt idx="505">
                  <c:v>42094</c:v>
                </c:pt>
                <c:pt idx="506">
                  <c:v>42093</c:v>
                </c:pt>
                <c:pt idx="507">
                  <c:v>42090</c:v>
                </c:pt>
                <c:pt idx="508">
                  <c:v>42089</c:v>
                </c:pt>
                <c:pt idx="509">
                  <c:v>42088</c:v>
                </c:pt>
                <c:pt idx="510">
                  <c:v>42087</c:v>
                </c:pt>
                <c:pt idx="511">
                  <c:v>42086</c:v>
                </c:pt>
                <c:pt idx="512">
                  <c:v>42083</c:v>
                </c:pt>
                <c:pt idx="513">
                  <c:v>42082</c:v>
                </c:pt>
                <c:pt idx="514">
                  <c:v>42081</c:v>
                </c:pt>
                <c:pt idx="515">
                  <c:v>42080</c:v>
                </c:pt>
                <c:pt idx="516">
                  <c:v>42079</c:v>
                </c:pt>
                <c:pt idx="517">
                  <c:v>42076</c:v>
                </c:pt>
                <c:pt idx="518">
                  <c:v>42075</c:v>
                </c:pt>
                <c:pt idx="519">
                  <c:v>42074</c:v>
                </c:pt>
                <c:pt idx="520">
                  <c:v>42073</c:v>
                </c:pt>
                <c:pt idx="521">
                  <c:v>42072</c:v>
                </c:pt>
                <c:pt idx="522">
                  <c:v>42069</c:v>
                </c:pt>
                <c:pt idx="523">
                  <c:v>42068</c:v>
                </c:pt>
                <c:pt idx="524">
                  <c:v>42067</c:v>
                </c:pt>
                <c:pt idx="525">
                  <c:v>42066</c:v>
                </c:pt>
                <c:pt idx="526">
                  <c:v>42065</c:v>
                </c:pt>
                <c:pt idx="527">
                  <c:v>42062</c:v>
                </c:pt>
                <c:pt idx="528">
                  <c:v>42061</c:v>
                </c:pt>
                <c:pt idx="529">
                  <c:v>42060</c:v>
                </c:pt>
                <c:pt idx="530">
                  <c:v>42059</c:v>
                </c:pt>
                <c:pt idx="531">
                  <c:v>42058</c:v>
                </c:pt>
                <c:pt idx="532">
                  <c:v>42055</c:v>
                </c:pt>
                <c:pt idx="533">
                  <c:v>42054</c:v>
                </c:pt>
                <c:pt idx="534">
                  <c:v>42053</c:v>
                </c:pt>
                <c:pt idx="535">
                  <c:v>42052</c:v>
                </c:pt>
                <c:pt idx="536">
                  <c:v>42048</c:v>
                </c:pt>
                <c:pt idx="537">
                  <c:v>42047</c:v>
                </c:pt>
                <c:pt idx="538">
                  <c:v>42046</c:v>
                </c:pt>
                <c:pt idx="539">
                  <c:v>42045</c:v>
                </c:pt>
                <c:pt idx="540">
                  <c:v>42044</c:v>
                </c:pt>
                <c:pt idx="541">
                  <c:v>42041</c:v>
                </c:pt>
                <c:pt idx="542">
                  <c:v>42040</c:v>
                </c:pt>
                <c:pt idx="543">
                  <c:v>42039</c:v>
                </c:pt>
                <c:pt idx="544">
                  <c:v>42038</c:v>
                </c:pt>
                <c:pt idx="545">
                  <c:v>42037</c:v>
                </c:pt>
                <c:pt idx="546">
                  <c:v>42034</c:v>
                </c:pt>
                <c:pt idx="547">
                  <c:v>42033</c:v>
                </c:pt>
                <c:pt idx="548">
                  <c:v>42032</c:v>
                </c:pt>
                <c:pt idx="549">
                  <c:v>42031</c:v>
                </c:pt>
                <c:pt idx="550">
                  <c:v>42030</c:v>
                </c:pt>
                <c:pt idx="551">
                  <c:v>42027</c:v>
                </c:pt>
                <c:pt idx="552">
                  <c:v>42026</c:v>
                </c:pt>
                <c:pt idx="553">
                  <c:v>42025</c:v>
                </c:pt>
                <c:pt idx="554">
                  <c:v>42024</c:v>
                </c:pt>
                <c:pt idx="555">
                  <c:v>42020</c:v>
                </c:pt>
                <c:pt idx="556">
                  <c:v>42019</c:v>
                </c:pt>
                <c:pt idx="557">
                  <c:v>42018</c:v>
                </c:pt>
                <c:pt idx="558">
                  <c:v>42017</c:v>
                </c:pt>
                <c:pt idx="559">
                  <c:v>42016</c:v>
                </c:pt>
                <c:pt idx="560">
                  <c:v>42013</c:v>
                </c:pt>
                <c:pt idx="561">
                  <c:v>42012</c:v>
                </c:pt>
                <c:pt idx="562">
                  <c:v>42011</c:v>
                </c:pt>
                <c:pt idx="563">
                  <c:v>42010</c:v>
                </c:pt>
                <c:pt idx="564">
                  <c:v>42009</c:v>
                </c:pt>
                <c:pt idx="565">
                  <c:v>42006</c:v>
                </c:pt>
                <c:pt idx="566">
                  <c:v>42004</c:v>
                </c:pt>
                <c:pt idx="567">
                  <c:v>42003</c:v>
                </c:pt>
                <c:pt idx="568">
                  <c:v>42002</c:v>
                </c:pt>
                <c:pt idx="569">
                  <c:v>41999</c:v>
                </c:pt>
                <c:pt idx="570">
                  <c:v>41997</c:v>
                </c:pt>
                <c:pt idx="571">
                  <c:v>41996</c:v>
                </c:pt>
                <c:pt idx="572">
                  <c:v>41995</c:v>
                </c:pt>
                <c:pt idx="573">
                  <c:v>41992</c:v>
                </c:pt>
                <c:pt idx="574">
                  <c:v>41991</c:v>
                </c:pt>
                <c:pt idx="575">
                  <c:v>41990</c:v>
                </c:pt>
                <c:pt idx="576">
                  <c:v>41989</c:v>
                </c:pt>
                <c:pt idx="577">
                  <c:v>41988</c:v>
                </c:pt>
                <c:pt idx="578">
                  <c:v>41985</c:v>
                </c:pt>
                <c:pt idx="579">
                  <c:v>41984</c:v>
                </c:pt>
                <c:pt idx="580">
                  <c:v>41983</c:v>
                </c:pt>
                <c:pt idx="581">
                  <c:v>41982</c:v>
                </c:pt>
                <c:pt idx="582">
                  <c:v>41981</c:v>
                </c:pt>
                <c:pt idx="583">
                  <c:v>41978</c:v>
                </c:pt>
                <c:pt idx="584">
                  <c:v>41977</c:v>
                </c:pt>
                <c:pt idx="585">
                  <c:v>41976</c:v>
                </c:pt>
                <c:pt idx="586">
                  <c:v>41975</c:v>
                </c:pt>
                <c:pt idx="587">
                  <c:v>41974</c:v>
                </c:pt>
                <c:pt idx="588">
                  <c:v>41971</c:v>
                </c:pt>
                <c:pt idx="589">
                  <c:v>41969</c:v>
                </c:pt>
                <c:pt idx="590">
                  <c:v>41968</c:v>
                </c:pt>
                <c:pt idx="591">
                  <c:v>41967</c:v>
                </c:pt>
                <c:pt idx="592">
                  <c:v>41964</c:v>
                </c:pt>
                <c:pt idx="593">
                  <c:v>41963</c:v>
                </c:pt>
                <c:pt idx="594">
                  <c:v>41962</c:v>
                </c:pt>
                <c:pt idx="595">
                  <c:v>41961</c:v>
                </c:pt>
                <c:pt idx="596">
                  <c:v>41960</c:v>
                </c:pt>
                <c:pt idx="597">
                  <c:v>41957</c:v>
                </c:pt>
                <c:pt idx="598">
                  <c:v>41956</c:v>
                </c:pt>
                <c:pt idx="599">
                  <c:v>41955</c:v>
                </c:pt>
                <c:pt idx="600">
                  <c:v>41954</c:v>
                </c:pt>
                <c:pt idx="601">
                  <c:v>41953</c:v>
                </c:pt>
                <c:pt idx="602">
                  <c:v>41950</c:v>
                </c:pt>
                <c:pt idx="603">
                  <c:v>41949</c:v>
                </c:pt>
                <c:pt idx="604">
                  <c:v>41948</c:v>
                </c:pt>
                <c:pt idx="605">
                  <c:v>41947</c:v>
                </c:pt>
                <c:pt idx="606">
                  <c:v>41946</c:v>
                </c:pt>
                <c:pt idx="607">
                  <c:v>41943</c:v>
                </c:pt>
                <c:pt idx="608">
                  <c:v>41942</c:v>
                </c:pt>
                <c:pt idx="609">
                  <c:v>41941</c:v>
                </c:pt>
                <c:pt idx="610">
                  <c:v>41940</c:v>
                </c:pt>
                <c:pt idx="611">
                  <c:v>41939</c:v>
                </c:pt>
                <c:pt idx="612">
                  <c:v>41936</c:v>
                </c:pt>
                <c:pt idx="613">
                  <c:v>41935</c:v>
                </c:pt>
                <c:pt idx="614">
                  <c:v>41934</c:v>
                </c:pt>
                <c:pt idx="615">
                  <c:v>41933</c:v>
                </c:pt>
                <c:pt idx="616">
                  <c:v>41932</c:v>
                </c:pt>
                <c:pt idx="617">
                  <c:v>41929</c:v>
                </c:pt>
                <c:pt idx="618">
                  <c:v>41928</c:v>
                </c:pt>
                <c:pt idx="619">
                  <c:v>41927</c:v>
                </c:pt>
                <c:pt idx="620">
                  <c:v>41926</c:v>
                </c:pt>
                <c:pt idx="621">
                  <c:v>41925</c:v>
                </c:pt>
                <c:pt idx="622">
                  <c:v>41922</c:v>
                </c:pt>
                <c:pt idx="623">
                  <c:v>41921</c:v>
                </c:pt>
                <c:pt idx="624">
                  <c:v>41920</c:v>
                </c:pt>
                <c:pt idx="625">
                  <c:v>41919</c:v>
                </c:pt>
                <c:pt idx="626">
                  <c:v>41918</c:v>
                </c:pt>
                <c:pt idx="627">
                  <c:v>41915</c:v>
                </c:pt>
                <c:pt idx="628">
                  <c:v>41914</c:v>
                </c:pt>
                <c:pt idx="629">
                  <c:v>41913</c:v>
                </c:pt>
                <c:pt idx="630">
                  <c:v>41912</c:v>
                </c:pt>
                <c:pt idx="631">
                  <c:v>41911</c:v>
                </c:pt>
                <c:pt idx="632">
                  <c:v>41908</c:v>
                </c:pt>
                <c:pt idx="633">
                  <c:v>41907</c:v>
                </c:pt>
                <c:pt idx="634">
                  <c:v>41906</c:v>
                </c:pt>
                <c:pt idx="635">
                  <c:v>41905</c:v>
                </c:pt>
                <c:pt idx="636">
                  <c:v>41904</c:v>
                </c:pt>
                <c:pt idx="637">
                  <c:v>41901</c:v>
                </c:pt>
                <c:pt idx="638">
                  <c:v>41900</c:v>
                </c:pt>
                <c:pt idx="639">
                  <c:v>41899</c:v>
                </c:pt>
                <c:pt idx="640">
                  <c:v>41898</c:v>
                </c:pt>
                <c:pt idx="641">
                  <c:v>41897</c:v>
                </c:pt>
                <c:pt idx="642">
                  <c:v>41894</c:v>
                </c:pt>
                <c:pt idx="643">
                  <c:v>41893</c:v>
                </c:pt>
                <c:pt idx="644">
                  <c:v>41892</c:v>
                </c:pt>
                <c:pt idx="645">
                  <c:v>41891</c:v>
                </c:pt>
                <c:pt idx="646">
                  <c:v>41890</c:v>
                </c:pt>
                <c:pt idx="647">
                  <c:v>41887</c:v>
                </c:pt>
                <c:pt idx="648">
                  <c:v>41886</c:v>
                </c:pt>
                <c:pt idx="649">
                  <c:v>41885</c:v>
                </c:pt>
                <c:pt idx="650">
                  <c:v>41884</c:v>
                </c:pt>
                <c:pt idx="651">
                  <c:v>41880</c:v>
                </c:pt>
                <c:pt idx="652">
                  <c:v>41879</c:v>
                </c:pt>
                <c:pt idx="653">
                  <c:v>41878</c:v>
                </c:pt>
                <c:pt idx="654">
                  <c:v>41877</c:v>
                </c:pt>
                <c:pt idx="655">
                  <c:v>41876</c:v>
                </c:pt>
                <c:pt idx="656">
                  <c:v>41873</c:v>
                </c:pt>
                <c:pt idx="657">
                  <c:v>41872</c:v>
                </c:pt>
                <c:pt idx="658">
                  <c:v>41871</c:v>
                </c:pt>
                <c:pt idx="659">
                  <c:v>41870</c:v>
                </c:pt>
                <c:pt idx="660">
                  <c:v>41869</c:v>
                </c:pt>
                <c:pt idx="661">
                  <c:v>41866</c:v>
                </c:pt>
                <c:pt idx="662">
                  <c:v>41865</c:v>
                </c:pt>
                <c:pt idx="663">
                  <c:v>41864</c:v>
                </c:pt>
                <c:pt idx="664">
                  <c:v>41863</c:v>
                </c:pt>
                <c:pt idx="665">
                  <c:v>41862</c:v>
                </c:pt>
                <c:pt idx="666">
                  <c:v>41859</c:v>
                </c:pt>
                <c:pt idx="667">
                  <c:v>41858</c:v>
                </c:pt>
                <c:pt idx="668">
                  <c:v>41857</c:v>
                </c:pt>
                <c:pt idx="669">
                  <c:v>41856</c:v>
                </c:pt>
                <c:pt idx="670">
                  <c:v>41855</c:v>
                </c:pt>
                <c:pt idx="671">
                  <c:v>41852</c:v>
                </c:pt>
                <c:pt idx="672">
                  <c:v>41851</c:v>
                </c:pt>
                <c:pt idx="673">
                  <c:v>41850</c:v>
                </c:pt>
                <c:pt idx="674">
                  <c:v>41849</c:v>
                </c:pt>
                <c:pt idx="675">
                  <c:v>41848</c:v>
                </c:pt>
                <c:pt idx="676">
                  <c:v>41845</c:v>
                </c:pt>
                <c:pt idx="677">
                  <c:v>41844</c:v>
                </c:pt>
                <c:pt idx="678">
                  <c:v>41843</c:v>
                </c:pt>
                <c:pt idx="679">
                  <c:v>41842</c:v>
                </c:pt>
                <c:pt idx="680">
                  <c:v>41841</c:v>
                </c:pt>
                <c:pt idx="681">
                  <c:v>41838</c:v>
                </c:pt>
                <c:pt idx="682">
                  <c:v>41837</c:v>
                </c:pt>
                <c:pt idx="683">
                  <c:v>41836</c:v>
                </c:pt>
                <c:pt idx="684">
                  <c:v>41835</c:v>
                </c:pt>
                <c:pt idx="685">
                  <c:v>41834</c:v>
                </c:pt>
                <c:pt idx="686">
                  <c:v>41831</c:v>
                </c:pt>
                <c:pt idx="687">
                  <c:v>41830</c:v>
                </c:pt>
                <c:pt idx="688">
                  <c:v>41829</c:v>
                </c:pt>
                <c:pt idx="689">
                  <c:v>41828</c:v>
                </c:pt>
                <c:pt idx="690">
                  <c:v>41827</c:v>
                </c:pt>
                <c:pt idx="691">
                  <c:v>41823</c:v>
                </c:pt>
                <c:pt idx="692">
                  <c:v>41822</c:v>
                </c:pt>
                <c:pt idx="693">
                  <c:v>41821</c:v>
                </c:pt>
                <c:pt idx="694">
                  <c:v>41820</c:v>
                </c:pt>
                <c:pt idx="695">
                  <c:v>41817</c:v>
                </c:pt>
                <c:pt idx="696">
                  <c:v>41816</c:v>
                </c:pt>
                <c:pt idx="697">
                  <c:v>41815</c:v>
                </c:pt>
                <c:pt idx="698">
                  <c:v>41814</c:v>
                </c:pt>
                <c:pt idx="699">
                  <c:v>41813</c:v>
                </c:pt>
                <c:pt idx="700">
                  <c:v>41810</c:v>
                </c:pt>
                <c:pt idx="701">
                  <c:v>41809</c:v>
                </c:pt>
                <c:pt idx="702">
                  <c:v>41808</c:v>
                </c:pt>
                <c:pt idx="703">
                  <c:v>41807</c:v>
                </c:pt>
                <c:pt idx="704">
                  <c:v>41806</c:v>
                </c:pt>
                <c:pt idx="705">
                  <c:v>41803</c:v>
                </c:pt>
                <c:pt idx="706">
                  <c:v>41802</c:v>
                </c:pt>
                <c:pt idx="707">
                  <c:v>41801</c:v>
                </c:pt>
                <c:pt idx="708">
                  <c:v>41800</c:v>
                </c:pt>
                <c:pt idx="709">
                  <c:v>41799</c:v>
                </c:pt>
                <c:pt idx="710">
                  <c:v>41796</c:v>
                </c:pt>
                <c:pt idx="711">
                  <c:v>41795</c:v>
                </c:pt>
                <c:pt idx="712">
                  <c:v>41794</c:v>
                </c:pt>
                <c:pt idx="713">
                  <c:v>41793</c:v>
                </c:pt>
                <c:pt idx="714">
                  <c:v>41792</c:v>
                </c:pt>
                <c:pt idx="715">
                  <c:v>41789</c:v>
                </c:pt>
                <c:pt idx="716">
                  <c:v>41788</c:v>
                </c:pt>
                <c:pt idx="717">
                  <c:v>41787</c:v>
                </c:pt>
                <c:pt idx="718">
                  <c:v>41786</c:v>
                </c:pt>
                <c:pt idx="719">
                  <c:v>41782</c:v>
                </c:pt>
                <c:pt idx="720">
                  <c:v>41781</c:v>
                </c:pt>
                <c:pt idx="721">
                  <c:v>41780</c:v>
                </c:pt>
                <c:pt idx="722">
                  <c:v>41779</c:v>
                </c:pt>
                <c:pt idx="723">
                  <c:v>41778</c:v>
                </c:pt>
                <c:pt idx="724">
                  <c:v>41775</c:v>
                </c:pt>
                <c:pt idx="725">
                  <c:v>41774</c:v>
                </c:pt>
                <c:pt idx="726">
                  <c:v>41773</c:v>
                </c:pt>
                <c:pt idx="727">
                  <c:v>41772</c:v>
                </c:pt>
                <c:pt idx="728">
                  <c:v>41771</c:v>
                </c:pt>
                <c:pt idx="729">
                  <c:v>41768</c:v>
                </c:pt>
                <c:pt idx="730">
                  <c:v>41767</c:v>
                </c:pt>
                <c:pt idx="731">
                  <c:v>41766</c:v>
                </c:pt>
                <c:pt idx="732">
                  <c:v>41765</c:v>
                </c:pt>
                <c:pt idx="733">
                  <c:v>41764</c:v>
                </c:pt>
                <c:pt idx="734">
                  <c:v>41761</c:v>
                </c:pt>
                <c:pt idx="735">
                  <c:v>41760</c:v>
                </c:pt>
                <c:pt idx="736">
                  <c:v>41759</c:v>
                </c:pt>
                <c:pt idx="737">
                  <c:v>41758</c:v>
                </c:pt>
                <c:pt idx="738">
                  <c:v>41757</c:v>
                </c:pt>
                <c:pt idx="739">
                  <c:v>41754</c:v>
                </c:pt>
                <c:pt idx="740">
                  <c:v>41753</c:v>
                </c:pt>
                <c:pt idx="741">
                  <c:v>41752</c:v>
                </c:pt>
                <c:pt idx="742">
                  <c:v>41751</c:v>
                </c:pt>
                <c:pt idx="743">
                  <c:v>41750</c:v>
                </c:pt>
                <c:pt idx="744">
                  <c:v>41746</c:v>
                </c:pt>
                <c:pt idx="745">
                  <c:v>41745</c:v>
                </c:pt>
                <c:pt idx="746">
                  <c:v>41744</c:v>
                </c:pt>
                <c:pt idx="747">
                  <c:v>41743</c:v>
                </c:pt>
                <c:pt idx="748">
                  <c:v>41740</c:v>
                </c:pt>
                <c:pt idx="749">
                  <c:v>41739</c:v>
                </c:pt>
                <c:pt idx="750">
                  <c:v>41738</c:v>
                </c:pt>
                <c:pt idx="751">
                  <c:v>41737</c:v>
                </c:pt>
                <c:pt idx="752">
                  <c:v>41736</c:v>
                </c:pt>
                <c:pt idx="753">
                  <c:v>41733</c:v>
                </c:pt>
                <c:pt idx="754">
                  <c:v>41732</c:v>
                </c:pt>
                <c:pt idx="755">
                  <c:v>41731</c:v>
                </c:pt>
                <c:pt idx="756">
                  <c:v>41730</c:v>
                </c:pt>
                <c:pt idx="757">
                  <c:v>41729</c:v>
                </c:pt>
              </c:numCache>
            </c:numRef>
          </c:cat>
          <c:val>
            <c:numRef>
              <c:f>Exhibits!$EF$102:$EF$859</c:f>
              <c:numCache>
                <c:formatCode>0%</c:formatCode>
                <c:ptCount val="758"/>
                <c:pt idx="0">
                  <c:v>1.2584872446744515</c:v>
                </c:pt>
                <c:pt idx="1">
                  <c:v>1.2607422922099667</c:v>
                </c:pt>
                <c:pt idx="2">
                  <c:v>1.2578071821806978</c:v>
                </c:pt>
                <c:pt idx="3">
                  <c:v>1.256721857205735</c:v>
                </c:pt>
                <c:pt idx="4">
                  <c:v>1.2494703830527576</c:v>
                </c:pt>
                <c:pt idx="5">
                  <c:v>1.2504899702593002</c:v>
                </c:pt>
                <c:pt idx="6">
                  <c:v>1.251333966334645</c:v>
                </c:pt>
                <c:pt idx="7">
                  <c:v>1.2523942358962508</c:v>
                </c:pt>
                <c:pt idx="8">
                  <c:v>1.2505043497339303</c:v>
                </c:pt>
                <c:pt idx="9">
                  <c:v>1.2629123226005903</c:v>
                </c:pt>
                <c:pt idx="10">
                  <c:v>1.2649222160096094</c:v>
                </c:pt>
                <c:pt idx="11">
                  <c:v>1.2662365308832435</c:v>
                </c:pt>
                <c:pt idx="12">
                  <c:v>1.2678632411721567</c:v>
                </c:pt>
                <c:pt idx="13">
                  <c:v>1.2594884882032236</c:v>
                </c:pt>
                <c:pt idx="14">
                  <c:v>1.2628675155758011</c:v>
                </c:pt>
                <c:pt idx="15">
                  <c:v>1.2625008827830548</c:v>
                </c:pt>
                <c:pt idx="16">
                  <c:v>1.2592322123624544</c:v>
                </c:pt>
                <c:pt idx="17">
                  <c:v>1.2584323168847111</c:v>
                </c:pt>
                <c:pt idx="18">
                  <c:v>1.2607165324253995</c:v>
                </c:pt>
                <c:pt idx="19">
                  <c:v>1.2636299061863447</c:v>
                </c:pt>
                <c:pt idx="20">
                  <c:v>1.2669071467854598</c:v>
                </c:pt>
                <c:pt idx="21">
                  <c:v>1.2664032696446228</c:v>
                </c:pt>
                <c:pt idx="22">
                  <c:v>1.2722631501219828</c:v>
                </c:pt>
                <c:pt idx="23">
                  <c:v>1.2585892956166003</c:v>
                </c:pt>
                <c:pt idx="24">
                  <c:v>1.2611676718166214</c:v>
                </c:pt>
                <c:pt idx="25">
                  <c:v>1.2601496888017534</c:v>
                </c:pt>
                <c:pt idx="26">
                  <c:v>1.2586563247361595</c:v>
                </c:pt>
                <c:pt idx="27">
                  <c:v>1.2582373376903799</c:v>
                </c:pt>
                <c:pt idx="28">
                  <c:v>1.259319538066902</c:v>
                </c:pt>
                <c:pt idx="29">
                  <c:v>1.2532714717795248</c:v>
                </c:pt>
                <c:pt idx="30">
                  <c:v>1.2515929154240582</c:v>
                </c:pt>
                <c:pt idx="31">
                  <c:v>1.2524570333340295</c:v>
                </c:pt>
                <c:pt idx="32">
                  <c:v>1.24746472436039</c:v>
                </c:pt>
                <c:pt idx="33">
                  <c:v>1.2434573892374436</c:v>
                </c:pt>
                <c:pt idx="34">
                  <c:v>1.2382115442886472</c:v>
                </c:pt>
                <c:pt idx="35">
                  <c:v>1.2346454939553217</c:v>
                </c:pt>
                <c:pt idx="36">
                  <c:v>1.2288929476420398</c:v>
                </c:pt>
                <c:pt idx="37">
                  <c:v>1.2281996251474383</c:v>
                </c:pt>
                <c:pt idx="38">
                  <c:v>1.2279727961935103</c:v>
                </c:pt>
                <c:pt idx="39">
                  <c:v>1.2300881530568604</c:v>
                </c:pt>
                <c:pt idx="40">
                  <c:v>1.2228233950552145</c:v>
                </c:pt>
                <c:pt idx="41">
                  <c:v>1.2222530855765654</c:v>
                </c:pt>
                <c:pt idx="42">
                  <c:v>1.2219547219291913</c:v>
                </c:pt>
                <c:pt idx="43">
                  <c:v>1.2228446272679658</c:v>
                </c:pt>
                <c:pt idx="44">
                  <c:v>1.2288541707594889</c:v>
                </c:pt>
                <c:pt idx="45">
                  <c:v>1.2297206349856411</c:v>
                </c:pt>
                <c:pt idx="46">
                  <c:v>1.2304560191552742</c:v>
                </c:pt>
                <c:pt idx="47">
                  <c:v>1.2224299285290103</c:v>
                </c:pt>
                <c:pt idx="48">
                  <c:v>1.2158653349736224</c:v>
                </c:pt>
                <c:pt idx="49">
                  <c:v>1.2185554599857442</c:v>
                </c:pt>
                <c:pt idx="50">
                  <c:v>1.2151892224715051</c:v>
                </c:pt>
                <c:pt idx="51">
                  <c:v>1.2187985311907634</c:v>
                </c:pt>
                <c:pt idx="52">
                  <c:v>1.2170347771335905</c:v>
                </c:pt>
                <c:pt idx="53">
                  <c:v>1.2200022798230372</c:v>
                </c:pt>
                <c:pt idx="54">
                  <c:v>1.2181524392154279</c:v>
                </c:pt>
                <c:pt idx="55">
                  <c:v>1.2202972482331278</c:v>
                </c:pt>
                <c:pt idx="56">
                  <c:v>1.2174676099602624</c:v>
                </c:pt>
                <c:pt idx="57">
                  <c:v>1.2174676099602624</c:v>
                </c:pt>
                <c:pt idx="58">
                  <c:v>1.2210162041819823</c:v>
                </c:pt>
                <c:pt idx="59">
                  <c:v>1.2174992451692013</c:v>
                </c:pt>
                <c:pt idx="60">
                  <c:v>1.2182699156525219</c:v>
                </c:pt>
                <c:pt idx="61">
                  <c:v>1.2125476418083163</c:v>
                </c:pt>
                <c:pt idx="62">
                  <c:v>1.2040610665265632</c:v>
                </c:pt>
                <c:pt idx="63">
                  <c:v>1.208698116913637</c:v>
                </c:pt>
                <c:pt idx="64">
                  <c:v>1.2089914215746373</c:v>
                </c:pt>
                <c:pt idx="65">
                  <c:v>1.217347950777466</c:v>
                </c:pt>
                <c:pt idx="66">
                  <c:v>1.21509957795476</c:v>
                </c:pt>
                <c:pt idx="67">
                  <c:v>1.213847862732546</c:v>
                </c:pt>
                <c:pt idx="68">
                  <c:v>1.2157108365918783</c:v>
                </c:pt>
                <c:pt idx="69">
                  <c:v>1.2181681979930947</c:v>
                </c:pt>
                <c:pt idx="70">
                  <c:v>1.2145306856089442</c:v>
                </c:pt>
                <c:pt idx="71">
                  <c:v>1.2125555648794311</c:v>
                </c:pt>
                <c:pt idx="72">
                  <c:v>1.2143061875277743</c:v>
                </c:pt>
                <c:pt idx="73">
                  <c:v>1.2104229595723555</c:v>
                </c:pt>
                <c:pt idx="74">
                  <c:v>1.2185401316866116</c:v>
                </c:pt>
                <c:pt idx="75">
                  <c:v>1.2120003568323603</c:v>
                </c:pt>
                <c:pt idx="76">
                  <c:v>1.2131377915940207</c:v>
                </c:pt>
                <c:pt idx="77">
                  <c:v>1.2071988067572972</c:v>
                </c:pt>
                <c:pt idx="78">
                  <c:v>1.2050394640449209</c:v>
                </c:pt>
                <c:pt idx="79">
                  <c:v>1.1918762223099908</c:v>
                </c:pt>
                <c:pt idx="80">
                  <c:v>1.1884653341963503</c:v>
                </c:pt>
                <c:pt idx="81">
                  <c:v>1.1826440288357152</c:v>
                </c:pt>
                <c:pt idx="82">
                  <c:v>1.1822470223507699</c:v>
                </c:pt>
                <c:pt idx="83">
                  <c:v>1.1857625515654742</c:v>
                </c:pt>
                <c:pt idx="84">
                  <c:v>1.1884159553708227</c:v>
                </c:pt>
                <c:pt idx="85">
                  <c:v>1.1870806624912904</c:v>
                </c:pt>
                <c:pt idx="86">
                  <c:v>1.1923351981431554</c:v>
                </c:pt>
                <c:pt idx="87">
                  <c:v>1.1884208112307506</c:v>
                </c:pt>
                <c:pt idx="88">
                  <c:v>1.1876127864785224</c:v>
                </c:pt>
                <c:pt idx="89">
                  <c:v>1.1854473545542716</c:v>
                </c:pt>
                <c:pt idx="90">
                  <c:v>1.1779859536049992</c:v>
                </c:pt>
                <c:pt idx="91">
                  <c:v>1.1803727520983349</c:v>
                </c:pt>
                <c:pt idx="92">
                  <c:v>1.1756963823886022</c:v>
                </c:pt>
                <c:pt idx="93">
                  <c:v>1.1772786461897122</c:v>
                </c:pt>
                <c:pt idx="94">
                  <c:v>1.169797848497004</c:v>
                </c:pt>
                <c:pt idx="95">
                  <c:v>1.1699133512832358</c:v>
                </c:pt>
                <c:pt idx="96">
                  <c:v>1.1713113014502312</c:v>
                </c:pt>
                <c:pt idx="97">
                  <c:v>1.1693605558253444</c:v>
                </c:pt>
                <c:pt idx="98">
                  <c:v>1.1582835351545262</c:v>
                </c:pt>
                <c:pt idx="99">
                  <c:v>1.154511560730378</c:v>
                </c:pt>
                <c:pt idx="100">
                  <c:v>1.1322880167144174</c:v>
                </c:pt>
                <c:pt idx="101">
                  <c:v>1.1339541472223122</c:v>
                </c:pt>
                <c:pt idx="102">
                  <c:v>1.1383775479206071</c:v>
                </c:pt>
                <c:pt idx="103">
                  <c:v>1.1449030485500653</c:v>
                </c:pt>
                <c:pt idx="104">
                  <c:v>1.1516899317262828</c:v>
                </c:pt>
                <c:pt idx="105">
                  <c:v>1.1518122082443392</c:v>
                </c:pt>
                <c:pt idx="106">
                  <c:v>1.1549205076099283</c:v>
                </c:pt>
                <c:pt idx="107">
                  <c:v>1.1579072345433159</c:v>
                </c:pt>
                <c:pt idx="108">
                  <c:v>1.1596476459699738</c:v>
                </c:pt>
                <c:pt idx="109">
                  <c:v>1.1634453737494299</c:v>
                </c:pt>
                <c:pt idx="110">
                  <c:v>1.1586955342147918</c:v>
                </c:pt>
                <c:pt idx="111">
                  <c:v>1.1587796759169948</c:v>
                </c:pt>
                <c:pt idx="112">
                  <c:v>1.1601553997912595</c:v>
                </c:pt>
                <c:pt idx="113">
                  <c:v>1.1579634289625125</c:v>
                </c:pt>
                <c:pt idx="114">
                  <c:v>1.1518030254826159</c:v>
                </c:pt>
                <c:pt idx="115">
                  <c:v>1.1548410193038239</c:v>
                </c:pt>
                <c:pt idx="116">
                  <c:v>1.1546394151256703</c:v>
                </c:pt>
                <c:pt idx="117">
                  <c:v>1.1577386789607613</c:v>
                </c:pt>
                <c:pt idx="118">
                  <c:v>1.1565920895353627</c:v>
                </c:pt>
                <c:pt idx="119">
                  <c:v>1.16903856129862</c:v>
                </c:pt>
                <c:pt idx="120">
                  <c:v>1.1644326562004843</c:v>
                </c:pt>
                <c:pt idx="121">
                  <c:v>1.1676861398821952</c:v>
                </c:pt>
                <c:pt idx="122">
                  <c:v>1.1672045796827113</c:v>
                </c:pt>
                <c:pt idx="123">
                  <c:v>1.1629078891410363</c:v>
                </c:pt>
                <c:pt idx="124">
                  <c:v>1.1678634514410653</c:v>
                </c:pt>
                <c:pt idx="125">
                  <c:v>1.1711241472652874</c:v>
                </c:pt>
                <c:pt idx="126">
                  <c:v>1.1631561779039505</c:v>
                </c:pt>
                <c:pt idx="127">
                  <c:v>1.1724775892292405</c:v>
                </c:pt>
                <c:pt idx="128">
                  <c:v>1.1671810354704772</c:v>
                </c:pt>
                <c:pt idx="129">
                  <c:v>1.1607368654092165</c:v>
                </c:pt>
                <c:pt idx="130">
                  <c:v>1.1693246278632761</c:v>
                </c:pt>
                <c:pt idx="131">
                  <c:v>1.1750614026775315</c:v>
                </c:pt>
                <c:pt idx="132">
                  <c:v>1.1685616179963647</c:v>
                </c:pt>
                <c:pt idx="133">
                  <c:v>1.157644455842278</c:v>
                </c:pt>
                <c:pt idx="134">
                  <c:v>1.1573453174278829</c:v>
                </c:pt>
                <c:pt idx="135">
                  <c:v>1.1573639205251909</c:v>
                </c:pt>
                <c:pt idx="136">
                  <c:v>1.1611362154323177</c:v>
                </c:pt>
                <c:pt idx="137">
                  <c:v>1.1510269421817712</c:v>
                </c:pt>
                <c:pt idx="138">
                  <c:v>1.1516146188318479</c:v>
                </c:pt>
                <c:pt idx="139">
                  <c:v>1.1664452928451148</c:v>
                </c:pt>
                <c:pt idx="140">
                  <c:v>1.1517682403197229</c:v>
                </c:pt>
                <c:pt idx="141">
                  <c:v>1.1762903091770185</c:v>
                </c:pt>
                <c:pt idx="142">
                  <c:v>1.1785133226781461</c:v>
                </c:pt>
                <c:pt idx="143">
                  <c:v>1.178659707736746</c:v>
                </c:pt>
                <c:pt idx="144">
                  <c:v>1.1756780289783935</c:v>
                </c:pt>
                <c:pt idx="145">
                  <c:v>1.1714769876627449</c:v>
                </c:pt>
                <c:pt idx="146">
                  <c:v>1.1715183723109532</c:v>
                </c:pt>
                <c:pt idx="147">
                  <c:v>1.1738942365656928</c:v>
                </c:pt>
                <c:pt idx="148">
                  <c:v>1.1758479172216247</c:v>
                </c:pt>
                <c:pt idx="149">
                  <c:v>1.1706198698845049</c:v>
                </c:pt>
                <c:pt idx="150">
                  <c:v>1.1721986866441314</c:v>
                </c:pt>
                <c:pt idx="151">
                  <c:v>1.1735639139455272</c:v>
                </c:pt>
                <c:pt idx="152">
                  <c:v>1.178804190827665</c:v>
                </c:pt>
                <c:pt idx="153">
                  <c:v>1.1768524217732907</c:v>
                </c:pt>
                <c:pt idx="154">
                  <c:v>1.1774157446515259</c:v>
                </c:pt>
                <c:pt idx="155">
                  <c:v>1.1788560163322579</c:v>
                </c:pt>
                <c:pt idx="156">
                  <c:v>1.1766563989408909</c:v>
                </c:pt>
                <c:pt idx="157">
                  <c:v>1.1747878089984527</c:v>
                </c:pt>
                <c:pt idx="158">
                  <c:v>1.1802668860191816</c:v>
                </c:pt>
                <c:pt idx="159">
                  <c:v>1.1774739770367189</c:v>
                </c:pt>
                <c:pt idx="160">
                  <c:v>1.1782700233032652</c:v>
                </c:pt>
                <c:pt idx="161">
                  <c:v>1.1735354352116878</c:v>
                </c:pt>
                <c:pt idx="162">
                  <c:v>1.1764001212093993</c:v>
                </c:pt>
                <c:pt idx="163">
                  <c:v>1.1760103275739073</c:v>
                </c:pt>
                <c:pt idx="164">
                  <c:v>1.1769174928626609</c:v>
                </c:pt>
                <c:pt idx="165">
                  <c:v>1.1683139965013349</c:v>
                </c:pt>
                <c:pt idx="166">
                  <c:v>1.1681014245827523</c:v>
                </c:pt>
                <c:pt idx="167">
                  <c:v>1.1649674811934088</c:v>
                </c:pt>
                <c:pt idx="168">
                  <c:v>1.171329100861453</c:v>
                </c:pt>
                <c:pt idx="169">
                  <c:v>1.1725988882535954</c:v>
                </c:pt>
                <c:pt idx="170">
                  <c:v>1.1709675790253931</c:v>
                </c:pt>
                <c:pt idx="171">
                  <c:v>1.1693613697579228</c:v>
                </c:pt>
                <c:pt idx="172">
                  <c:v>1.1705599121018044</c:v>
                </c:pt>
                <c:pt idx="173">
                  <c:v>1.1702371274754968</c:v>
                </c:pt>
                <c:pt idx="174">
                  <c:v>1.173248602679364</c:v>
                </c:pt>
                <c:pt idx="175">
                  <c:v>1.1686946381614698</c:v>
                </c:pt>
                <c:pt idx="176">
                  <c:v>1.1723071672351779</c:v>
                </c:pt>
                <c:pt idx="177">
                  <c:v>1.1680368667073233</c:v>
                </c:pt>
                <c:pt idx="178">
                  <c:v>1.1694720406910344</c:v>
                </c:pt>
                <c:pt idx="179">
                  <c:v>1.1670897453993605</c:v>
                </c:pt>
                <c:pt idx="180">
                  <c:v>1.1680186928285921</c:v>
                </c:pt>
                <c:pt idx="181">
                  <c:v>1.1627594888788115</c:v>
                </c:pt>
                <c:pt idx="182">
                  <c:v>1.1626247211525391</c:v>
                </c:pt>
                <c:pt idx="183">
                  <c:v>1.1556154276898045</c:v>
                </c:pt>
                <c:pt idx="184">
                  <c:v>1.1522068121050144</c:v>
                </c:pt>
                <c:pt idx="185">
                  <c:v>1.1369534628057969</c:v>
                </c:pt>
                <c:pt idx="186">
                  <c:v>1.1378250405883839</c:v>
                </c:pt>
                <c:pt idx="187">
                  <c:v>1.1324720776534745</c:v>
                </c:pt>
                <c:pt idx="188">
                  <c:v>1.1393195549285056</c:v>
                </c:pt>
                <c:pt idx="189">
                  <c:v>1.1373709524531144</c:v>
                </c:pt>
                <c:pt idx="190">
                  <c:v>1.1238059081803564</c:v>
                </c:pt>
                <c:pt idx="191">
                  <c:v>1.1067732354698618</c:v>
                </c:pt>
                <c:pt idx="192">
                  <c:v>1.0890030702609865</c:v>
                </c:pt>
                <c:pt idx="193">
                  <c:v>1.1070995723811876</c:v>
                </c:pt>
                <c:pt idx="194">
                  <c:v>1.1430193722967015</c:v>
                </c:pt>
                <c:pt idx="195">
                  <c:v>1.1296552937262061</c:v>
                </c:pt>
                <c:pt idx="196">
                  <c:v>1.1313068573060105</c:v>
                </c:pt>
                <c:pt idx="197">
                  <c:v>1.1285947958635527</c:v>
                </c:pt>
                <c:pt idx="198">
                  <c:v>1.1227866107511855</c:v>
                </c:pt>
                <c:pt idx="199">
                  <c:v>1.1260445759158781</c:v>
                </c:pt>
                <c:pt idx="200">
                  <c:v>1.1229115853293465</c:v>
                </c:pt>
                <c:pt idx="201">
                  <c:v>1.1247522980265843</c:v>
                </c:pt>
                <c:pt idx="202">
                  <c:v>1.1265511835295836</c:v>
                </c:pt>
                <c:pt idx="203">
                  <c:v>1.1346663745528638</c:v>
                </c:pt>
                <c:pt idx="204">
                  <c:v>1.1438415556859889</c:v>
                </c:pt>
                <c:pt idx="205">
                  <c:v>1.1455593143778149</c:v>
                </c:pt>
                <c:pt idx="206">
                  <c:v>1.1422497480219471</c:v>
                </c:pt>
                <c:pt idx="207">
                  <c:v>1.1409603016300787</c:v>
                </c:pt>
                <c:pt idx="208">
                  <c:v>1.13606302057889</c:v>
                </c:pt>
                <c:pt idx="209">
                  <c:v>1.1389748352577809</c:v>
                </c:pt>
                <c:pt idx="210">
                  <c:v>1.1361501570129717</c:v>
                </c:pt>
                <c:pt idx="211">
                  <c:v>1.1350151146630745</c:v>
                </c:pt>
                <c:pt idx="212">
                  <c:v>1.1360203779431566</c:v>
                </c:pt>
                <c:pt idx="213">
                  <c:v>1.1317335205775338</c:v>
                </c:pt>
                <c:pt idx="214">
                  <c:v>1.1319439642867155</c:v>
                </c:pt>
                <c:pt idx="215">
                  <c:v>1.1249692238704991</c:v>
                </c:pt>
                <c:pt idx="216">
                  <c:v>1.1112878409549183</c:v>
                </c:pt>
                <c:pt idx="217">
                  <c:v>1.1133732997811192</c:v>
                </c:pt>
                <c:pt idx="218">
                  <c:v>1.1073537958668629</c:v>
                </c:pt>
                <c:pt idx="219">
                  <c:v>1.1110605036126306</c:v>
                </c:pt>
                <c:pt idx="220">
                  <c:v>1.1108553248532449</c:v>
                </c:pt>
                <c:pt idx="221">
                  <c:v>1.120266622225911</c:v>
                </c:pt>
                <c:pt idx="222">
                  <c:v>1.110469969640929</c:v>
                </c:pt>
                <c:pt idx="223">
                  <c:v>1.1189482586336779</c:v>
                </c:pt>
                <c:pt idx="224">
                  <c:v>1.1191177237754628</c:v>
                </c:pt>
                <c:pt idx="225">
                  <c:v>1.1286792420244864</c:v>
                </c:pt>
                <c:pt idx="226">
                  <c:v>1.1161955981846976</c:v>
                </c:pt>
                <c:pt idx="227">
                  <c:v>1.1154421015434266</c:v>
                </c:pt>
                <c:pt idx="228">
                  <c:v>1.1122674623489193</c:v>
                </c:pt>
                <c:pt idx="229">
                  <c:v>1.1125064702919143</c:v>
                </c:pt>
                <c:pt idx="230">
                  <c:v>1.1184433596066683</c:v>
                </c:pt>
                <c:pt idx="231">
                  <c:v>1.127119998066771</c:v>
                </c:pt>
                <c:pt idx="232">
                  <c:v>1.1193100515130923</c:v>
                </c:pt>
                <c:pt idx="233">
                  <c:v>1.1243731399948309</c:v>
                </c:pt>
                <c:pt idx="234">
                  <c:v>1.1336039081520586</c:v>
                </c:pt>
                <c:pt idx="235">
                  <c:v>1.1319545554337824</c:v>
                </c:pt>
                <c:pt idx="236">
                  <c:v>1.1300818038989238</c:v>
                </c:pt>
                <c:pt idx="237">
                  <c:v>1.1318938497487887</c:v>
                </c:pt>
                <c:pt idx="238">
                  <c:v>1.1318459898596398</c:v>
                </c:pt>
                <c:pt idx="239">
                  <c:v>1.1370400169282351</c:v>
                </c:pt>
                <c:pt idx="240">
                  <c:v>1.1362784722963404</c:v>
                </c:pt>
                <c:pt idx="241">
                  <c:v>1.1331939870988246</c:v>
                </c:pt>
                <c:pt idx="242">
                  <c:v>1.1266529615304806</c:v>
                </c:pt>
                <c:pt idx="243">
                  <c:v>1.1276372464628572</c:v>
                </c:pt>
                <c:pt idx="244">
                  <c:v>1.1274643192851082</c:v>
                </c:pt>
                <c:pt idx="245">
                  <c:v>1.1174241822678779</c:v>
                </c:pt>
                <c:pt idx="246">
                  <c:v>1.1077620482238222</c:v>
                </c:pt>
                <c:pt idx="247">
                  <c:v>1.1105018343469686</c:v>
                </c:pt>
                <c:pt idx="248">
                  <c:v>1.1077152561406538</c:v>
                </c:pt>
                <c:pt idx="249">
                  <c:v>1.119691042701515</c:v>
                </c:pt>
                <c:pt idx="250">
                  <c:v>1.1091834235120761</c:v>
                </c:pt>
                <c:pt idx="251">
                  <c:v>1.1193279159626508</c:v>
                </c:pt>
                <c:pt idx="252">
                  <c:v>1.1225362380744806</c:v>
                </c:pt>
                <c:pt idx="253">
                  <c:v>1.1162053229767939</c:v>
                </c:pt>
                <c:pt idx="254">
                  <c:v>1.1182450822248127</c:v>
                </c:pt>
                <c:pt idx="255">
                  <c:v>1.1138947671623571</c:v>
                </c:pt>
                <c:pt idx="256">
                  <c:v>1.1050781153531311</c:v>
                </c:pt>
                <c:pt idx="257">
                  <c:v>1.1045328595832311</c:v>
                </c:pt>
                <c:pt idx="258">
                  <c:v>1.1049109301061553</c:v>
                </c:pt>
                <c:pt idx="259">
                  <c:v>1.1112969617614799</c:v>
                </c:pt>
                <c:pt idx="260">
                  <c:v>1.1121743496119458</c:v>
                </c:pt>
                <c:pt idx="261">
                  <c:v>1.1111887721164957</c:v>
                </c:pt>
                <c:pt idx="262">
                  <c:v>1.1067831285772292</c:v>
                </c:pt>
                <c:pt idx="263">
                  <c:v>1.1001878921493813</c:v>
                </c:pt>
                <c:pt idx="264">
                  <c:v>1.0945875406006762</c:v>
                </c:pt>
                <c:pt idx="265">
                  <c:v>1.0964244823192231</c:v>
                </c:pt>
                <c:pt idx="266">
                  <c:v>1.0976854548660151</c:v>
                </c:pt>
                <c:pt idx="267">
                  <c:v>1.0812899543883456</c:v>
                </c:pt>
                <c:pt idx="268">
                  <c:v>1.0811341497180451</c:v>
                </c:pt>
                <c:pt idx="269">
                  <c:v>1.0760817564248568</c:v>
                </c:pt>
                <c:pt idx="270">
                  <c:v>1.0873218650730458</c:v>
                </c:pt>
                <c:pt idx="271">
                  <c:v>1.0864368506435487</c:v>
                </c:pt>
                <c:pt idx="272">
                  <c:v>1.083130958238282</c:v>
                </c:pt>
                <c:pt idx="273">
                  <c:v>1.0796322176853166</c:v>
                </c:pt>
                <c:pt idx="274">
                  <c:v>1.0755379092473438</c:v>
                </c:pt>
                <c:pt idx="275">
                  <c:v>1.051669116982771</c:v>
                </c:pt>
                <c:pt idx="276">
                  <c:v>1.0597900936528113</c:v>
                </c:pt>
                <c:pt idx="277">
                  <c:v>1.0616602079591266</c:v>
                </c:pt>
                <c:pt idx="278">
                  <c:v>1.0503119327783128</c:v>
                </c:pt>
                <c:pt idx="279">
                  <c:v>1.0458721461209433</c:v>
                </c:pt>
                <c:pt idx="280">
                  <c:v>1.0583265177477745</c:v>
                </c:pt>
                <c:pt idx="281">
                  <c:v>1.0438723204045817</c:v>
                </c:pt>
                <c:pt idx="282">
                  <c:v>1.0438983534738033</c:v>
                </c:pt>
                <c:pt idx="283">
                  <c:v>1.0485640670598926</c:v>
                </c:pt>
                <c:pt idx="284">
                  <c:v>1.032083627972574</c:v>
                </c:pt>
                <c:pt idx="285">
                  <c:v>1.0155669737179074</c:v>
                </c:pt>
                <c:pt idx="286">
                  <c:v>0.99604892428387826</c:v>
                </c:pt>
                <c:pt idx="287">
                  <c:v>1.0083500859184065</c:v>
                </c:pt>
                <c:pt idx="288">
                  <c:v>1.0085390364193589</c:v>
                </c:pt>
                <c:pt idx="289">
                  <c:v>1.0092026565199037</c:v>
                </c:pt>
                <c:pt idx="290">
                  <c:v>1.0233565924824881</c:v>
                </c:pt>
                <c:pt idx="291">
                  <c:v>1.041837838615554</c:v>
                </c:pt>
                <c:pt idx="292">
                  <c:v>1.0403111059861443</c:v>
                </c:pt>
                <c:pt idx="293">
                  <c:v>1.0353190670507462</c:v>
                </c:pt>
                <c:pt idx="294">
                  <c:v>1.0540621580933911</c:v>
                </c:pt>
                <c:pt idx="295">
                  <c:v>1.0545053944994194</c:v>
                </c:pt>
                <c:pt idx="296">
                  <c:v>1.0297451770175865</c:v>
                </c:pt>
                <c:pt idx="297">
                  <c:v>1.024216599906723</c:v>
                </c:pt>
                <c:pt idx="298">
                  <c:v>1.0350800838535417</c:v>
                </c:pt>
                <c:pt idx="299">
                  <c:v>1.0209357481713381</c:v>
                </c:pt>
                <c:pt idx="300">
                  <c:v>1.0365737300396525</c:v>
                </c:pt>
                <c:pt idx="301">
                  <c:v>1.0162900291087555</c:v>
                </c:pt>
                <c:pt idx="302">
                  <c:v>1.0110945908441122</c:v>
                </c:pt>
                <c:pt idx="303">
                  <c:v>1.0227884459968657</c:v>
                </c:pt>
                <c:pt idx="304">
                  <c:v>1.0222566244424576</c:v>
                </c:pt>
                <c:pt idx="305">
                  <c:v>1.0438557225642415</c:v>
                </c:pt>
                <c:pt idx="306">
                  <c:v>1.0271598169228451</c:v>
                </c:pt>
                <c:pt idx="307">
                  <c:v>1.0521252695255776</c:v>
                </c:pt>
                <c:pt idx="308">
                  <c:v>1.0443224708872056</c:v>
                </c:pt>
                <c:pt idx="309">
                  <c:v>1.0434691985786282</c:v>
                </c:pt>
                <c:pt idx="310">
                  <c:v>1.0543075732131046</c:v>
                </c:pt>
                <c:pt idx="311">
                  <c:v>1.0780080162522028</c:v>
                </c:pt>
                <c:pt idx="312">
                  <c:v>1.0911234128692178</c:v>
                </c:pt>
                <c:pt idx="313">
                  <c:v>1.0891111867944787</c:v>
                </c:pt>
                <c:pt idx="314">
                  <c:v>1.104414917776269</c:v>
                </c:pt>
                <c:pt idx="315">
                  <c:v>1.1138268308660475</c:v>
                </c:pt>
                <c:pt idx="316">
                  <c:v>1.1210440594634785</c:v>
                </c:pt>
                <c:pt idx="317">
                  <c:v>1.1104142967598558</c:v>
                </c:pt>
                <c:pt idx="318">
                  <c:v>1.1125928565887659</c:v>
                </c:pt>
                <c:pt idx="319">
                  <c:v>1.1141914928935743</c:v>
                </c:pt>
                <c:pt idx="320">
                  <c:v>1.101773424770883</c:v>
                </c:pt>
                <c:pt idx="321">
                  <c:v>1.0929566883641848</c:v>
                </c:pt>
                <c:pt idx="322">
                  <c:v>1.0851782861209804</c:v>
                </c:pt>
                <c:pt idx="323">
                  <c:v>1.1029755062126807</c:v>
                </c:pt>
                <c:pt idx="324">
                  <c:v>1.1180160267822923</c:v>
                </c:pt>
                <c:pt idx="325">
                  <c:v>1.1035010574386506</c:v>
                </c:pt>
                <c:pt idx="326">
                  <c:v>1.0928824962417332</c:v>
                </c:pt>
                <c:pt idx="327">
                  <c:v>1.0881269363676653</c:v>
                </c:pt>
                <c:pt idx="328">
                  <c:v>1.1075497034982771</c:v>
                </c:pt>
                <c:pt idx="329">
                  <c:v>1.1052983165166803</c:v>
                </c:pt>
                <c:pt idx="330">
                  <c:v>1.1130373016440405</c:v>
                </c:pt>
                <c:pt idx="331">
                  <c:v>1.1195272030718628</c:v>
                </c:pt>
                <c:pt idx="332">
                  <c:v>1.1265167060155976</c:v>
                </c:pt>
                <c:pt idx="333">
                  <c:v>1.1059910370630617</c:v>
                </c:pt>
                <c:pt idx="334">
                  <c:v>1.1203645639305759</c:v>
                </c:pt>
                <c:pt idx="335">
                  <c:v>1.1313602570798682</c:v>
                </c:pt>
                <c:pt idx="336">
                  <c:v>1.1206796835679689</c:v>
                </c:pt>
                <c:pt idx="337">
                  <c:v>1.1253206806941551</c:v>
                </c:pt>
                <c:pt idx="338">
                  <c:v>1.124727063125543</c:v>
                </c:pt>
                <c:pt idx="339">
                  <c:v>1.124856195693881</c:v>
                </c:pt>
                <c:pt idx="340">
                  <c:v>1.1236341995698391</c:v>
                </c:pt>
                <c:pt idx="341">
                  <c:v>1.1248690603501104</c:v>
                </c:pt>
                <c:pt idx="342">
                  <c:v>1.1210588644870181</c:v>
                </c:pt>
                <c:pt idx="343">
                  <c:v>1.122181973708837</c:v>
                </c:pt>
                <c:pt idx="344">
                  <c:v>1.1060195217699436</c:v>
                </c:pt>
                <c:pt idx="345">
                  <c:v>1.107358901018344</c:v>
                </c:pt>
                <c:pt idx="346">
                  <c:v>1.0924556359228577</c:v>
                </c:pt>
                <c:pt idx="347">
                  <c:v>1.103663000803581</c:v>
                </c:pt>
                <c:pt idx="348">
                  <c:v>1.1176533762252678</c:v>
                </c:pt>
                <c:pt idx="349">
                  <c:v>1.1208814621799661</c:v>
                </c:pt>
                <c:pt idx="350">
                  <c:v>1.1193708670226117</c:v>
                </c:pt>
                <c:pt idx="351">
                  <c:v>1.1291935963868047</c:v>
                </c:pt>
                <c:pt idx="352">
                  <c:v>1.1295412179854476</c:v>
                </c:pt>
                <c:pt idx="353">
                  <c:v>1.1306733663999076</c:v>
                </c:pt>
                <c:pt idx="354">
                  <c:v>1.1342187334088187</c:v>
                </c:pt>
                <c:pt idx="355">
                  <c:v>1.1314906661735702</c:v>
                </c:pt>
                <c:pt idx="356">
                  <c:v>1.1196168488790654</c:v>
                </c:pt>
                <c:pt idx="357">
                  <c:v>1.1244267260325533</c:v>
                </c:pt>
                <c:pt idx="358">
                  <c:v>1.1248765004511541</c:v>
                </c:pt>
                <c:pt idx="359">
                  <c:v>1.1130364672127515</c:v>
                </c:pt>
                <c:pt idx="360">
                  <c:v>1.1155905857218527</c:v>
                </c:pt>
                <c:pt idx="361">
                  <c:v>1.1175036860700125</c:v>
                </c:pt>
                <c:pt idx="362">
                  <c:v>1.1064733418136159</c:v>
                </c:pt>
                <c:pt idx="363">
                  <c:v>1.0898457699288513</c:v>
                </c:pt>
                <c:pt idx="364">
                  <c:v>1.0956711853542769</c:v>
                </c:pt>
                <c:pt idx="365">
                  <c:v>1.0970922753849028</c:v>
                </c:pt>
                <c:pt idx="366">
                  <c:v>1.0968217297656013</c:v>
                </c:pt>
                <c:pt idx="367">
                  <c:v>1.0922512554894375</c:v>
                </c:pt>
                <c:pt idx="368">
                  <c:v>1.0773984819273146</c:v>
                </c:pt>
                <c:pt idx="369">
                  <c:v>1.0821147560407054</c:v>
                </c:pt>
                <c:pt idx="370">
                  <c:v>1.0889401802207097</c:v>
                </c:pt>
                <c:pt idx="371">
                  <c:v>1.087664703157015</c:v>
                </c:pt>
                <c:pt idx="372">
                  <c:v>1.0869395917993596</c:v>
                </c:pt>
                <c:pt idx="373">
                  <c:v>1.0781211561670607</c:v>
                </c:pt>
                <c:pt idx="374">
                  <c:v>1.0700855225826573</c:v>
                </c:pt>
                <c:pt idx="375">
                  <c:v>1.073673758824411</c:v>
                </c:pt>
                <c:pt idx="376">
                  <c:v>1.055383917752365</c:v>
                </c:pt>
                <c:pt idx="377">
                  <c:v>1.0410686284981594</c:v>
                </c:pt>
                <c:pt idx="378">
                  <c:v>1.0390947442657477</c:v>
                </c:pt>
                <c:pt idx="379">
                  <c:v>1.0200191886136456</c:v>
                </c:pt>
                <c:pt idx="380">
                  <c:v>1.0187863355150506</c:v>
                </c:pt>
                <c:pt idx="381">
                  <c:v>1.0444524258319534</c:v>
                </c:pt>
                <c:pt idx="382">
                  <c:v>1.044918218903548</c:v>
                </c:pt>
                <c:pt idx="383">
                  <c:v>1.0482812034742892</c:v>
                </c:pt>
                <c:pt idx="384">
                  <c:v>1.0503298461235817</c:v>
                </c:pt>
                <c:pt idx="385">
                  <c:v>1.0626482756660935</c:v>
                </c:pt>
                <c:pt idx="386">
                  <c:v>1.0580824917569644</c:v>
                </c:pt>
                <c:pt idx="387">
                  <c:v>1.0742466575654481</c:v>
                </c:pt>
                <c:pt idx="388">
                  <c:v>1.0768077171746804</c:v>
                </c:pt>
                <c:pt idx="389">
                  <c:v>1.0681023027112415</c:v>
                </c:pt>
                <c:pt idx="390">
                  <c:v>1.0552709910427613</c:v>
                </c:pt>
                <c:pt idx="391">
                  <c:v>1.0593606469921797</c:v>
                </c:pt>
                <c:pt idx="392">
                  <c:v>1.054873603661012</c:v>
                </c:pt>
                <c:pt idx="393">
                  <c:v>1.0495956486270479</c:v>
                </c:pt>
                <c:pt idx="394">
                  <c:v>1.063493209077885</c:v>
                </c:pt>
                <c:pt idx="395">
                  <c:v>1.0384101557433327</c:v>
                </c:pt>
                <c:pt idx="396">
                  <c:v>1.0537397513742501</c:v>
                </c:pt>
                <c:pt idx="397">
                  <c:v>1.0525749575884102</c:v>
                </c:pt>
                <c:pt idx="398">
                  <c:v>1.034281982987981</c:v>
                </c:pt>
                <c:pt idx="399">
                  <c:v>1.0638584295612512</c:v>
                </c:pt>
                <c:pt idx="400">
                  <c:v>1.0722500997267013</c:v>
                </c:pt>
                <c:pt idx="401">
                  <c:v>1.0716413633335038</c:v>
                </c:pt>
                <c:pt idx="402">
                  <c:v>1.0473436149286914</c:v>
                </c:pt>
                <c:pt idx="403">
                  <c:v>1.0083097558331051</c:v>
                </c:pt>
                <c:pt idx="404">
                  <c:v>1.0218317510303403</c:v>
                </c:pt>
                <c:pt idx="405">
                  <c:v>1.0612454440364414</c:v>
                </c:pt>
                <c:pt idx="406">
                  <c:v>1.0930964093594555</c:v>
                </c:pt>
                <c:pt idx="407">
                  <c:v>1.1141965794597539</c:v>
                </c:pt>
                <c:pt idx="408">
                  <c:v>1.1224514559661922</c:v>
                </c:pt>
                <c:pt idx="409">
                  <c:v>1.1250769859004146</c:v>
                </c:pt>
                <c:pt idx="410">
                  <c:v>1.1198655618794757</c:v>
                </c:pt>
                <c:pt idx="411">
                  <c:v>1.1159535980039748</c:v>
                </c:pt>
                <c:pt idx="412">
                  <c:v>1.1172288099775682</c:v>
                </c:pt>
                <c:pt idx="413">
                  <c:v>1.116278755067994</c:v>
                </c:pt>
                <c:pt idx="414">
                  <c:v>1.1258358579060987</c:v>
                </c:pt>
                <c:pt idx="415">
                  <c:v>1.1130276910914814</c:v>
                </c:pt>
                <c:pt idx="416">
                  <c:v>1.1159025739028148</c:v>
                </c:pt>
                <c:pt idx="417">
                  <c:v>1.1236555590434623</c:v>
                </c:pt>
                <c:pt idx="418">
                  <c:v>1.1205408800702514</c:v>
                </c:pt>
                <c:pt idx="419">
                  <c:v>1.1227905849911592</c:v>
                </c:pt>
                <c:pt idx="420">
                  <c:v>1.1255474718064085</c:v>
                </c:pt>
                <c:pt idx="421">
                  <c:v>1.1278189918292518</c:v>
                </c:pt>
                <c:pt idx="422">
                  <c:v>1.1277906242635218</c:v>
                </c:pt>
                <c:pt idx="423">
                  <c:v>1.1204718290885547</c:v>
                </c:pt>
                <c:pt idx="424">
                  <c:v>1.1080856746683856</c:v>
                </c:pt>
                <c:pt idx="425">
                  <c:v>1.1138606894862404</c:v>
                </c:pt>
                <c:pt idx="426">
                  <c:v>1.1245640175308262</c:v>
                </c:pt>
                <c:pt idx="427">
                  <c:v>1.1302400578100174</c:v>
                </c:pt>
                <c:pt idx="428">
                  <c:v>1.1326277678968519</c:v>
                </c:pt>
                <c:pt idx="429">
                  <c:v>1.1368894570901964</c:v>
                </c:pt>
                <c:pt idx="430">
                  <c:v>1.1361182235563017</c:v>
                </c:pt>
                <c:pt idx="431">
                  <c:v>1.1350120403342092</c:v>
                </c:pt>
                <c:pt idx="432">
                  <c:v>1.1269973597868814</c:v>
                </c:pt>
                <c:pt idx="433">
                  <c:v>1.1277323459344972</c:v>
                </c:pt>
                <c:pt idx="434">
                  <c:v>1.1232791869691749</c:v>
                </c:pt>
                <c:pt idx="435">
                  <c:v>1.1122131374727471</c:v>
                </c:pt>
                <c:pt idx="436">
                  <c:v>1.0998746526644883</c:v>
                </c:pt>
                <c:pt idx="437">
                  <c:v>1.0976124500349413</c:v>
                </c:pt>
                <c:pt idx="438">
                  <c:v>1.1142651990017407</c:v>
                </c:pt>
                <c:pt idx="439">
                  <c:v>1.1081842239542774</c:v>
                </c:pt>
                <c:pt idx="440">
                  <c:v>1.1120459805621075</c:v>
                </c:pt>
                <c:pt idx="441">
                  <c:v>1.1123540035059638</c:v>
                </c:pt>
                <c:pt idx="442">
                  <c:v>1.1054179631310717</c:v>
                </c:pt>
                <c:pt idx="443">
                  <c:v>1.1027594736555277</c:v>
                </c:pt>
                <c:pt idx="444">
                  <c:v>1.123625667265139</c:v>
                </c:pt>
                <c:pt idx="445">
                  <c:v>1.124015747213855</c:v>
                </c:pt>
                <c:pt idx="446">
                  <c:v>1.12698932126277</c:v>
                </c:pt>
                <c:pt idx="447">
                  <c:v>1.1343426182029412</c:v>
                </c:pt>
                <c:pt idx="448">
                  <c:v>1.1337067499420255</c:v>
                </c:pt>
                <c:pt idx="449">
                  <c:v>1.1276118831128232</c:v>
                </c:pt>
                <c:pt idx="450">
                  <c:v>1.132915384863231</c:v>
                </c:pt>
                <c:pt idx="451">
                  <c:v>1.1230126742005795</c:v>
                </c:pt>
                <c:pt idx="452">
                  <c:v>1.1210330330618086</c:v>
                </c:pt>
                <c:pt idx="453">
                  <c:v>1.1153431766565034</c:v>
                </c:pt>
                <c:pt idx="454">
                  <c:v>1.1199657487780179</c:v>
                </c:pt>
                <c:pt idx="455">
                  <c:v>1.1269600486611822</c:v>
                </c:pt>
                <c:pt idx="456">
                  <c:v>1.1252214223619268</c:v>
                </c:pt>
                <c:pt idx="457">
                  <c:v>1.113178997450186</c:v>
                </c:pt>
                <c:pt idx="458">
                  <c:v>1.1127606444684481</c:v>
                </c:pt>
                <c:pt idx="459">
                  <c:v>1.1192351543402428</c:v>
                </c:pt>
                <c:pt idx="460">
                  <c:v>1.120671337385521</c:v>
                </c:pt>
                <c:pt idx="461">
                  <c:v>1.1292945047421481</c:v>
                </c:pt>
                <c:pt idx="462">
                  <c:v>1.1271756339645833</c:v>
                </c:pt>
                <c:pt idx="463">
                  <c:v>1.1281842297699998</c:v>
                </c:pt>
                <c:pt idx="464">
                  <c:v>1.1261247689106608</c:v>
                </c:pt>
                <c:pt idx="465">
                  <c:v>1.1324432378555256</c:v>
                </c:pt>
                <c:pt idx="466">
                  <c:v>1.1337099985621653</c:v>
                </c:pt>
                <c:pt idx="467">
                  <c:v>1.1245473574401381</c:v>
                </c:pt>
                <c:pt idx="468">
                  <c:v>1.1348293379079344</c:v>
                </c:pt>
                <c:pt idx="469">
                  <c:v>1.1370632238523575</c:v>
                </c:pt>
                <c:pt idx="470">
                  <c:v>1.1347253496980716</c:v>
                </c:pt>
                <c:pt idx="471">
                  <c:v>1.1356558657296247</c:v>
                </c:pt>
                <c:pt idx="472">
                  <c:v>1.1362992402512879</c:v>
                </c:pt>
                <c:pt idx="473">
                  <c:v>1.1332512920614763</c:v>
                </c:pt>
                <c:pt idx="474">
                  <c:v>1.1324828785379764</c:v>
                </c:pt>
                <c:pt idx="475">
                  <c:v>1.1217035915228104</c:v>
                </c:pt>
                <c:pt idx="476">
                  <c:v>1.1220085464393088</c:v>
                </c:pt>
                <c:pt idx="477">
                  <c:v>1.1249581841540273</c:v>
                </c:pt>
                <c:pt idx="478">
                  <c:v>1.1300477449031521</c:v>
                </c:pt>
                <c:pt idx="479">
                  <c:v>1.116589843562156</c:v>
                </c:pt>
                <c:pt idx="480">
                  <c:v>1.1128160299574479</c:v>
                </c:pt>
                <c:pt idx="481">
                  <c:v>1.1172717549647575</c:v>
                </c:pt>
                <c:pt idx="482">
                  <c:v>1.1291091385032817</c:v>
                </c:pt>
                <c:pt idx="483">
                  <c:v>1.126168389894072</c:v>
                </c:pt>
                <c:pt idx="484">
                  <c:v>1.1152453883784859</c:v>
                </c:pt>
                <c:pt idx="485">
                  <c:v>1.1253742950435863</c:v>
                </c:pt>
                <c:pt idx="486">
                  <c:v>1.1291146305722499</c:v>
                </c:pt>
                <c:pt idx="487">
                  <c:v>1.1263453988251946</c:v>
                </c:pt>
                <c:pt idx="488">
                  <c:v>1.1304867128250424</c:v>
                </c:pt>
                <c:pt idx="489">
                  <c:v>1.1282339126124512</c:v>
                </c:pt>
                <c:pt idx="490">
                  <c:v>1.1258761965780146</c:v>
                </c:pt>
                <c:pt idx="491">
                  <c:v>1.1207887161620549</c:v>
                </c:pt>
                <c:pt idx="492">
                  <c:v>1.1222693213539705</c:v>
                </c:pt>
                <c:pt idx="493">
                  <c:v>1.1130341900207898</c:v>
                </c:pt>
                <c:pt idx="494">
                  <c:v>1.124345435258588</c:v>
                </c:pt>
                <c:pt idx="495">
                  <c:v>1.125123879072204</c:v>
                </c:pt>
                <c:pt idx="496">
                  <c:v>1.1199756833382934</c:v>
                </c:pt>
                <c:pt idx="497">
                  <c:v>1.1183459245837242</c:v>
                </c:pt>
                <c:pt idx="498">
                  <c:v>1.1229272051987895</c:v>
                </c:pt>
                <c:pt idx="499">
                  <c:v>1.1177243401399257</c:v>
                </c:pt>
                <c:pt idx="500">
                  <c:v>1.1132668587830723</c:v>
                </c:pt>
                <c:pt idx="501">
                  <c:v>1.1105843257604975</c:v>
                </c:pt>
                <c:pt idx="502">
                  <c:v>1.1126462297885069</c:v>
                </c:pt>
                <c:pt idx="503">
                  <c:v>1.1060374147859215</c:v>
                </c:pt>
                <c:pt idx="504">
                  <c:v>1.1025077475989904</c:v>
                </c:pt>
                <c:pt idx="505">
                  <c:v>1.106473119269773</c:v>
                </c:pt>
                <c:pt idx="506">
                  <c:v>1.1152688940070792</c:v>
                </c:pt>
                <c:pt idx="507">
                  <c:v>1.1030322491636195</c:v>
                </c:pt>
                <c:pt idx="508">
                  <c:v>1.1006636874185529</c:v>
                </c:pt>
                <c:pt idx="509">
                  <c:v>1.103041187665273</c:v>
                </c:pt>
                <c:pt idx="510">
                  <c:v>1.117600093235438</c:v>
                </c:pt>
                <c:pt idx="511">
                  <c:v>1.1237395152514209</c:v>
                </c:pt>
                <c:pt idx="512">
                  <c:v>1.1254852463974379</c:v>
                </c:pt>
                <c:pt idx="513">
                  <c:v>1.116472491789491</c:v>
                </c:pt>
                <c:pt idx="514">
                  <c:v>1.1213450709750115</c:v>
                </c:pt>
                <c:pt idx="515">
                  <c:v>1.1091866494275802</c:v>
                </c:pt>
                <c:pt idx="516">
                  <c:v>1.1125068230762574</c:v>
                </c:pt>
                <c:pt idx="517">
                  <c:v>1.098973151932642</c:v>
                </c:pt>
                <c:pt idx="518">
                  <c:v>1.1050478629845362</c:v>
                </c:pt>
                <c:pt idx="519">
                  <c:v>1.0924464233862465</c:v>
                </c:pt>
                <c:pt idx="520">
                  <c:v>1.0943641029880384</c:v>
                </c:pt>
                <c:pt idx="521">
                  <c:v>1.1113254333301854</c:v>
                </c:pt>
                <c:pt idx="522">
                  <c:v>1.1073810120790841</c:v>
                </c:pt>
                <c:pt idx="523">
                  <c:v>1.1215549585280884</c:v>
                </c:pt>
                <c:pt idx="524">
                  <c:v>1.1203588784313951</c:v>
                </c:pt>
                <c:pt idx="525">
                  <c:v>1.1247473819150289</c:v>
                </c:pt>
                <c:pt idx="526">
                  <c:v>1.1292859244063149</c:v>
                </c:pt>
                <c:pt idx="527">
                  <c:v>1.1231610049480112</c:v>
                </c:pt>
                <c:pt idx="528">
                  <c:v>1.1261173093860581</c:v>
                </c:pt>
                <c:pt idx="529">
                  <c:v>1.127593337525133</c:v>
                </c:pt>
                <c:pt idx="530">
                  <c:v>1.1283590611506529</c:v>
                </c:pt>
                <c:pt idx="531">
                  <c:v>1.1256002904279905</c:v>
                </c:pt>
                <c:pt idx="532">
                  <c:v>1.1259036297565865</c:v>
                </c:pt>
                <c:pt idx="533">
                  <c:v>1.1197770959654592</c:v>
                </c:pt>
                <c:pt idx="534">
                  <c:v>1.1208391535514817</c:v>
                </c:pt>
                <c:pt idx="535">
                  <c:v>1.1211534626501707</c:v>
                </c:pt>
                <c:pt idx="536">
                  <c:v>1.1195558880236938</c:v>
                </c:pt>
                <c:pt idx="537">
                  <c:v>1.1154811494188257</c:v>
                </c:pt>
                <c:pt idx="538">
                  <c:v>1.1058366430687561</c:v>
                </c:pt>
                <c:pt idx="539">
                  <c:v>1.1058656768538198</c:v>
                </c:pt>
                <c:pt idx="540">
                  <c:v>1.0951901156654151</c:v>
                </c:pt>
                <c:pt idx="541">
                  <c:v>1.0994373102842461</c:v>
                </c:pt>
                <c:pt idx="542">
                  <c:v>1.1028554826809436</c:v>
                </c:pt>
                <c:pt idx="543">
                  <c:v>1.0925640758805431</c:v>
                </c:pt>
                <c:pt idx="544">
                  <c:v>1.0967201218308338</c:v>
                </c:pt>
                <c:pt idx="545">
                  <c:v>1.0822806268922942</c:v>
                </c:pt>
                <c:pt idx="546">
                  <c:v>1.0693181628550688</c:v>
                </c:pt>
                <c:pt idx="547">
                  <c:v>1.0823101282230341</c:v>
                </c:pt>
                <c:pt idx="548">
                  <c:v>1.0727754428453316</c:v>
                </c:pt>
                <c:pt idx="549">
                  <c:v>1.0862710523837589</c:v>
                </c:pt>
                <c:pt idx="550">
                  <c:v>1.0996589147630753</c:v>
                </c:pt>
                <c:pt idx="551">
                  <c:v>1.0970904536771395</c:v>
                </c:pt>
                <c:pt idx="552">
                  <c:v>1.1025819761249351</c:v>
                </c:pt>
                <c:pt idx="553">
                  <c:v>1.0873122543189646</c:v>
                </c:pt>
                <c:pt idx="554">
                  <c:v>1.0825806304935213</c:v>
                </c:pt>
                <c:pt idx="555">
                  <c:v>1.0810306780656944</c:v>
                </c:pt>
                <c:pt idx="556">
                  <c:v>1.0676064786702424</c:v>
                </c:pt>
                <c:pt idx="557">
                  <c:v>1.0768543547957961</c:v>
                </c:pt>
                <c:pt idx="558">
                  <c:v>1.0826674217455798</c:v>
                </c:pt>
                <c:pt idx="559">
                  <c:v>1.0852459772435015</c:v>
                </c:pt>
                <c:pt idx="560">
                  <c:v>1.0933396624868603</c:v>
                </c:pt>
                <c:pt idx="561">
                  <c:v>1.1017434735274336</c:v>
                </c:pt>
                <c:pt idx="562">
                  <c:v>1.083855192481636</c:v>
                </c:pt>
                <c:pt idx="563">
                  <c:v>1.0722253498390608</c:v>
                </c:pt>
                <c:pt idx="564">
                  <c:v>1.0811188217091738</c:v>
                </c:pt>
                <c:pt idx="565">
                  <c:v>1.099396926798877</c:v>
                </c:pt>
                <c:pt idx="566">
                  <c:v>1.0997368903878404</c:v>
                </c:pt>
                <c:pt idx="567">
                  <c:v>1.11004774913254</c:v>
                </c:pt>
                <c:pt idx="568">
                  <c:v>1.1149363535167869</c:v>
                </c:pt>
                <c:pt idx="569">
                  <c:v>1.1140745793708711</c:v>
                </c:pt>
                <c:pt idx="570">
                  <c:v>1.1107650046656912</c:v>
                </c:pt>
                <c:pt idx="571">
                  <c:v>1.1109043011740767</c:v>
                </c:pt>
                <c:pt idx="572">
                  <c:v>1.1091579393374549</c:v>
                </c:pt>
                <c:pt idx="573">
                  <c:v>1.1053474752931087</c:v>
                </c:pt>
                <c:pt idx="574">
                  <c:v>1.1007774262974115</c:v>
                </c:pt>
                <c:pt idx="575">
                  <c:v>1.0767622219694193</c:v>
                </c:pt>
                <c:pt idx="576">
                  <c:v>1.0564098059371372</c:v>
                </c:pt>
                <c:pt idx="577">
                  <c:v>1.0648988290004981</c:v>
                </c:pt>
                <c:pt idx="578">
                  <c:v>1.071241415526732</c:v>
                </c:pt>
                <c:pt idx="579">
                  <c:v>1.0874550028631333</c:v>
                </c:pt>
                <c:pt idx="580">
                  <c:v>1.0829193138525197</c:v>
                </c:pt>
                <c:pt idx="581">
                  <c:v>1.099270282329442</c:v>
                </c:pt>
                <c:pt idx="582">
                  <c:v>1.0995081062423329</c:v>
                </c:pt>
                <c:pt idx="583">
                  <c:v>1.1067646711685784</c:v>
                </c:pt>
                <c:pt idx="584">
                  <c:v>1.1050994547847959</c:v>
                </c:pt>
                <c:pt idx="585">
                  <c:v>1.1062613508714225</c:v>
                </c:pt>
                <c:pt idx="586">
                  <c:v>1.1024966082736012</c:v>
                </c:pt>
                <c:pt idx="587">
                  <c:v>1.0961121468933401</c:v>
                </c:pt>
                <c:pt idx="588">
                  <c:v>1.1029415098124657</c:v>
                </c:pt>
                <c:pt idx="589">
                  <c:v>1.1054839367368594</c:v>
                </c:pt>
                <c:pt idx="590">
                  <c:v>1.1026779547633871</c:v>
                </c:pt>
                <c:pt idx="591">
                  <c:v>1.1038279845309067</c:v>
                </c:pt>
                <c:pt idx="592">
                  <c:v>1.1009639612694577</c:v>
                </c:pt>
                <c:pt idx="593">
                  <c:v>1.0957270839098183</c:v>
                </c:pt>
                <c:pt idx="594">
                  <c:v>1.0937599878415192</c:v>
                </c:pt>
                <c:pt idx="595">
                  <c:v>1.0952611467880262</c:v>
                </c:pt>
                <c:pt idx="596">
                  <c:v>1.0901271632493184</c:v>
                </c:pt>
                <c:pt idx="597">
                  <c:v>1.0893918042275863</c:v>
                </c:pt>
                <c:pt idx="598">
                  <c:v>1.0891515341336966</c:v>
                </c:pt>
                <c:pt idx="599">
                  <c:v>1.0886216894139615</c:v>
                </c:pt>
                <c:pt idx="600">
                  <c:v>1.0893228062372571</c:v>
                </c:pt>
                <c:pt idx="601">
                  <c:v>1.0886261120014711</c:v>
                </c:pt>
                <c:pt idx="602">
                  <c:v>1.0855059272192396</c:v>
                </c:pt>
                <c:pt idx="603">
                  <c:v>1.0851563410052913</c:v>
                </c:pt>
                <c:pt idx="604">
                  <c:v>1.0813808278261685</c:v>
                </c:pt>
                <c:pt idx="605">
                  <c:v>1.0756803307649827</c:v>
                </c:pt>
                <c:pt idx="606">
                  <c:v>1.0785101724413741</c:v>
                </c:pt>
                <c:pt idx="607">
                  <c:v>1.0786290941698611</c:v>
                </c:pt>
                <c:pt idx="608">
                  <c:v>1.0668977003321218</c:v>
                </c:pt>
                <c:pt idx="609">
                  <c:v>1.060667576387853</c:v>
                </c:pt>
                <c:pt idx="610">
                  <c:v>1.0620529318862624</c:v>
                </c:pt>
                <c:pt idx="611">
                  <c:v>1.0501138587989296</c:v>
                </c:pt>
                <c:pt idx="612">
                  <c:v>1.0516154271066946</c:v>
                </c:pt>
                <c:pt idx="613">
                  <c:v>1.0445619775927024</c:v>
                </c:pt>
                <c:pt idx="614">
                  <c:v>1.0322586004193441</c:v>
                </c:pt>
                <c:pt idx="615">
                  <c:v>1.0395579306490479</c:v>
                </c:pt>
                <c:pt idx="616">
                  <c:v>1.0199834437481097</c:v>
                </c:pt>
                <c:pt idx="617">
                  <c:v>1.0108407865428619</c:v>
                </c:pt>
                <c:pt idx="618">
                  <c:v>0.99795667915857256</c:v>
                </c:pt>
                <c:pt idx="619">
                  <c:v>0.99781170119818097</c:v>
                </c:pt>
                <c:pt idx="620">
                  <c:v>1.0059120161563295</c:v>
                </c:pt>
                <c:pt idx="621">
                  <c:v>1.0043331513453218</c:v>
                </c:pt>
                <c:pt idx="622">
                  <c:v>1.0208010810865569</c:v>
                </c:pt>
                <c:pt idx="623">
                  <c:v>1.0322520933967252</c:v>
                </c:pt>
                <c:pt idx="624">
                  <c:v>1.0529135085545445</c:v>
                </c:pt>
                <c:pt idx="625">
                  <c:v>1.0354518582940517</c:v>
                </c:pt>
                <c:pt idx="626">
                  <c:v>1.0505779109690077</c:v>
                </c:pt>
                <c:pt idx="627">
                  <c:v>1.0521430707649506</c:v>
                </c:pt>
                <c:pt idx="628">
                  <c:v>1.0409775613239882</c:v>
                </c:pt>
                <c:pt idx="629">
                  <c:v>1.0409724178620812</c:v>
                </c:pt>
                <c:pt idx="630">
                  <c:v>1.0542209789171522</c:v>
                </c:pt>
                <c:pt idx="631">
                  <c:v>1.0570069076579194</c:v>
                </c:pt>
                <c:pt idx="632">
                  <c:v>1.0595537100187249</c:v>
                </c:pt>
                <c:pt idx="633">
                  <c:v>1.0509778850726377</c:v>
                </c:pt>
                <c:pt idx="634">
                  <c:v>1.0671466576331792</c:v>
                </c:pt>
                <c:pt idx="635">
                  <c:v>1.0593141662986572</c:v>
                </c:pt>
                <c:pt idx="636">
                  <c:v>1.0650906675972227</c:v>
                </c:pt>
                <c:pt idx="637">
                  <c:v>1.0731039907208202</c:v>
                </c:pt>
                <c:pt idx="638">
                  <c:v>1.0735812603330026</c:v>
                </c:pt>
                <c:pt idx="639">
                  <c:v>1.0686900802772845</c:v>
                </c:pt>
                <c:pt idx="640">
                  <c:v>1.0673944364859944</c:v>
                </c:pt>
                <c:pt idx="641">
                  <c:v>1.0599100604811065</c:v>
                </c:pt>
                <c:pt idx="642">
                  <c:v>1.0606202118617405</c:v>
                </c:pt>
                <c:pt idx="643">
                  <c:v>1.0665827702697934</c:v>
                </c:pt>
                <c:pt idx="644">
                  <c:v>1.0657008647373549</c:v>
                </c:pt>
                <c:pt idx="645">
                  <c:v>1.0620547903196615</c:v>
                </c:pt>
                <c:pt idx="646">
                  <c:v>1.0685997995349381</c:v>
                </c:pt>
                <c:pt idx="647">
                  <c:v>1.0716729137396048</c:v>
                </c:pt>
                <c:pt idx="648">
                  <c:v>1.0666370281344495</c:v>
                </c:pt>
                <c:pt idx="649">
                  <c:v>1.0681714492650916</c:v>
                </c:pt>
                <c:pt idx="650">
                  <c:v>1.0689505900333183</c:v>
                </c:pt>
                <c:pt idx="651">
                  <c:v>1.0694946562830476</c:v>
                </c:pt>
                <c:pt idx="652">
                  <c:v>1.0661742414903335</c:v>
                </c:pt>
                <c:pt idx="653">
                  <c:v>1.0678641426004916</c:v>
                </c:pt>
                <c:pt idx="654">
                  <c:v>1.0678141556008613</c:v>
                </c:pt>
                <c:pt idx="655">
                  <c:v>1.0667630744996399</c:v>
                </c:pt>
                <c:pt idx="656">
                  <c:v>1.0619752954385389</c:v>
                </c:pt>
                <c:pt idx="657">
                  <c:v>1.0639678826637846</c:v>
                </c:pt>
                <c:pt idx="658">
                  <c:v>1.061017993173925</c:v>
                </c:pt>
                <c:pt idx="659">
                  <c:v>1.0585401802654331</c:v>
                </c:pt>
                <c:pt idx="660">
                  <c:v>1.0535395280242621</c:v>
                </c:pt>
                <c:pt idx="661">
                  <c:v>1.0450078561079876</c:v>
                </c:pt>
                <c:pt idx="662">
                  <c:v>1.0450692289722179</c:v>
                </c:pt>
                <c:pt idx="663">
                  <c:v>1.0407234149229305</c:v>
                </c:pt>
                <c:pt idx="664">
                  <c:v>1.0340162547419351</c:v>
                </c:pt>
                <c:pt idx="665">
                  <c:v>1.0356528963832976</c:v>
                </c:pt>
                <c:pt idx="666">
                  <c:v>1.0328934711979216</c:v>
                </c:pt>
                <c:pt idx="667">
                  <c:v>1.0213620685142306</c:v>
                </c:pt>
                <c:pt idx="668">
                  <c:v>1.0269186885490003</c:v>
                </c:pt>
                <c:pt idx="669">
                  <c:v>1.0269030501549652</c:v>
                </c:pt>
                <c:pt idx="670">
                  <c:v>1.0365885199597886</c:v>
                </c:pt>
                <c:pt idx="671">
                  <c:v>1.0293994875064925</c:v>
                </c:pt>
                <c:pt idx="672">
                  <c:v>1.03225860888622</c:v>
                </c:pt>
                <c:pt idx="673">
                  <c:v>1.0522578490553303</c:v>
                </c:pt>
                <c:pt idx="674">
                  <c:v>1.0521969363402945</c:v>
                </c:pt>
                <c:pt idx="675">
                  <c:v>1.0567247232765651</c:v>
                </c:pt>
                <c:pt idx="676">
                  <c:v>1.0564365685560433</c:v>
                </c:pt>
                <c:pt idx="677">
                  <c:v>1.0612857189986951</c:v>
                </c:pt>
                <c:pt idx="678">
                  <c:v>1.0607975634307218</c:v>
                </c:pt>
                <c:pt idx="679">
                  <c:v>1.059043125156977</c:v>
                </c:pt>
                <c:pt idx="680">
                  <c:v>1.0540269752327667</c:v>
                </c:pt>
                <c:pt idx="681">
                  <c:v>1.0563472257950335</c:v>
                </c:pt>
                <c:pt idx="682">
                  <c:v>1.0460822900141189</c:v>
                </c:pt>
                <c:pt idx="683">
                  <c:v>1.0579163163866605</c:v>
                </c:pt>
                <c:pt idx="684">
                  <c:v>1.0537152314528606</c:v>
                </c:pt>
                <c:pt idx="685">
                  <c:v>1.0556473274755049</c:v>
                </c:pt>
                <c:pt idx="686">
                  <c:v>1.0508037741271861</c:v>
                </c:pt>
                <c:pt idx="687">
                  <c:v>1.0493328516764204</c:v>
                </c:pt>
                <c:pt idx="688">
                  <c:v>1.0534639233763476</c:v>
                </c:pt>
                <c:pt idx="689">
                  <c:v>1.0488196555460028</c:v>
                </c:pt>
                <c:pt idx="690">
                  <c:v>1.0558684573212556</c:v>
                </c:pt>
                <c:pt idx="691">
                  <c:v>1.0597919791761028</c:v>
                </c:pt>
                <c:pt idx="692">
                  <c:v>1.0543124712062668</c:v>
                </c:pt>
                <c:pt idx="693">
                  <c:v>1.0536536581219338</c:v>
                </c:pt>
                <c:pt idx="694">
                  <c:v>1.0469758875880906</c:v>
                </c:pt>
                <c:pt idx="695">
                  <c:v>1.0473481445512709</c:v>
                </c:pt>
                <c:pt idx="696">
                  <c:v>1.0454372760462407</c:v>
                </c:pt>
                <c:pt idx="697">
                  <c:v>1.0466161597407044</c:v>
                </c:pt>
                <c:pt idx="698">
                  <c:v>1.0417186484339473</c:v>
                </c:pt>
                <c:pt idx="699">
                  <c:v>1.0481539591154019</c:v>
                </c:pt>
                <c:pt idx="700">
                  <c:v>1.048286423313572</c:v>
                </c:pt>
                <c:pt idx="701">
                  <c:v>1.0465563648110094</c:v>
                </c:pt>
                <c:pt idx="702">
                  <c:v>1.0452788862340441</c:v>
                </c:pt>
                <c:pt idx="703">
                  <c:v>1.0375600050466081</c:v>
                </c:pt>
                <c:pt idx="704">
                  <c:v>1.0353874359536277</c:v>
                </c:pt>
                <c:pt idx="705">
                  <c:v>1.0345507308406452</c:v>
                </c:pt>
                <c:pt idx="706">
                  <c:v>1.0314161690555561</c:v>
                </c:pt>
                <c:pt idx="707">
                  <c:v>1.0385050629197492</c:v>
                </c:pt>
                <c:pt idx="708">
                  <c:v>1.0420421037401633</c:v>
                </c:pt>
                <c:pt idx="709">
                  <c:v>1.0422880876353087</c:v>
                </c:pt>
                <c:pt idx="710">
                  <c:v>1.0413493159596545</c:v>
                </c:pt>
                <c:pt idx="711">
                  <c:v>1.0367215575000714</c:v>
                </c:pt>
                <c:pt idx="712">
                  <c:v>1.0301962779352782</c:v>
                </c:pt>
                <c:pt idx="713">
                  <c:v>1.0283046142036665</c:v>
                </c:pt>
                <c:pt idx="714">
                  <c:v>1.0286838310283428</c:v>
                </c:pt>
                <c:pt idx="715">
                  <c:v>1.027956004622596</c:v>
                </c:pt>
                <c:pt idx="716">
                  <c:v>1.0261123266870775</c:v>
                </c:pt>
                <c:pt idx="717">
                  <c:v>1.0207452164207884</c:v>
                </c:pt>
                <c:pt idx="718">
                  <c:v>1.0218592881930588</c:v>
                </c:pt>
                <c:pt idx="719">
                  <c:v>1.0158714822513721</c:v>
                </c:pt>
                <c:pt idx="720">
                  <c:v>1.0116230904276458</c:v>
                </c:pt>
                <c:pt idx="721">
                  <c:v>1.0092608605205493</c:v>
                </c:pt>
                <c:pt idx="722">
                  <c:v>1.001144761698388</c:v>
                </c:pt>
                <c:pt idx="723">
                  <c:v>1.007643159796044</c:v>
                </c:pt>
                <c:pt idx="724">
                  <c:v>1.0037983731465219</c:v>
                </c:pt>
                <c:pt idx="725">
                  <c:v>1.0000514083498107</c:v>
                </c:pt>
                <c:pt idx="726">
                  <c:v>1.0094132150081681</c:v>
                </c:pt>
                <c:pt idx="727">
                  <c:v>1.0141142201626381</c:v>
                </c:pt>
                <c:pt idx="728">
                  <c:v>1.01369246233179</c:v>
                </c:pt>
                <c:pt idx="729">
                  <c:v>1.0040197246963323</c:v>
                </c:pt>
                <c:pt idx="730">
                  <c:v>1.0025002485776933</c:v>
                </c:pt>
                <c:pt idx="731">
                  <c:v>1.0038738734937418</c:v>
                </c:pt>
                <c:pt idx="732">
                  <c:v>0.99825740519930917</c:v>
                </c:pt>
                <c:pt idx="733">
                  <c:v>1.0072457971078734</c:v>
                </c:pt>
                <c:pt idx="734">
                  <c:v>1.0053745812643256</c:v>
                </c:pt>
                <c:pt idx="735">
                  <c:v>1.0067230262906484</c:v>
                </c:pt>
                <c:pt idx="736">
                  <c:v>1.0068662875274221</c:v>
                </c:pt>
                <c:pt idx="737">
                  <c:v>1.0038742706125836</c:v>
                </c:pt>
                <c:pt idx="738">
                  <c:v>0.99911351372790802</c:v>
                </c:pt>
                <c:pt idx="739">
                  <c:v>0.99587747749181543</c:v>
                </c:pt>
                <c:pt idx="740">
                  <c:v>1.003973868505089</c:v>
                </c:pt>
                <c:pt idx="741">
                  <c:v>1.0022569083132111</c:v>
                </c:pt>
                <c:pt idx="742">
                  <c:v>1.0044702220806276</c:v>
                </c:pt>
                <c:pt idx="743">
                  <c:v>1.0003780831522622</c:v>
                </c:pt>
                <c:pt idx="744">
                  <c:v>0.99660295963530221</c:v>
                </c:pt>
                <c:pt idx="745">
                  <c:v>0.9952391067216988</c:v>
                </c:pt>
                <c:pt idx="746">
                  <c:v>0.98475061568556732</c:v>
                </c:pt>
                <c:pt idx="747">
                  <c:v>0.97799330795679951</c:v>
                </c:pt>
                <c:pt idx="748">
                  <c:v>0.96977602169933275</c:v>
                </c:pt>
                <c:pt idx="749">
                  <c:v>0.97926279555394791</c:v>
                </c:pt>
                <c:pt idx="750">
                  <c:v>1.0001475912852456</c:v>
                </c:pt>
                <c:pt idx="751">
                  <c:v>0.9892293784589371</c:v>
                </c:pt>
                <c:pt idx="752">
                  <c:v>0.98547882462068515</c:v>
                </c:pt>
                <c:pt idx="753">
                  <c:v>0.99622893714367533</c:v>
                </c:pt>
                <c:pt idx="754">
                  <c:v>1.0087662252990643</c:v>
                </c:pt>
                <c:pt idx="755">
                  <c:v>1.0098926751234683</c:v>
                </c:pt>
                <c:pt idx="756">
                  <c:v>1.0070393487504075</c:v>
                </c:pt>
                <c:pt idx="757">
                  <c:v>1</c:v>
                </c:pt>
              </c:numCache>
            </c:numRef>
          </c:val>
          <c:smooth val="0"/>
          <c:extLst>
            <c:ext xmlns:c16="http://schemas.microsoft.com/office/drawing/2014/chart" uri="{C3380CC4-5D6E-409C-BE32-E72D297353CC}">
              <c16:uniqueId val="{00000001-A7E4-430C-9E3D-D851F3DD4F29}"/>
            </c:ext>
          </c:extLst>
        </c:ser>
        <c:ser>
          <c:idx val="2"/>
          <c:order val="2"/>
          <c:tx>
            <c:strRef>
              <c:f>Exhibits!$EG$28</c:f>
              <c:strCache>
                <c:ptCount val="1"/>
                <c:pt idx="0">
                  <c:v>Key Dates</c:v>
                </c:pt>
              </c:strCache>
            </c:strRef>
          </c:tx>
          <c:spPr>
            <a:ln w="28575" cap="rnd">
              <a:noFill/>
              <a:round/>
            </a:ln>
            <a:effectLst/>
          </c:spPr>
          <c:marker>
            <c:symbol val="diamond"/>
            <c:size val="6"/>
            <c:spPr>
              <a:solidFill>
                <a:schemeClr val="accent4"/>
              </a:solidFill>
              <a:ln w="9525">
                <a:noFill/>
              </a:ln>
              <a:effectLst/>
            </c:spPr>
          </c:marker>
          <c:dLbls>
            <c:dLbl>
              <c:idx val="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A7E4-430C-9E3D-D851F3DD4F29}"/>
                </c:ext>
              </c:extLst>
            </c:dLbl>
            <c:dLbl>
              <c:idx val="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A7E4-430C-9E3D-D851F3DD4F29}"/>
                </c:ext>
              </c:extLst>
            </c:dLbl>
            <c:dLbl>
              <c:idx val="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A7E4-430C-9E3D-D851F3DD4F29}"/>
                </c:ext>
              </c:extLst>
            </c:dLbl>
            <c:dLbl>
              <c:idx val="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7E4-430C-9E3D-D851F3DD4F29}"/>
                </c:ext>
              </c:extLst>
            </c:dLbl>
            <c:dLbl>
              <c:idx val="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A7E4-430C-9E3D-D851F3DD4F29}"/>
                </c:ext>
              </c:extLst>
            </c:dLbl>
            <c:dLbl>
              <c:idx val="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7E4-430C-9E3D-D851F3DD4F29}"/>
                </c:ext>
              </c:extLst>
            </c:dLbl>
            <c:dLbl>
              <c:idx val="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7E4-430C-9E3D-D851F3DD4F29}"/>
                </c:ext>
              </c:extLst>
            </c:dLbl>
            <c:dLbl>
              <c:idx val="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7E4-430C-9E3D-D851F3DD4F29}"/>
                </c:ext>
              </c:extLst>
            </c:dLbl>
            <c:dLbl>
              <c:idx val="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A7E4-430C-9E3D-D851F3DD4F29}"/>
                </c:ext>
              </c:extLst>
            </c:dLbl>
            <c:dLbl>
              <c:idx val="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A7E4-430C-9E3D-D851F3DD4F29}"/>
                </c:ext>
              </c:extLst>
            </c:dLbl>
            <c:dLbl>
              <c:idx val="1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A7E4-430C-9E3D-D851F3DD4F29}"/>
                </c:ext>
              </c:extLst>
            </c:dLbl>
            <c:dLbl>
              <c:idx val="1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A7E4-430C-9E3D-D851F3DD4F29}"/>
                </c:ext>
              </c:extLst>
            </c:dLbl>
            <c:dLbl>
              <c:idx val="1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A7E4-430C-9E3D-D851F3DD4F29}"/>
                </c:ext>
              </c:extLst>
            </c:dLbl>
            <c:dLbl>
              <c:idx val="1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A7E4-430C-9E3D-D851F3DD4F29}"/>
                </c:ext>
              </c:extLst>
            </c:dLbl>
            <c:dLbl>
              <c:idx val="1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A7E4-430C-9E3D-D851F3DD4F29}"/>
                </c:ext>
              </c:extLst>
            </c:dLbl>
            <c:dLbl>
              <c:idx val="1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A7E4-430C-9E3D-D851F3DD4F29}"/>
                </c:ext>
              </c:extLst>
            </c:dLbl>
            <c:dLbl>
              <c:idx val="1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A7E4-430C-9E3D-D851F3DD4F29}"/>
                </c:ext>
              </c:extLst>
            </c:dLbl>
            <c:dLbl>
              <c:idx val="1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A7E4-430C-9E3D-D851F3DD4F29}"/>
                </c:ext>
              </c:extLst>
            </c:dLbl>
            <c:dLbl>
              <c:idx val="1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7E4-430C-9E3D-D851F3DD4F29}"/>
                </c:ext>
              </c:extLst>
            </c:dLbl>
            <c:dLbl>
              <c:idx val="1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A7E4-430C-9E3D-D851F3DD4F29}"/>
                </c:ext>
              </c:extLst>
            </c:dLbl>
            <c:dLbl>
              <c:idx val="2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A7E4-430C-9E3D-D851F3DD4F29}"/>
                </c:ext>
              </c:extLst>
            </c:dLbl>
            <c:dLbl>
              <c:idx val="2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A7E4-430C-9E3D-D851F3DD4F29}"/>
                </c:ext>
              </c:extLst>
            </c:dLbl>
            <c:dLbl>
              <c:idx val="2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8-A7E4-430C-9E3D-D851F3DD4F29}"/>
                </c:ext>
              </c:extLst>
            </c:dLbl>
            <c:dLbl>
              <c:idx val="2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9-A7E4-430C-9E3D-D851F3DD4F29}"/>
                </c:ext>
              </c:extLst>
            </c:dLbl>
            <c:dLbl>
              <c:idx val="2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A-A7E4-430C-9E3D-D851F3DD4F29}"/>
                </c:ext>
              </c:extLst>
            </c:dLbl>
            <c:dLbl>
              <c:idx val="2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B-A7E4-430C-9E3D-D851F3DD4F29}"/>
                </c:ext>
              </c:extLst>
            </c:dLbl>
            <c:dLbl>
              <c:idx val="2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C-A7E4-430C-9E3D-D851F3DD4F29}"/>
                </c:ext>
              </c:extLst>
            </c:dLbl>
            <c:dLbl>
              <c:idx val="2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D-A7E4-430C-9E3D-D851F3DD4F29}"/>
                </c:ext>
              </c:extLst>
            </c:dLbl>
            <c:dLbl>
              <c:idx val="2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E-A7E4-430C-9E3D-D851F3DD4F29}"/>
                </c:ext>
              </c:extLst>
            </c:dLbl>
            <c:dLbl>
              <c:idx val="2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F-A7E4-430C-9E3D-D851F3DD4F29}"/>
                </c:ext>
              </c:extLst>
            </c:dLbl>
            <c:dLbl>
              <c:idx val="3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0-A7E4-430C-9E3D-D851F3DD4F29}"/>
                </c:ext>
              </c:extLst>
            </c:dLbl>
            <c:dLbl>
              <c:idx val="3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1-A7E4-430C-9E3D-D851F3DD4F29}"/>
                </c:ext>
              </c:extLst>
            </c:dLbl>
            <c:dLbl>
              <c:idx val="3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2-A7E4-430C-9E3D-D851F3DD4F29}"/>
                </c:ext>
              </c:extLst>
            </c:dLbl>
            <c:dLbl>
              <c:idx val="3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3-A7E4-430C-9E3D-D851F3DD4F29}"/>
                </c:ext>
              </c:extLst>
            </c:dLbl>
            <c:dLbl>
              <c:idx val="3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4-A7E4-430C-9E3D-D851F3DD4F29}"/>
                </c:ext>
              </c:extLst>
            </c:dLbl>
            <c:dLbl>
              <c:idx val="3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5-A7E4-430C-9E3D-D851F3DD4F29}"/>
                </c:ext>
              </c:extLst>
            </c:dLbl>
            <c:dLbl>
              <c:idx val="3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6-A7E4-430C-9E3D-D851F3DD4F29}"/>
                </c:ext>
              </c:extLst>
            </c:dLbl>
            <c:dLbl>
              <c:idx val="3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7-A7E4-430C-9E3D-D851F3DD4F29}"/>
                </c:ext>
              </c:extLst>
            </c:dLbl>
            <c:dLbl>
              <c:idx val="3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8-A7E4-430C-9E3D-D851F3DD4F29}"/>
                </c:ext>
              </c:extLst>
            </c:dLbl>
            <c:dLbl>
              <c:idx val="3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9-A7E4-430C-9E3D-D851F3DD4F29}"/>
                </c:ext>
              </c:extLst>
            </c:dLbl>
            <c:dLbl>
              <c:idx val="4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A-A7E4-430C-9E3D-D851F3DD4F29}"/>
                </c:ext>
              </c:extLst>
            </c:dLbl>
            <c:dLbl>
              <c:idx val="4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B-A7E4-430C-9E3D-D851F3DD4F29}"/>
                </c:ext>
              </c:extLst>
            </c:dLbl>
            <c:dLbl>
              <c:idx val="4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C-A7E4-430C-9E3D-D851F3DD4F29}"/>
                </c:ext>
              </c:extLst>
            </c:dLbl>
            <c:dLbl>
              <c:idx val="4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D-A7E4-430C-9E3D-D851F3DD4F29}"/>
                </c:ext>
              </c:extLst>
            </c:dLbl>
            <c:dLbl>
              <c:idx val="4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E-A7E4-430C-9E3D-D851F3DD4F29}"/>
                </c:ext>
              </c:extLst>
            </c:dLbl>
            <c:dLbl>
              <c:idx val="4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F-A7E4-430C-9E3D-D851F3DD4F29}"/>
                </c:ext>
              </c:extLst>
            </c:dLbl>
            <c:dLbl>
              <c:idx val="4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0-A7E4-430C-9E3D-D851F3DD4F29}"/>
                </c:ext>
              </c:extLst>
            </c:dLbl>
            <c:dLbl>
              <c:idx val="4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1-A7E4-430C-9E3D-D851F3DD4F29}"/>
                </c:ext>
              </c:extLst>
            </c:dLbl>
            <c:dLbl>
              <c:idx val="4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2-A7E4-430C-9E3D-D851F3DD4F29}"/>
                </c:ext>
              </c:extLst>
            </c:dLbl>
            <c:dLbl>
              <c:idx val="4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3-A7E4-430C-9E3D-D851F3DD4F29}"/>
                </c:ext>
              </c:extLst>
            </c:dLbl>
            <c:dLbl>
              <c:idx val="5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4-A7E4-430C-9E3D-D851F3DD4F29}"/>
                </c:ext>
              </c:extLst>
            </c:dLbl>
            <c:dLbl>
              <c:idx val="5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5-A7E4-430C-9E3D-D851F3DD4F29}"/>
                </c:ext>
              </c:extLst>
            </c:dLbl>
            <c:dLbl>
              <c:idx val="5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6-A7E4-430C-9E3D-D851F3DD4F29}"/>
                </c:ext>
              </c:extLst>
            </c:dLbl>
            <c:dLbl>
              <c:idx val="5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7-A7E4-430C-9E3D-D851F3DD4F29}"/>
                </c:ext>
              </c:extLst>
            </c:dLbl>
            <c:dLbl>
              <c:idx val="5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8-A7E4-430C-9E3D-D851F3DD4F29}"/>
                </c:ext>
              </c:extLst>
            </c:dLbl>
            <c:dLbl>
              <c:idx val="5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9-A7E4-430C-9E3D-D851F3DD4F29}"/>
                </c:ext>
              </c:extLst>
            </c:dLbl>
            <c:dLbl>
              <c:idx val="5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A-A7E4-430C-9E3D-D851F3DD4F29}"/>
                </c:ext>
              </c:extLst>
            </c:dLbl>
            <c:dLbl>
              <c:idx val="5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B-A7E4-430C-9E3D-D851F3DD4F29}"/>
                </c:ext>
              </c:extLst>
            </c:dLbl>
            <c:dLbl>
              <c:idx val="5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C-A7E4-430C-9E3D-D851F3DD4F29}"/>
                </c:ext>
              </c:extLst>
            </c:dLbl>
            <c:dLbl>
              <c:idx val="5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D-A7E4-430C-9E3D-D851F3DD4F29}"/>
                </c:ext>
              </c:extLst>
            </c:dLbl>
            <c:dLbl>
              <c:idx val="6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E-A7E4-430C-9E3D-D851F3DD4F29}"/>
                </c:ext>
              </c:extLst>
            </c:dLbl>
            <c:dLbl>
              <c:idx val="6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F-A7E4-430C-9E3D-D851F3DD4F29}"/>
                </c:ext>
              </c:extLst>
            </c:dLbl>
            <c:dLbl>
              <c:idx val="6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0-A7E4-430C-9E3D-D851F3DD4F29}"/>
                </c:ext>
              </c:extLst>
            </c:dLbl>
            <c:dLbl>
              <c:idx val="63"/>
              <c:layout>
                <c:manualLayout>
                  <c:x val="3.3486572645698286E-2"/>
                  <c:y val="8.5161817578328747E-2"/>
                </c:manualLayout>
              </c:layout>
              <c:tx>
                <c:strRef>
                  <c:f>Exhibits!$EH$796</c:f>
                  <c:strCache>
                    <c:ptCount val="1"/>
                  </c:strCache>
                </c:strRef>
              </c:tx>
              <c:dLblPos val="r"/>
              <c:showLegendKey val="0"/>
              <c:showVal val="1"/>
              <c:showCatName val="0"/>
              <c:showSerName val="0"/>
              <c:showPercent val="0"/>
              <c:showBubbleSize val="0"/>
              <c:extLst>
                <c:ext xmlns:c15="http://schemas.microsoft.com/office/drawing/2012/chart" uri="{CE6537A1-D6FC-4f65-9D91-7224C49458BB}">
                  <c15:layout>
                    <c:manualLayout>
                      <c:w val="0.24690170940170941"/>
                      <c:h val="0.10197663593332884"/>
                    </c:manualLayout>
                  </c15:layout>
                  <c15:dlblFieldTable>
                    <c15:dlblFTEntry>
                      <c15:txfldGUID>{E512D2BD-1C8B-4B21-B7BF-63157C50A813}</c15:txfldGUID>
                      <c15:f>Exhibits!$EH$796</c15:f>
                      <c15:dlblFieldTableCache>
                        <c:ptCount val="1"/>
                      </c15:dlblFieldTableCache>
                    </c15:dlblFTEntry>
                  </c15:dlblFieldTable>
                  <c15:showDataLabelsRange val="0"/>
                </c:ext>
                <c:ext xmlns:c16="http://schemas.microsoft.com/office/drawing/2014/chart" uri="{C3380CC4-5D6E-409C-BE32-E72D297353CC}">
                  <c16:uniqueId val="{00000041-A7E4-430C-9E3D-D851F3DD4F29}"/>
                </c:ext>
              </c:extLst>
            </c:dLbl>
            <c:dLbl>
              <c:idx val="6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2-A7E4-430C-9E3D-D851F3DD4F29}"/>
                </c:ext>
              </c:extLst>
            </c:dLbl>
            <c:dLbl>
              <c:idx val="6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3-A7E4-430C-9E3D-D851F3DD4F29}"/>
                </c:ext>
              </c:extLst>
            </c:dLbl>
            <c:dLbl>
              <c:idx val="6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4-A7E4-430C-9E3D-D851F3DD4F29}"/>
                </c:ext>
              </c:extLst>
            </c:dLbl>
            <c:dLbl>
              <c:idx val="6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5-A7E4-430C-9E3D-D851F3DD4F29}"/>
                </c:ext>
              </c:extLst>
            </c:dLbl>
            <c:dLbl>
              <c:idx val="6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6-A7E4-430C-9E3D-D851F3DD4F29}"/>
                </c:ext>
              </c:extLst>
            </c:dLbl>
            <c:dLbl>
              <c:idx val="6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7-A7E4-430C-9E3D-D851F3DD4F29}"/>
                </c:ext>
              </c:extLst>
            </c:dLbl>
            <c:dLbl>
              <c:idx val="7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8-A7E4-430C-9E3D-D851F3DD4F29}"/>
                </c:ext>
              </c:extLst>
            </c:dLbl>
            <c:dLbl>
              <c:idx val="7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9-A7E4-430C-9E3D-D851F3DD4F29}"/>
                </c:ext>
              </c:extLst>
            </c:dLbl>
            <c:dLbl>
              <c:idx val="7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A-A7E4-430C-9E3D-D851F3DD4F29}"/>
                </c:ext>
              </c:extLst>
            </c:dLbl>
            <c:dLbl>
              <c:idx val="7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B-A7E4-430C-9E3D-D851F3DD4F29}"/>
                </c:ext>
              </c:extLst>
            </c:dLbl>
            <c:dLbl>
              <c:idx val="7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C-A7E4-430C-9E3D-D851F3DD4F29}"/>
                </c:ext>
              </c:extLst>
            </c:dLbl>
            <c:dLbl>
              <c:idx val="7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D-A7E4-430C-9E3D-D851F3DD4F29}"/>
                </c:ext>
              </c:extLst>
            </c:dLbl>
            <c:dLbl>
              <c:idx val="7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E-A7E4-430C-9E3D-D851F3DD4F29}"/>
                </c:ext>
              </c:extLst>
            </c:dLbl>
            <c:dLbl>
              <c:idx val="7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F-A7E4-430C-9E3D-D851F3DD4F29}"/>
                </c:ext>
              </c:extLst>
            </c:dLbl>
            <c:dLbl>
              <c:idx val="7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0-A7E4-430C-9E3D-D851F3DD4F29}"/>
                </c:ext>
              </c:extLst>
            </c:dLbl>
            <c:dLbl>
              <c:idx val="7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1-A7E4-430C-9E3D-D851F3DD4F29}"/>
                </c:ext>
              </c:extLst>
            </c:dLbl>
            <c:dLbl>
              <c:idx val="8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2-A7E4-430C-9E3D-D851F3DD4F29}"/>
                </c:ext>
              </c:extLst>
            </c:dLbl>
            <c:dLbl>
              <c:idx val="8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3-A7E4-430C-9E3D-D851F3DD4F29}"/>
                </c:ext>
              </c:extLst>
            </c:dLbl>
            <c:dLbl>
              <c:idx val="8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4-A7E4-430C-9E3D-D851F3DD4F29}"/>
                </c:ext>
              </c:extLst>
            </c:dLbl>
            <c:dLbl>
              <c:idx val="8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5-A7E4-430C-9E3D-D851F3DD4F29}"/>
                </c:ext>
              </c:extLst>
            </c:dLbl>
            <c:dLbl>
              <c:idx val="8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6-A7E4-430C-9E3D-D851F3DD4F29}"/>
                </c:ext>
              </c:extLst>
            </c:dLbl>
            <c:dLbl>
              <c:idx val="8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7-A7E4-430C-9E3D-D851F3DD4F29}"/>
                </c:ext>
              </c:extLst>
            </c:dLbl>
            <c:dLbl>
              <c:idx val="8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8-A7E4-430C-9E3D-D851F3DD4F29}"/>
                </c:ext>
              </c:extLst>
            </c:dLbl>
            <c:dLbl>
              <c:idx val="8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9-A7E4-430C-9E3D-D851F3DD4F29}"/>
                </c:ext>
              </c:extLst>
            </c:dLbl>
            <c:dLbl>
              <c:idx val="8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A-A7E4-430C-9E3D-D851F3DD4F29}"/>
                </c:ext>
              </c:extLst>
            </c:dLbl>
            <c:dLbl>
              <c:idx val="8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B-A7E4-430C-9E3D-D851F3DD4F29}"/>
                </c:ext>
              </c:extLst>
            </c:dLbl>
            <c:dLbl>
              <c:idx val="9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C-A7E4-430C-9E3D-D851F3DD4F29}"/>
                </c:ext>
              </c:extLst>
            </c:dLbl>
            <c:dLbl>
              <c:idx val="9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D-A7E4-430C-9E3D-D851F3DD4F29}"/>
                </c:ext>
              </c:extLst>
            </c:dLbl>
            <c:dLbl>
              <c:idx val="9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E-A7E4-430C-9E3D-D851F3DD4F29}"/>
                </c:ext>
              </c:extLst>
            </c:dLbl>
            <c:dLbl>
              <c:idx val="9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F-A7E4-430C-9E3D-D851F3DD4F29}"/>
                </c:ext>
              </c:extLst>
            </c:dLbl>
            <c:dLbl>
              <c:idx val="9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0-A7E4-430C-9E3D-D851F3DD4F29}"/>
                </c:ext>
              </c:extLst>
            </c:dLbl>
            <c:dLbl>
              <c:idx val="9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1-A7E4-430C-9E3D-D851F3DD4F29}"/>
                </c:ext>
              </c:extLst>
            </c:dLbl>
            <c:dLbl>
              <c:idx val="9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2-A7E4-430C-9E3D-D851F3DD4F29}"/>
                </c:ext>
              </c:extLst>
            </c:dLbl>
            <c:dLbl>
              <c:idx val="9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3-A7E4-430C-9E3D-D851F3DD4F29}"/>
                </c:ext>
              </c:extLst>
            </c:dLbl>
            <c:dLbl>
              <c:idx val="9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4-A7E4-430C-9E3D-D851F3DD4F29}"/>
                </c:ext>
              </c:extLst>
            </c:dLbl>
            <c:dLbl>
              <c:idx val="9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5-A7E4-430C-9E3D-D851F3DD4F29}"/>
                </c:ext>
              </c:extLst>
            </c:dLbl>
            <c:dLbl>
              <c:idx val="10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6-A7E4-430C-9E3D-D851F3DD4F29}"/>
                </c:ext>
              </c:extLst>
            </c:dLbl>
            <c:dLbl>
              <c:idx val="10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7-A7E4-430C-9E3D-D851F3DD4F29}"/>
                </c:ext>
              </c:extLst>
            </c:dLbl>
            <c:dLbl>
              <c:idx val="10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8-A7E4-430C-9E3D-D851F3DD4F29}"/>
                </c:ext>
              </c:extLst>
            </c:dLbl>
            <c:dLbl>
              <c:idx val="10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9-A7E4-430C-9E3D-D851F3DD4F29}"/>
                </c:ext>
              </c:extLst>
            </c:dLbl>
            <c:dLbl>
              <c:idx val="10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A-A7E4-430C-9E3D-D851F3DD4F29}"/>
                </c:ext>
              </c:extLst>
            </c:dLbl>
            <c:dLbl>
              <c:idx val="10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B-A7E4-430C-9E3D-D851F3DD4F29}"/>
                </c:ext>
              </c:extLst>
            </c:dLbl>
            <c:dLbl>
              <c:idx val="10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C-A7E4-430C-9E3D-D851F3DD4F29}"/>
                </c:ext>
              </c:extLst>
            </c:dLbl>
            <c:dLbl>
              <c:idx val="10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D-A7E4-430C-9E3D-D851F3DD4F29}"/>
                </c:ext>
              </c:extLst>
            </c:dLbl>
            <c:dLbl>
              <c:idx val="10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E-A7E4-430C-9E3D-D851F3DD4F29}"/>
                </c:ext>
              </c:extLst>
            </c:dLbl>
            <c:dLbl>
              <c:idx val="10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F-A7E4-430C-9E3D-D851F3DD4F29}"/>
                </c:ext>
              </c:extLst>
            </c:dLbl>
            <c:dLbl>
              <c:idx val="11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0-A7E4-430C-9E3D-D851F3DD4F29}"/>
                </c:ext>
              </c:extLst>
            </c:dLbl>
            <c:dLbl>
              <c:idx val="11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1-A7E4-430C-9E3D-D851F3DD4F29}"/>
                </c:ext>
              </c:extLst>
            </c:dLbl>
            <c:dLbl>
              <c:idx val="112"/>
              <c:layout>
                <c:manualLayout>
                  <c:x val="-0.13061671296532595"/>
                  <c:y val="-0.17021728025939889"/>
                </c:manualLayout>
              </c:layout>
              <c:tx>
                <c:strRef>
                  <c:f>Exhibits!$EH$747</c:f>
                  <c:strCache>
                    <c:ptCount val="1"/>
                    <c:pt idx="0">
                      <c:v>Integration with Apple Pay</c:v>
                    </c:pt>
                  </c:strCache>
                </c:strRef>
              </c:tx>
              <c:spPr>
                <a:noFill/>
                <a:ln>
                  <a:noFill/>
                </a:ln>
                <a:effectLst/>
              </c:spPr>
              <c:txPr>
                <a:bodyPr rot="0" spcFirstLastPara="1" vertOverflow="clip" horzOverflow="clip" vert="horz" wrap="square" lIns="38100" tIns="19050" rIns="38100" bIns="19050" anchor="ctr" anchorCtr="0">
                  <a:noAutofit/>
                </a:bodyPr>
                <a:lstStyle/>
                <a:p>
                  <a:pPr algn="ctr">
                    <a:defRPr sz="7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0630074450758906"/>
                      <c:h val="7.906767599770341E-2"/>
                    </c:manualLayout>
                  </c15:layout>
                  <c15:dlblFieldTable>
                    <c15:dlblFTEntry>
                      <c15:txfldGUID>{3C053F83-608C-4B73-8200-C7EECC6F0E66}</c15:txfldGUID>
                      <c15:f>Exhibits!$EH$747</c15:f>
                      <c15:dlblFieldTableCache>
                        <c:ptCount val="1"/>
                        <c:pt idx="0">
                          <c:v>Integration with Apple Pay</c:v>
                        </c:pt>
                      </c15:dlblFieldTableCache>
                    </c15:dlblFTEntry>
                  </c15:dlblFieldTable>
                  <c15:showDataLabelsRange val="1"/>
                </c:ext>
                <c:ext xmlns:c16="http://schemas.microsoft.com/office/drawing/2014/chart" uri="{C3380CC4-5D6E-409C-BE32-E72D297353CC}">
                  <c16:uniqueId val="{00000072-A7E4-430C-9E3D-D851F3DD4F29}"/>
                </c:ext>
              </c:extLst>
            </c:dLbl>
            <c:dLbl>
              <c:idx val="11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3-A7E4-430C-9E3D-D851F3DD4F29}"/>
                </c:ext>
              </c:extLst>
            </c:dLbl>
            <c:dLbl>
              <c:idx val="11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4-A7E4-430C-9E3D-D851F3DD4F29}"/>
                </c:ext>
              </c:extLst>
            </c:dLbl>
            <c:dLbl>
              <c:idx val="11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5-A7E4-430C-9E3D-D851F3DD4F29}"/>
                </c:ext>
              </c:extLst>
            </c:dLbl>
            <c:dLbl>
              <c:idx val="11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6-A7E4-430C-9E3D-D851F3DD4F29}"/>
                </c:ext>
              </c:extLst>
            </c:dLbl>
            <c:dLbl>
              <c:idx val="11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7-A7E4-430C-9E3D-D851F3DD4F29}"/>
                </c:ext>
              </c:extLst>
            </c:dLbl>
            <c:dLbl>
              <c:idx val="11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8-A7E4-430C-9E3D-D851F3DD4F29}"/>
                </c:ext>
              </c:extLst>
            </c:dLbl>
            <c:dLbl>
              <c:idx val="11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9-A7E4-430C-9E3D-D851F3DD4F29}"/>
                </c:ext>
              </c:extLst>
            </c:dLbl>
            <c:dLbl>
              <c:idx val="12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A-A7E4-430C-9E3D-D851F3DD4F29}"/>
                </c:ext>
              </c:extLst>
            </c:dLbl>
            <c:dLbl>
              <c:idx val="12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B-A7E4-430C-9E3D-D851F3DD4F29}"/>
                </c:ext>
              </c:extLst>
            </c:dLbl>
            <c:dLbl>
              <c:idx val="12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C-A7E4-430C-9E3D-D851F3DD4F29}"/>
                </c:ext>
              </c:extLst>
            </c:dLbl>
            <c:dLbl>
              <c:idx val="12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D-A7E4-430C-9E3D-D851F3DD4F29}"/>
                </c:ext>
              </c:extLst>
            </c:dLbl>
            <c:dLbl>
              <c:idx val="12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E-A7E4-430C-9E3D-D851F3DD4F29}"/>
                </c:ext>
              </c:extLst>
            </c:dLbl>
            <c:dLbl>
              <c:idx val="12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7F-A7E4-430C-9E3D-D851F3DD4F29}"/>
                </c:ext>
              </c:extLst>
            </c:dLbl>
            <c:dLbl>
              <c:idx val="12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0-A7E4-430C-9E3D-D851F3DD4F29}"/>
                </c:ext>
              </c:extLst>
            </c:dLbl>
            <c:dLbl>
              <c:idx val="12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1-A7E4-430C-9E3D-D851F3DD4F29}"/>
                </c:ext>
              </c:extLst>
            </c:dLbl>
            <c:dLbl>
              <c:idx val="12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2-A7E4-430C-9E3D-D851F3DD4F29}"/>
                </c:ext>
              </c:extLst>
            </c:dLbl>
            <c:dLbl>
              <c:idx val="12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3-A7E4-430C-9E3D-D851F3DD4F29}"/>
                </c:ext>
              </c:extLst>
            </c:dLbl>
            <c:dLbl>
              <c:idx val="13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4-A7E4-430C-9E3D-D851F3DD4F29}"/>
                </c:ext>
              </c:extLst>
            </c:dLbl>
            <c:dLbl>
              <c:idx val="13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5-A7E4-430C-9E3D-D851F3DD4F29}"/>
                </c:ext>
              </c:extLst>
            </c:dLbl>
            <c:dLbl>
              <c:idx val="13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6-A7E4-430C-9E3D-D851F3DD4F29}"/>
                </c:ext>
              </c:extLst>
            </c:dLbl>
            <c:dLbl>
              <c:idx val="13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7-A7E4-430C-9E3D-D851F3DD4F29}"/>
                </c:ext>
              </c:extLst>
            </c:dLbl>
            <c:dLbl>
              <c:idx val="13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8-A7E4-430C-9E3D-D851F3DD4F29}"/>
                </c:ext>
              </c:extLst>
            </c:dLbl>
            <c:dLbl>
              <c:idx val="13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9-A7E4-430C-9E3D-D851F3DD4F29}"/>
                </c:ext>
              </c:extLst>
            </c:dLbl>
            <c:dLbl>
              <c:idx val="13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A-A7E4-430C-9E3D-D851F3DD4F29}"/>
                </c:ext>
              </c:extLst>
            </c:dLbl>
            <c:dLbl>
              <c:idx val="13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B-A7E4-430C-9E3D-D851F3DD4F29}"/>
                </c:ext>
              </c:extLst>
            </c:dLbl>
            <c:dLbl>
              <c:idx val="13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C-A7E4-430C-9E3D-D851F3DD4F29}"/>
                </c:ext>
              </c:extLst>
            </c:dLbl>
            <c:dLbl>
              <c:idx val="13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D-A7E4-430C-9E3D-D851F3DD4F29}"/>
                </c:ext>
              </c:extLst>
            </c:dLbl>
            <c:dLbl>
              <c:idx val="14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E-A7E4-430C-9E3D-D851F3DD4F29}"/>
                </c:ext>
              </c:extLst>
            </c:dLbl>
            <c:dLbl>
              <c:idx val="14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8F-A7E4-430C-9E3D-D851F3DD4F29}"/>
                </c:ext>
              </c:extLst>
            </c:dLbl>
            <c:dLbl>
              <c:idx val="14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0-A7E4-430C-9E3D-D851F3DD4F29}"/>
                </c:ext>
              </c:extLst>
            </c:dLbl>
            <c:dLbl>
              <c:idx val="14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1-A7E4-430C-9E3D-D851F3DD4F29}"/>
                </c:ext>
              </c:extLst>
            </c:dLbl>
            <c:dLbl>
              <c:idx val="14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2-A7E4-430C-9E3D-D851F3DD4F29}"/>
                </c:ext>
              </c:extLst>
            </c:dLbl>
            <c:dLbl>
              <c:idx val="14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3-A7E4-430C-9E3D-D851F3DD4F29}"/>
                </c:ext>
              </c:extLst>
            </c:dLbl>
            <c:dLbl>
              <c:idx val="14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4-A7E4-430C-9E3D-D851F3DD4F29}"/>
                </c:ext>
              </c:extLst>
            </c:dLbl>
            <c:dLbl>
              <c:idx val="14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5-A7E4-430C-9E3D-D851F3DD4F29}"/>
                </c:ext>
              </c:extLst>
            </c:dLbl>
            <c:dLbl>
              <c:idx val="14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6-A7E4-430C-9E3D-D851F3DD4F29}"/>
                </c:ext>
              </c:extLst>
            </c:dLbl>
            <c:dLbl>
              <c:idx val="14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7-A7E4-430C-9E3D-D851F3DD4F29}"/>
                </c:ext>
              </c:extLst>
            </c:dLbl>
            <c:dLbl>
              <c:idx val="15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8-A7E4-430C-9E3D-D851F3DD4F29}"/>
                </c:ext>
              </c:extLst>
            </c:dLbl>
            <c:dLbl>
              <c:idx val="15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9-A7E4-430C-9E3D-D851F3DD4F29}"/>
                </c:ext>
              </c:extLst>
            </c:dLbl>
            <c:dLbl>
              <c:idx val="15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A-A7E4-430C-9E3D-D851F3DD4F29}"/>
                </c:ext>
              </c:extLst>
            </c:dLbl>
            <c:dLbl>
              <c:idx val="15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B-A7E4-430C-9E3D-D851F3DD4F29}"/>
                </c:ext>
              </c:extLst>
            </c:dLbl>
            <c:dLbl>
              <c:idx val="15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C-A7E4-430C-9E3D-D851F3DD4F29}"/>
                </c:ext>
              </c:extLst>
            </c:dLbl>
            <c:dLbl>
              <c:idx val="15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D-A7E4-430C-9E3D-D851F3DD4F29}"/>
                </c:ext>
              </c:extLst>
            </c:dLbl>
            <c:dLbl>
              <c:idx val="15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E-A7E4-430C-9E3D-D851F3DD4F29}"/>
                </c:ext>
              </c:extLst>
            </c:dLbl>
            <c:dLbl>
              <c:idx val="15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9F-A7E4-430C-9E3D-D851F3DD4F29}"/>
                </c:ext>
              </c:extLst>
            </c:dLbl>
            <c:dLbl>
              <c:idx val="15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0-A7E4-430C-9E3D-D851F3DD4F29}"/>
                </c:ext>
              </c:extLst>
            </c:dLbl>
            <c:dLbl>
              <c:idx val="15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1-A7E4-430C-9E3D-D851F3DD4F29}"/>
                </c:ext>
              </c:extLst>
            </c:dLbl>
            <c:dLbl>
              <c:idx val="16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2-A7E4-430C-9E3D-D851F3DD4F29}"/>
                </c:ext>
              </c:extLst>
            </c:dLbl>
            <c:dLbl>
              <c:idx val="16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3-A7E4-430C-9E3D-D851F3DD4F29}"/>
                </c:ext>
              </c:extLst>
            </c:dLbl>
            <c:dLbl>
              <c:idx val="16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4-A7E4-430C-9E3D-D851F3DD4F29}"/>
                </c:ext>
              </c:extLst>
            </c:dLbl>
            <c:dLbl>
              <c:idx val="16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5-A7E4-430C-9E3D-D851F3DD4F29}"/>
                </c:ext>
              </c:extLst>
            </c:dLbl>
            <c:dLbl>
              <c:idx val="16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6-A7E4-430C-9E3D-D851F3DD4F29}"/>
                </c:ext>
              </c:extLst>
            </c:dLbl>
            <c:dLbl>
              <c:idx val="16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7-A7E4-430C-9E3D-D851F3DD4F29}"/>
                </c:ext>
              </c:extLst>
            </c:dLbl>
            <c:dLbl>
              <c:idx val="16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8-A7E4-430C-9E3D-D851F3DD4F29}"/>
                </c:ext>
              </c:extLst>
            </c:dLbl>
            <c:dLbl>
              <c:idx val="16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9-A7E4-430C-9E3D-D851F3DD4F29}"/>
                </c:ext>
              </c:extLst>
            </c:dLbl>
            <c:dLbl>
              <c:idx val="16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A-A7E4-430C-9E3D-D851F3DD4F29}"/>
                </c:ext>
              </c:extLst>
            </c:dLbl>
            <c:dLbl>
              <c:idx val="16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B-A7E4-430C-9E3D-D851F3DD4F29}"/>
                </c:ext>
              </c:extLst>
            </c:dLbl>
            <c:dLbl>
              <c:idx val="17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C-A7E4-430C-9E3D-D851F3DD4F29}"/>
                </c:ext>
              </c:extLst>
            </c:dLbl>
            <c:dLbl>
              <c:idx val="17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D-A7E4-430C-9E3D-D851F3DD4F29}"/>
                </c:ext>
              </c:extLst>
            </c:dLbl>
            <c:dLbl>
              <c:idx val="17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E-A7E4-430C-9E3D-D851F3DD4F29}"/>
                </c:ext>
              </c:extLst>
            </c:dLbl>
            <c:dLbl>
              <c:idx val="17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AF-A7E4-430C-9E3D-D851F3DD4F29}"/>
                </c:ext>
              </c:extLst>
            </c:dLbl>
            <c:dLbl>
              <c:idx val="17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0-A7E4-430C-9E3D-D851F3DD4F29}"/>
                </c:ext>
              </c:extLst>
            </c:dLbl>
            <c:dLbl>
              <c:idx val="17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1-A7E4-430C-9E3D-D851F3DD4F29}"/>
                </c:ext>
              </c:extLst>
            </c:dLbl>
            <c:dLbl>
              <c:idx val="17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2-A7E4-430C-9E3D-D851F3DD4F29}"/>
                </c:ext>
              </c:extLst>
            </c:dLbl>
            <c:dLbl>
              <c:idx val="17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3-A7E4-430C-9E3D-D851F3DD4F29}"/>
                </c:ext>
              </c:extLst>
            </c:dLbl>
            <c:dLbl>
              <c:idx val="17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4-A7E4-430C-9E3D-D851F3DD4F29}"/>
                </c:ext>
              </c:extLst>
            </c:dLbl>
            <c:dLbl>
              <c:idx val="17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5-A7E4-430C-9E3D-D851F3DD4F29}"/>
                </c:ext>
              </c:extLst>
            </c:dLbl>
            <c:dLbl>
              <c:idx val="18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6-A7E4-430C-9E3D-D851F3DD4F29}"/>
                </c:ext>
              </c:extLst>
            </c:dLbl>
            <c:dLbl>
              <c:idx val="18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7-A7E4-430C-9E3D-D851F3DD4F29}"/>
                </c:ext>
              </c:extLst>
            </c:dLbl>
            <c:dLbl>
              <c:idx val="18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8-A7E4-430C-9E3D-D851F3DD4F29}"/>
                </c:ext>
              </c:extLst>
            </c:dLbl>
            <c:dLbl>
              <c:idx val="18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9-A7E4-430C-9E3D-D851F3DD4F29}"/>
                </c:ext>
              </c:extLst>
            </c:dLbl>
            <c:dLbl>
              <c:idx val="18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A-A7E4-430C-9E3D-D851F3DD4F29}"/>
                </c:ext>
              </c:extLst>
            </c:dLbl>
            <c:dLbl>
              <c:idx val="18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B-A7E4-430C-9E3D-D851F3DD4F29}"/>
                </c:ext>
              </c:extLst>
            </c:dLbl>
            <c:dLbl>
              <c:idx val="18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C-A7E4-430C-9E3D-D851F3DD4F29}"/>
                </c:ext>
              </c:extLst>
            </c:dLbl>
            <c:dLbl>
              <c:idx val="18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D-A7E4-430C-9E3D-D851F3DD4F29}"/>
                </c:ext>
              </c:extLst>
            </c:dLbl>
            <c:dLbl>
              <c:idx val="18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E-A7E4-430C-9E3D-D851F3DD4F29}"/>
                </c:ext>
              </c:extLst>
            </c:dLbl>
            <c:dLbl>
              <c:idx val="18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BF-A7E4-430C-9E3D-D851F3DD4F29}"/>
                </c:ext>
              </c:extLst>
            </c:dLbl>
            <c:dLbl>
              <c:idx val="19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0-A7E4-430C-9E3D-D851F3DD4F29}"/>
                </c:ext>
              </c:extLst>
            </c:dLbl>
            <c:dLbl>
              <c:idx val="19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1-A7E4-430C-9E3D-D851F3DD4F29}"/>
                </c:ext>
              </c:extLst>
            </c:dLbl>
            <c:dLbl>
              <c:idx val="19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2-A7E4-430C-9E3D-D851F3DD4F29}"/>
                </c:ext>
              </c:extLst>
            </c:dLbl>
            <c:dLbl>
              <c:idx val="19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3-A7E4-430C-9E3D-D851F3DD4F29}"/>
                </c:ext>
              </c:extLst>
            </c:dLbl>
            <c:dLbl>
              <c:idx val="19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4-A7E4-430C-9E3D-D851F3DD4F29}"/>
                </c:ext>
              </c:extLst>
            </c:dLbl>
            <c:dLbl>
              <c:idx val="19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5-A7E4-430C-9E3D-D851F3DD4F29}"/>
                </c:ext>
              </c:extLst>
            </c:dLbl>
            <c:dLbl>
              <c:idx val="19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6-A7E4-430C-9E3D-D851F3DD4F29}"/>
                </c:ext>
              </c:extLst>
            </c:dLbl>
            <c:dLbl>
              <c:idx val="19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7-A7E4-430C-9E3D-D851F3DD4F29}"/>
                </c:ext>
              </c:extLst>
            </c:dLbl>
            <c:dLbl>
              <c:idx val="19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8-A7E4-430C-9E3D-D851F3DD4F29}"/>
                </c:ext>
              </c:extLst>
            </c:dLbl>
            <c:dLbl>
              <c:idx val="19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9-A7E4-430C-9E3D-D851F3DD4F29}"/>
                </c:ext>
              </c:extLst>
            </c:dLbl>
            <c:dLbl>
              <c:idx val="20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A-A7E4-430C-9E3D-D851F3DD4F29}"/>
                </c:ext>
              </c:extLst>
            </c:dLbl>
            <c:dLbl>
              <c:idx val="20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B-A7E4-430C-9E3D-D851F3DD4F29}"/>
                </c:ext>
              </c:extLst>
            </c:dLbl>
            <c:dLbl>
              <c:idx val="20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C-A7E4-430C-9E3D-D851F3DD4F29}"/>
                </c:ext>
              </c:extLst>
            </c:dLbl>
            <c:dLbl>
              <c:idx val="20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D-A7E4-430C-9E3D-D851F3DD4F29}"/>
                </c:ext>
              </c:extLst>
            </c:dLbl>
            <c:dLbl>
              <c:idx val="20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E-A7E4-430C-9E3D-D851F3DD4F29}"/>
                </c:ext>
              </c:extLst>
            </c:dLbl>
            <c:dLbl>
              <c:idx val="20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CF-A7E4-430C-9E3D-D851F3DD4F29}"/>
                </c:ext>
              </c:extLst>
            </c:dLbl>
            <c:dLbl>
              <c:idx val="20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D0-A7E4-430C-9E3D-D851F3DD4F29}"/>
                </c:ext>
              </c:extLst>
            </c:dLbl>
            <c:dLbl>
              <c:idx val="20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D1-A7E4-430C-9E3D-D851F3DD4F29}"/>
                </c:ext>
              </c:extLst>
            </c:dLbl>
            <c:dLbl>
              <c:idx val="20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D2-A7E4-430C-9E3D-D851F3DD4F29}"/>
                </c:ext>
              </c:extLst>
            </c:dLbl>
            <c:dLbl>
              <c:idx val="20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D3-A7E4-430C-9E3D-D851F3DD4F29}"/>
                </c:ext>
              </c:extLst>
            </c:dLbl>
            <c:dLbl>
              <c:idx val="21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D4-A7E4-430C-9E3D-D851F3DD4F29}"/>
                </c:ext>
              </c:extLst>
            </c:dLbl>
            <c:dLbl>
              <c:idx val="21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D5-A7E4-430C-9E3D-D851F3DD4F29}"/>
                </c:ext>
              </c:extLst>
            </c:dLbl>
            <c:dLbl>
              <c:idx val="21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D6-A7E4-430C-9E3D-D851F3DD4F29}"/>
                </c:ext>
              </c:extLst>
            </c:dLbl>
            <c:dLbl>
              <c:idx val="21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D7-A7E4-430C-9E3D-D851F3DD4F29}"/>
                </c:ext>
              </c:extLst>
            </c:dLbl>
            <c:dLbl>
              <c:idx val="21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D8-A7E4-430C-9E3D-D851F3DD4F29}"/>
                </c:ext>
              </c:extLst>
            </c:dLbl>
            <c:dLbl>
              <c:idx val="21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D9-A7E4-430C-9E3D-D851F3DD4F29}"/>
                </c:ext>
              </c:extLst>
            </c:dLbl>
            <c:dLbl>
              <c:idx val="21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DA-A7E4-430C-9E3D-D851F3DD4F29}"/>
                </c:ext>
              </c:extLst>
            </c:dLbl>
            <c:dLbl>
              <c:idx val="21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DB-A7E4-430C-9E3D-D851F3DD4F29}"/>
                </c:ext>
              </c:extLst>
            </c:dLbl>
            <c:dLbl>
              <c:idx val="21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DC-A7E4-430C-9E3D-D851F3DD4F29}"/>
                </c:ext>
              </c:extLst>
            </c:dLbl>
            <c:dLbl>
              <c:idx val="219"/>
              <c:layout>
                <c:manualLayout>
                  <c:x val="-0.18286484622114543"/>
                  <c:y val="-0.14001089429006841"/>
                </c:manualLayout>
              </c:layout>
              <c:tx>
                <c:strRef>
                  <c:f>Exhibits!$EH$640</c:f>
                  <c:strCache>
                    <c:ptCount val="1"/>
                    <c:pt idx="0">
                      <c:v>Market reaction: 4th quarter profit fell by 9%</c:v>
                    </c:pt>
                  </c:strCache>
                </c:strRef>
              </c:tx>
              <c:dLblPos val="r"/>
              <c:showLegendKey val="0"/>
              <c:showVal val="1"/>
              <c:showCatName val="0"/>
              <c:showSerName val="0"/>
              <c:showPercent val="0"/>
              <c:showBubbleSize val="0"/>
              <c:extLst>
                <c:ext xmlns:c15="http://schemas.microsoft.com/office/drawing/2012/chart" uri="{CE6537A1-D6FC-4f65-9D91-7224C49458BB}">
                  <c15:layout>
                    <c:manualLayout>
                      <c:w val="0.15785062924826701"/>
                      <c:h val="0.10812332018053662"/>
                    </c:manualLayout>
                  </c15:layout>
                  <c15:dlblFieldTable>
                    <c15:dlblFTEntry>
                      <c15:txfldGUID>{9716743A-7552-4072-91C7-AE72E9A47168}</c15:txfldGUID>
                      <c15:f>Exhibits!$EH$640</c15:f>
                      <c15:dlblFieldTableCache>
                        <c:ptCount val="1"/>
                        <c:pt idx="0">
                          <c:v>Market reaction: 4th quarter profit fell by 9%</c:v>
                        </c:pt>
                      </c15:dlblFieldTableCache>
                    </c15:dlblFTEntry>
                  </c15:dlblFieldTable>
                  <c15:showDataLabelsRange val="1"/>
                </c:ext>
                <c:ext xmlns:c16="http://schemas.microsoft.com/office/drawing/2014/chart" uri="{C3380CC4-5D6E-409C-BE32-E72D297353CC}">
                  <c16:uniqueId val="{000000DD-A7E4-430C-9E3D-D851F3DD4F29}"/>
                </c:ext>
              </c:extLst>
            </c:dLbl>
            <c:dLbl>
              <c:idx val="220"/>
              <c:layout>
                <c:manualLayout>
                  <c:x val="-0.13457264957264958"/>
                  <c:y val="-0.32051282051282054"/>
                </c:manualLayout>
              </c:layout>
              <c:tx>
                <c:strRef>
                  <c:f>Exhibits!$EH$640</c:f>
                  <c:strCache>
                    <c:ptCount val="1"/>
                    <c:pt idx="0">
                      <c:v>Market reaction: 4th quarter profit fell by 9%</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{815B51AF-44F5-43D1-B2CF-EC0931B7360F}</c15:txfldGUID>
                      <c15:f>Exhibits!$EH$640</c15:f>
                      <c15:dlblFieldTableCache>
                        <c:ptCount val="1"/>
                        <c:pt idx="0">
                          <c:v>Market reaction: 4th quarter profit fell by 9%</c:v>
                        </c:pt>
                      </c15:dlblFieldTableCache>
                    </c15:dlblFTEntry>
                  </c15:dlblFieldTable>
                  <c15:showDataLabelsRange val="1"/>
                </c:ext>
                <c:ext xmlns:c16="http://schemas.microsoft.com/office/drawing/2014/chart" uri="{C3380CC4-5D6E-409C-BE32-E72D297353CC}">
                  <c16:uniqueId val="{000000DE-A7E4-430C-9E3D-D851F3DD4F29}"/>
                </c:ext>
              </c:extLst>
            </c:dLbl>
            <c:dLbl>
              <c:idx val="22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DF-A7E4-430C-9E3D-D851F3DD4F29}"/>
                </c:ext>
              </c:extLst>
            </c:dLbl>
            <c:dLbl>
              <c:idx val="22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E0-A7E4-430C-9E3D-D851F3DD4F29}"/>
                </c:ext>
              </c:extLst>
            </c:dLbl>
            <c:dLbl>
              <c:idx val="22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E1-A7E4-430C-9E3D-D851F3DD4F29}"/>
                </c:ext>
              </c:extLst>
            </c:dLbl>
            <c:dLbl>
              <c:idx val="22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E2-A7E4-430C-9E3D-D851F3DD4F29}"/>
                </c:ext>
              </c:extLst>
            </c:dLbl>
            <c:dLbl>
              <c:idx val="22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E3-A7E4-430C-9E3D-D851F3DD4F29}"/>
                </c:ext>
              </c:extLst>
            </c:dLbl>
            <c:dLbl>
              <c:idx val="22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E4-A7E4-430C-9E3D-D851F3DD4F29}"/>
                </c:ext>
              </c:extLst>
            </c:dLbl>
            <c:dLbl>
              <c:idx val="22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E5-A7E4-430C-9E3D-D851F3DD4F29}"/>
                </c:ext>
              </c:extLst>
            </c:dLbl>
            <c:dLbl>
              <c:idx val="22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E6-A7E4-430C-9E3D-D851F3DD4F29}"/>
                </c:ext>
              </c:extLst>
            </c:dLbl>
            <c:dLbl>
              <c:idx val="22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E7-A7E4-430C-9E3D-D851F3DD4F29}"/>
                </c:ext>
              </c:extLst>
            </c:dLbl>
            <c:dLbl>
              <c:idx val="23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E8-A7E4-430C-9E3D-D851F3DD4F29}"/>
                </c:ext>
              </c:extLst>
            </c:dLbl>
            <c:dLbl>
              <c:idx val="23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E9-A7E4-430C-9E3D-D851F3DD4F29}"/>
                </c:ext>
              </c:extLst>
            </c:dLbl>
            <c:dLbl>
              <c:idx val="23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EA-A7E4-430C-9E3D-D851F3DD4F29}"/>
                </c:ext>
              </c:extLst>
            </c:dLbl>
            <c:dLbl>
              <c:idx val="23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EB-A7E4-430C-9E3D-D851F3DD4F29}"/>
                </c:ext>
              </c:extLst>
            </c:dLbl>
            <c:dLbl>
              <c:idx val="23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EC-A7E4-430C-9E3D-D851F3DD4F29}"/>
                </c:ext>
              </c:extLst>
            </c:dLbl>
            <c:dLbl>
              <c:idx val="23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ED-A7E4-430C-9E3D-D851F3DD4F29}"/>
                </c:ext>
              </c:extLst>
            </c:dLbl>
            <c:dLbl>
              <c:idx val="23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EE-A7E4-430C-9E3D-D851F3DD4F29}"/>
                </c:ext>
              </c:extLst>
            </c:dLbl>
            <c:dLbl>
              <c:idx val="23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EF-A7E4-430C-9E3D-D851F3DD4F29}"/>
                </c:ext>
              </c:extLst>
            </c:dLbl>
            <c:dLbl>
              <c:idx val="23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F0-A7E4-430C-9E3D-D851F3DD4F29}"/>
                </c:ext>
              </c:extLst>
            </c:dLbl>
            <c:dLbl>
              <c:idx val="23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F1-A7E4-430C-9E3D-D851F3DD4F29}"/>
                </c:ext>
              </c:extLst>
            </c:dLbl>
            <c:dLbl>
              <c:idx val="24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F2-A7E4-430C-9E3D-D851F3DD4F29}"/>
                </c:ext>
              </c:extLst>
            </c:dLbl>
            <c:dLbl>
              <c:idx val="24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F3-A7E4-430C-9E3D-D851F3DD4F29}"/>
                </c:ext>
              </c:extLst>
            </c:dLbl>
            <c:dLbl>
              <c:idx val="24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F4-A7E4-430C-9E3D-D851F3DD4F29}"/>
                </c:ext>
              </c:extLst>
            </c:dLbl>
            <c:dLbl>
              <c:idx val="24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F5-A7E4-430C-9E3D-D851F3DD4F29}"/>
                </c:ext>
              </c:extLst>
            </c:dLbl>
            <c:dLbl>
              <c:idx val="24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F6-A7E4-430C-9E3D-D851F3DD4F29}"/>
                </c:ext>
              </c:extLst>
            </c:dLbl>
            <c:dLbl>
              <c:idx val="24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F7-A7E4-430C-9E3D-D851F3DD4F29}"/>
                </c:ext>
              </c:extLst>
            </c:dLbl>
            <c:dLbl>
              <c:idx val="24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F8-A7E4-430C-9E3D-D851F3DD4F29}"/>
                </c:ext>
              </c:extLst>
            </c:dLbl>
            <c:dLbl>
              <c:idx val="24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F9-A7E4-430C-9E3D-D851F3DD4F29}"/>
                </c:ext>
              </c:extLst>
            </c:dLbl>
            <c:dLbl>
              <c:idx val="24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FA-A7E4-430C-9E3D-D851F3DD4F29}"/>
                </c:ext>
              </c:extLst>
            </c:dLbl>
            <c:dLbl>
              <c:idx val="24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FB-A7E4-430C-9E3D-D851F3DD4F29}"/>
                </c:ext>
              </c:extLst>
            </c:dLbl>
            <c:dLbl>
              <c:idx val="25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FC-A7E4-430C-9E3D-D851F3DD4F29}"/>
                </c:ext>
              </c:extLst>
            </c:dLbl>
            <c:dLbl>
              <c:idx val="25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FD-A7E4-430C-9E3D-D851F3DD4F29}"/>
                </c:ext>
              </c:extLst>
            </c:dLbl>
            <c:dLbl>
              <c:idx val="25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FE-A7E4-430C-9E3D-D851F3DD4F29}"/>
                </c:ext>
              </c:extLst>
            </c:dLbl>
            <c:dLbl>
              <c:idx val="25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FF-A7E4-430C-9E3D-D851F3DD4F29}"/>
                </c:ext>
              </c:extLst>
            </c:dLbl>
            <c:dLbl>
              <c:idx val="25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00-A7E4-430C-9E3D-D851F3DD4F29}"/>
                </c:ext>
              </c:extLst>
            </c:dLbl>
            <c:dLbl>
              <c:idx val="25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01-A7E4-430C-9E3D-D851F3DD4F29}"/>
                </c:ext>
              </c:extLst>
            </c:dLbl>
            <c:dLbl>
              <c:idx val="25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02-A7E4-430C-9E3D-D851F3DD4F29}"/>
                </c:ext>
              </c:extLst>
            </c:dLbl>
            <c:dLbl>
              <c:idx val="25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03-A7E4-430C-9E3D-D851F3DD4F29}"/>
                </c:ext>
              </c:extLst>
            </c:dLbl>
            <c:dLbl>
              <c:idx val="25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04-A7E4-430C-9E3D-D851F3DD4F29}"/>
                </c:ext>
              </c:extLst>
            </c:dLbl>
            <c:dLbl>
              <c:idx val="25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05-A7E4-430C-9E3D-D851F3DD4F29}"/>
                </c:ext>
              </c:extLst>
            </c:dLbl>
            <c:dLbl>
              <c:idx val="26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06-A7E4-430C-9E3D-D851F3DD4F29}"/>
                </c:ext>
              </c:extLst>
            </c:dLbl>
            <c:dLbl>
              <c:idx val="26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07-A7E4-430C-9E3D-D851F3DD4F29}"/>
                </c:ext>
              </c:extLst>
            </c:dLbl>
            <c:dLbl>
              <c:idx val="26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08-A7E4-430C-9E3D-D851F3DD4F29}"/>
                </c:ext>
              </c:extLst>
            </c:dLbl>
            <c:dLbl>
              <c:idx val="263"/>
              <c:layout>
                <c:manualLayout>
                  <c:x val="-0.22774885998640484"/>
                  <c:y val="-0.21402067098500771"/>
                </c:manualLayout>
              </c:layout>
              <c:tx>
                <c:strRef>
                  <c:f>Exhibits!$EH$596</c:f>
                  <c:strCache>
                    <c:ptCount val="1"/>
                    <c:pt idx="0">
                      <c:v>Share repurchases and intent to sell/refranchise 73 company-owned cafes announced</c:v>
                    </c:pt>
                  </c:strCache>
                </c:strRef>
              </c:tx>
              <c:dLblPos val="r"/>
              <c:showLegendKey val="0"/>
              <c:showVal val="1"/>
              <c:showCatName val="0"/>
              <c:showSerName val="0"/>
              <c:showPercent val="0"/>
              <c:showBubbleSize val="0"/>
              <c:extLst>
                <c:ext xmlns:c15="http://schemas.microsoft.com/office/drawing/2012/chart" uri="{CE6537A1-D6FC-4f65-9D91-7224C49458BB}">
                  <c15:layout>
                    <c:manualLayout>
                      <c:w val="0.2037036539237603"/>
                      <c:h val="0.13179602104891194"/>
                    </c:manualLayout>
                  </c15:layout>
                  <c15:dlblFieldTable>
                    <c15:dlblFTEntry>
                      <c15:txfldGUID>{65799CAE-6669-46D9-91A2-86D46E808F57}</c15:txfldGUID>
                      <c15:f>Exhibits!$EH$596</c15:f>
                      <c15:dlblFieldTableCache>
                        <c:ptCount val="1"/>
                        <c:pt idx="0">
                          <c:v>Share repurchases and intent to sell/refranchise 73 company-owned cafes announced</c:v>
                        </c:pt>
                      </c15:dlblFieldTableCache>
                    </c15:dlblFTEntry>
                  </c15:dlblFieldTable>
                  <c15:showDataLabelsRange val="1"/>
                </c:ext>
                <c:ext xmlns:c16="http://schemas.microsoft.com/office/drawing/2014/chart" uri="{C3380CC4-5D6E-409C-BE32-E72D297353CC}">
                  <c16:uniqueId val="{00000109-A7E4-430C-9E3D-D851F3DD4F29}"/>
                </c:ext>
              </c:extLst>
            </c:dLbl>
            <c:dLbl>
              <c:idx val="26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0A-A7E4-430C-9E3D-D851F3DD4F29}"/>
                </c:ext>
              </c:extLst>
            </c:dLbl>
            <c:dLbl>
              <c:idx val="26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0B-A7E4-430C-9E3D-D851F3DD4F29}"/>
                </c:ext>
              </c:extLst>
            </c:dLbl>
            <c:dLbl>
              <c:idx val="26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0C-A7E4-430C-9E3D-D851F3DD4F29}"/>
                </c:ext>
              </c:extLst>
            </c:dLbl>
            <c:dLbl>
              <c:idx val="26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0D-A7E4-430C-9E3D-D851F3DD4F29}"/>
                </c:ext>
              </c:extLst>
            </c:dLbl>
            <c:dLbl>
              <c:idx val="26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0E-A7E4-430C-9E3D-D851F3DD4F29}"/>
                </c:ext>
              </c:extLst>
            </c:dLbl>
            <c:dLbl>
              <c:idx val="26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0F-A7E4-430C-9E3D-D851F3DD4F29}"/>
                </c:ext>
              </c:extLst>
            </c:dLbl>
            <c:dLbl>
              <c:idx val="27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10-A7E4-430C-9E3D-D851F3DD4F29}"/>
                </c:ext>
              </c:extLst>
            </c:dLbl>
            <c:dLbl>
              <c:idx val="27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11-A7E4-430C-9E3D-D851F3DD4F29}"/>
                </c:ext>
              </c:extLst>
            </c:dLbl>
            <c:dLbl>
              <c:idx val="27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12-A7E4-430C-9E3D-D851F3DD4F29}"/>
                </c:ext>
              </c:extLst>
            </c:dLbl>
            <c:dLbl>
              <c:idx val="27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13-A7E4-430C-9E3D-D851F3DD4F29}"/>
                </c:ext>
              </c:extLst>
            </c:dLbl>
            <c:dLbl>
              <c:idx val="27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14-A7E4-430C-9E3D-D851F3DD4F29}"/>
                </c:ext>
              </c:extLst>
            </c:dLbl>
            <c:dLbl>
              <c:idx val="27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15-A7E4-430C-9E3D-D851F3DD4F29}"/>
                </c:ext>
              </c:extLst>
            </c:dLbl>
            <c:dLbl>
              <c:idx val="276"/>
              <c:layout>
                <c:manualLayout>
                  <c:x val="-1.2712197593856209E-3"/>
                  <c:y val="9.910129915137382E-2"/>
                </c:manualLayout>
              </c:layout>
              <c:tx>
                <c:strRef>
                  <c:f>Exhibits!$EH$583</c:f>
                  <c:strCache>
                    <c:ptCount val="1"/>
                    <c:pt idx="0">
                      <c:v>'No no' list of artificial additives introduced</c:v>
                    </c:pt>
                  </c:strCache>
                </c:strRef>
              </c:tx>
              <c:spPr>
                <a:noFill/>
                <a:ln>
                  <a:noFill/>
                </a:ln>
                <a:effectLst/>
              </c:spPr>
              <c:txPr>
                <a:bodyPr rot="0" spcFirstLastPara="1" vertOverflow="clip" horzOverflow="clip" vert="horz" wrap="square" lIns="38100" tIns="19050" rIns="38100" bIns="19050" anchor="ctr" anchorCtr="0">
                  <a:noAutofit/>
                </a:bodyPr>
                <a:lstStyle/>
                <a:p>
                  <a:pPr algn="ctr">
                    <a:defRPr sz="7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8235042735042731"/>
                      <c:h val="3.9494301994301997E-2"/>
                    </c:manualLayout>
                  </c15:layout>
                  <c15:dlblFieldTable>
                    <c15:dlblFTEntry>
                      <c15:txfldGUID>{649C4830-FBD7-49A1-99AB-F42760B612F8}</c15:txfldGUID>
                      <c15:f>Exhibits!$EH$583</c15:f>
                      <c15:dlblFieldTableCache>
                        <c:ptCount val="1"/>
                        <c:pt idx="0">
                          <c:v>'No no' list of artificial additives introduced</c:v>
                        </c:pt>
                      </c15:dlblFieldTableCache>
                    </c15:dlblFTEntry>
                  </c15:dlblFieldTable>
                  <c15:showDataLabelsRange val="1"/>
                </c:ext>
                <c:ext xmlns:c16="http://schemas.microsoft.com/office/drawing/2014/chart" uri="{C3380CC4-5D6E-409C-BE32-E72D297353CC}">
                  <c16:uniqueId val="{00000116-A7E4-430C-9E3D-D851F3DD4F29}"/>
                </c:ext>
              </c:extLst>
            </c:dLbl>
            <c:dLbl>
              <c:idx val="27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17-A7E4-430C-9E3D-D851F3DD4F29}"/>
                </c:ext>
              </c:extLst>
            </c:dLbl>
            <c:dLbl>
              <c:idx val="27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18-A7E4-430C-9E3D-D851F3DD4F29}"/>
                </c:ext>
              </c:extLst>
            </c:dLbl>
            <c:dLbl>
              <c:idx val="27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19-A7E4-430C-9E3D-D851F3DD4F29}"/>
                </c:ext>
              </c:extLst>
            </c:dLbl>
            <c:dLbl>
              <c:idx val="28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1A-A7E4-430C-9E3D-D851F3DD4F29}"/>
                </c:ext>
              </c:extLst>
            </c:dLbl>
            <c:dLbl>
              <c:idx val="28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1B-A7E4-430C-9E3D-D851F3DD4F29}"/>
                </c:ext>
              </c:extLst>
            </c:dLbl>
            <c:dLbl>
              <c:idx val="28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1C-A7E4-430C-9E3D-D851F3DD4F29}"/>
                </c:ext>
              </c:extLst>
            </c:dLbl>
            <c:dLbl>
              <c:idx val="28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1D-A7E4-430C-9E3D-D851F3DD4F29}"/>
                </c:ext>
              </c:extLst>
            </c:dLbl>
            <c:dLbl>
              <c:idx val="28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1E-A7E4-430C-9E3D-D851F3DD4F29}"/>
                </c:ext>
              </c:extLst>
            </c:dLbl>
            <c:dLbl>
              <c:idx val="28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1F-A7E4-430C-9E3D-D851F3DD4F29}"/>
                </c:ext>
              </c:extLst>
            </c:dLbl>
            <c:dLbl>
              <c:idx val="28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20-A7E4-430C-9E3D-D851F3DD4F29}"/>
                </c:ext>
              </c:extLst>
            </c:dLbl>
            <c:dLbl>
              <c:idx val="28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21-A7E4-430C-9E3D-D851F3DD4F29}"/>
                </c:ext>
              </c:extLst>
            </c:dLbl>
            <c:dLbl>
              <c:idx val="28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22-A7E4-430C-9E3D-D851F3DD4F29}"/>
                </c:ext>
              </c:extLst>
            </c:dLbl>
            <c:dLbl>
              <c:idx val="28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23-A7E4-430C-9E3D-D851F3DD4F29}"/>
                </c:ext>
              </c:extLst>
            </c:dLbl>
            <c:dLbl>
              <c:idx val="29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24-A7E4-430C-9E3D-D851F3DD4F29}"/>
                </c:ext>
              </c:extLst>
            </c:dLbl>
            <c:dLbl>
              <c:idx val="29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25-A7E4-430C-9E3D-D851F3DD4F29}"/>
                </c:ext>
              </c:extLst>
            </c:dLbl>
            <c:dLbl>
              <c:idx val="29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26-A7E4-430C-9E3D-D851F3DD4F29}"/>
                </c:ext>
              </c:extLst>
            </c:dLbl>
            <c:dLbl>
              <c:idx val="29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27-A7E4-430C-9E3D-D851F3DD4F29}"/>
                </c:ext>
              </c:extLst>
            </c:dLbl>
            <c:dLbl>
              <c:idx val="29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28-A7E4-430C-9E3D-D851F3DD4F29}"/>
                </c:ext>
              </c:extLst>
            </c:dLbl>
            <c:dLbl>
              <c:idx val="29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29-A7E4-430C-9E3D-D851F3DD4F29}"/>
                </c:ext>
              </c:extLst>
            </c:dLbl>
            <c:dLbl>
              <c:idx val="29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2A-A7E4-430C-9E3D-D851F3DD4F29}"/>
                </c:ext>
              </c:extLst>
            </c:dLbl>
            <c:dLbl>
              <c:idx val="29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2B-A7E4-430C-9E3D-D851F3DD4F29}"/>
                </c:ext>
              </c:extLst>
            </c:dLbl>
            <c:dLbl>
              <c:idx val="29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2C-A7E4-430C-9E3D-D851F3DD4F29}"/>
                </c:ext>
              </c:extLst>
            </c:dLbl>
            <c:dLbl>
              <c:idx val="29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2D-A7E4-430C-9E3D-D851F3DD4F29}"/>
                </c:ext>
              </c:extLst>
            </c:dLbl>
            <c:dLbl>
              <c:idx val="30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2E-A7E4-430C-9E3D-D851F3DD4F29}"/>
                </c:ext>
              </c:extLst>
            </c:dLbl>
            <c:dLbl>
              <c:idx val="30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2F-A7E4-430C-9E3D-D851F3DD4F29}"/>
                </c:ext>
              </c:extLst>
            </c:dLbl>
            <c:dLbl>
              <c:idx val="30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30-A7E4-430C-9E3D-D851F3DD4F29}"/>
                </c:ext>
              </c:extLst>
            </c:dLbl>
            <c:dLbl>
              <c:idx val="30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31-A7E4-430C-9E3D-D851F3DD4F29}"/>
                </c:ext>
              </c:extLst>
            </c:dLbl>
            <c:dLbl>
              <c:idx val="304"/>
              <c:layout>
                <c:manualLayout>
                  <c:x val="-0.20102026425801253"/>
                  <c:y val="-0.15362586849863752"/>
                </c:manualLayout>
              </c:layout>
              <c:tx>
                <c:strRef>
                  <c:f>Exhibits!$EH$555</c:f>
                  <c:strCache>
                    <c:ptCount val="1"/>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{10492FB3-6C59-459B-9028-C76048213323}</c15:txfldGUID>
                      <c15:f>Exhibits!$EH$555</c15:f>
                      <c15:dlblFieldTableCache>
                        <c:ptCount val="1"/>
                      </c15:dlblFieldTableCache>
                    </c15:dlblFTEntry>
                  </c15:dlblFieldTable>
                  <c15:showDataLabelsRange val="1"/>
                </c:ext>
                <c:ext xmlns:c16="http://schemas.microsoft.com/office/drawing/2014/chart" uri="{C3380CC4-5D6E-409C-BE32-E72D297353CC}">
                  <c16:uniqueId val="{00000132-A7E4-430C-9E3D-D851F3DD4F29}"/>
                </c:ext>
              </c:extLst>
            </c:dLbl>
            <c:dLbl>
              <c:idx val="30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33-A7E4-430C-9E3D-D851F3DD4F29}"/>
                </c:ext>
              </c:extLst>
            </c:dLbl>
            <c:dLbl>
              <c:idx val="30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34-A7E4-430C-9E3D-D851F3DD4F29}"/>
                </c:ext>
              </c:extLst>
            </c:dLbl>
            <c:dLbl>
              <c:idx val="30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35-A7E4-430C-9E3D-D851F3DD4F29}"/>
                </c:ext>
              </c:extLst>
            </c:dLbl>
            <c:dLbl>
              <c:idx val="30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36-A7E4-430C-9E3D-D851F3DD4F29}"/>
                </c:ext>
              </c:extLst>
            </c:dLbl>
            <c:dLbl>
              <c:idx val="30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37-A7E4-430C-9E3D-D851F3DD4F29}"/>
                </c:ext>
              </c:extLst>
            </c:dLbl>
            <c:dLbl>
              <c:idx val="31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38-A7E4-430C-9E3D-D851F3DD4F29}"/>
                </c:ext>
              </c:extLst>
            </c:dLbl>
            <c:dLbl>
              <c:idx val="31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39-A7E4-430C-9E3D-D851F3DD4F29}"/>
                </c:ext>
              </c:extLst>
            </c:dLbl>
            <c:dLbl>
              <c:idx val="31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3A-A7E4-430C-9E3D-D851F3DD4F29}"/>
                </c:ext>
              </c:extLst>
            </c:dLbl>
            <c:dLbl>
              <c:idx val="31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3B-A7E4-430C-9E3D-D851F3DD4F29}"/>
                </c:ext>
              </c:extLst>
            </c:dLbl>
            <c:dLbl>
              <c:idx val="31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3C-A7E4-430C-9E3D-D851F3DD4F29}"/>
                </c:ext>
              </c:extLst>
            </c:dLbl>
            <c:dLbl>
              <c:idx val="31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3D-A7E4-430C-9E3D-D851F3DD4F29}"/>
                </c:ext>
              </c:extLst>
            </c:dLbl>
            <c:dLbl>
              <c:idx val="31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3E-A7E4-430C-9E3D-D851F3DD4F29}"/>
                </c:ext>
              </c:extLst>
            </c:dLbl>
            <c:dLbl>
              <c:idx val="31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3F-A7E4-430C-9E3D-D851F3DD4F29}"/>
                </c:ext>
              </c:extLst>
            </c:dLbl>
            <c:dLbl>
              <c:idx val="31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40-A7E4-430C-9E3D-D851F3DD4F29}"/>
                </c:ext>
              </c:extLst>
            </c:dLbl>
            <c:dLbl>
              <c:idx val="31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41-A7E4-430C-9E3D-D851F3DD4F29}"/>
                </c:ext>
              </c:extLst>
            </c:dLbl>
            <c:dLbl>
              <c:idx val="32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42-A7E4-430C-9E3D-D851F3DD4F29}"/>
                </c:ext>
              </c:extLst>
            </c:dLbl>
            <c:dLbl>
              <c:idx val="32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43-A7E4-430C-9E3D-D851F3DD4F29}"/>
                </c:ext>
              </c:extLst>
            </c:dLbl>
            <c:dLbl>
              <c:idx val="32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44-A7E4-430C-9E3D-D851F3DD4F29}"/>
                </c:ext>
              </c:extLst>
            </c:dLbl>
            <c:dLbl>
              <c:idx val="32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45-A7E4-430C-9E3D-D851F3DD4F29}"/>
                </c:ext>
              </c:extLst>
            </c:dLbl>
            <c:dLbl>
              <c:idx val="32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46-A7E4-430C-9E3D-D851F3DD4F29}"/>
                </c:ext>
              </c:extLst>
            </c:dLbl>
            <c:dLbl>
              <c:idx val="32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47-A7E4-430C-9E3D-D851F3DD4F29}"/>
                </c:ext>
              </c:extLst>
            </c:dLbl>
            <c:dLbl>
              <c:idx val="32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48-A7E4-430C-9E3D-D851F3DD4F29}"/>
                </c:ext>
              </c:extLst>
            </c:dLbl>
            <c:dLbl>
              <c:idx val="32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49-A7E4-430C-9E3D-D851F3DD4F29}"/>
                </c:ext>
              </c:extLst>
            </c:dLbl>
            <c:dLbl>
              <c:idx val="32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4A-A7E4-430C-9E3D-D851F3DD4F29}"/>
                </c:ext>
              </c:extLst>
            </c:dLbl>
            <c:dLbl>
              <c:idx val="32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4B-A7E4-430C-9E3D-D851F3DD4F29}"/>
                </c:ext>
              </c:extLst>
            </c:dLbl>
            <c:dLbl>
              <c:idx val="33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4C-A7E4-430C-9E3D-D851F3DD4F29}"/>
                </c:ext>
              </c:extLst>
            </c:dLbl>
            <c:dLbl>
              <c:idx val="33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4D-A7E4-430C-9E3D-D851F3DD4F29}"/>
                </c:ext>
              </c:extLst>
            </c:dLbl>
            <c:dLbl>
              <c:idx val="33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4E-A7E4-430C-9E3D-D851F3DD4F29}"/>
                </c:ext>
              </c:extLst>
            </c:dLbl>
            <c:dLbl>
              <c:idx val="33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4F-A7E4-430C-9E3D-D851F3DD4F29}"/>
                </c:ext>
              </c:extLst>
            </c:dLbl>
            <c:dLbl>
              <c:idx val="33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50-A7E4-430C-9E3D-D851F3DD4F29}"/>
                </c:ext>
              </c:extLst>
            </c:dLbl>
            <c:dLbl>
              <c:idx val="335"/>
              <c:layout>
                <c:manualLayout>
                  <c:x val="-0.23587117333952495"/>
                  <c:y val="-0.2550161149277515"/>
                </c:manualLayout>
              </c:layout>
              <c:tx>
                <c:strRef>
                  <c:f>Exhibits!$EH$524</c:f>
                  <c:strCache>
                    <c:ptCount val="1"/>
                    <c:pt idx="0">
                      <c:v>Panera 2.0 initiative results in same store sales growth of 1.8%</c:v>
                    </c:pt>
                  </c:strCache>
                </c:strRef>
              </c:tx>
              <c:spPr>
                <a:noFill/>
                <a:ln>
                  <a:noFill/>
                </a:ln>
                <a:effectLst/>
              </c:spPr>
              <c:txPr>
                <a:bodyPr rot="0" spcFirstLastPara="1" vertOverflow="clip" horzOverflow="clip" vert="horz" wrap="square" lIns="38100" tIns="19050" rIns="38100" bIns="19050" anchor="ctr" anchorCtr="0">
                  <a:noAutofit/>
                </a:bodyPr>
                <a:lstStyle/>
                <a:p>
                  <a:pPr algn="ctr">
                    <a:defRPr sz="7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1288458133082622"/>
                      <c:h val="8.4252588059908956E-2"/>
                    </c:manualLayout>
                  </c15:layout>
                  <c15:dlblFieldTable>
                    <c15:dlblFTEntry>
                      <c15:txfldGUID>{410D5934-75D8-4B89-B5BA-DB986BFBCA51}</c15:txfldGUID>
                      <c15:f>Exhibits!$EH$524</c15:f>
                      <c15:dlblFieldTableCache>
                        <c:ptCount val="1"/>
                        <c:pt idx="0">
                          <c:v>Panera 2.0 initiative results in same store sales growth of 1.8%</c:v>
                        </c:pt>
                      </c15:dlblFieldTableCache>
                    </c15:dlblFTEntry>
                  </c15:dlblFieldTable>
                  <c15:showDataLabelsRange val="1"/>
                </c:ext>
                <c:ext xmlns:c16="http://schemas.microsoft.com/office/drawing/2014/chart" uri="{C3380CC4-5D6E-409C-BE32-E72D297353CC}">
                  <c16:uniqueId val="{00000151-A7E4-430C-9E3D-D851F3DD4F29}"/>
                </c:ext>
              </c:extLst>
            </c:dLbl>
            <c:dLbl>
              <c:idx val="33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52-A7E4-430C-9E3D-D851F3DD4F29}"/>
                </c:ext>
              </c:extLst>
            </c:dLbl>
            <c:dLbl>
              <c:idx val="33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53-A7E4-430C-9E3D-D851F3DD4F29}"/>
                </c:ext>
              </c:extLst>
            </c:dLbl>
            <c:dLbl>
              <c:idx val="33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54-A7E4-430C-9E3D-D851F3DD4F29}"/>
                </c:ext>
              </c:extLst>
            </c:dLbl>
            <c:dLbl>
              <c:idx val="33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55-A7E4-430C-9E3D-D851F3DD4F29}"/>
                </c:ext>
              </c:extLst>
            </c:dLbl>
            <c:dLbl>
              <c:idx val="34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56-A7E4-430C-9E3D-D851F3DD4F29}"/>
                </c:ext>
              </c:extLst>
            </c:dLbl>
            <c:dLbl>
              <c:idx val="34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57-A7E4-430C-9E3D-D851F3DD4F29}"/>
                </c:ext>
              </c:extLst>
            </c:dLbl>
            <c:dLbl>
              <c:idx val="34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58-A7E4-430C-9E3D-D851F3DD4F29}"/>
                </c:ext>
              </c:extLst>
            </c:dLbl>
            <c:dLbl>
              <c:idx val="34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59-A7E4-430C-9E3D-D851F3DD4F29}"/>
                </c:ext>
              </c:extLst>
            </c:dLbl>
            <c:dLbl>
              <c:idx val="34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5A-A7E4-430C-9E3D-D851F3DD4F29}"/>
                </c:ext>
              </c:extLst>
            </c:dLbl>
            <c:dLbl>
              <c:idx val="34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5B-A7E4-430C-9E3D-D851F3DD4F29}"/>
                </c:ext>
              </c:extLst>
            </c:dLbl>
            <c:dLbl>
              <c:idx val="34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5C-A7E4-430C-9E3D-D851F3DD4F29}"/>
                </c:ext>
              </c:extLst>
            </c:dLbl>
            <c:dLbl>
              <c:idx val="34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5D-A7E4-430C-9E3D-D851F3DD4F29}"/>
                </c:ext>
              </c:extLst>
            </c:dLbl>
            <c:dLbl>
              <c:idx val="34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5E-A7E4-430C-9E3D-D851F3DD4F29}"/>
                </c:ext>
              </c:extLst>
            </c:dLbl>
            <c:dLbl>
              <c:idx val="349"/>
              <c:layout>
                <c:manualLayout>
                  <c:x val="-7.3097728455584848E-2"/>
                  <c:y val="-0.17946675369085771"/>
                </c:manualLayout>
              </c:layout>
              <c:tx>
                <c:strRef>
                  <c:f>Exhibits!$EH$510</c:f>
                  <c:strCache>
                    <c:ptCount val="1"/>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{39611D34-E4B4-40DC-8F56-C4C9F4CF3A61}</c15:txfldGUID>
                      <c15:f>Exhibits!$EH$510</c15:f>
                      <c15:dlblFieldTableCache>
                        <c:ptCount val="1"/>
                      </c15:dlblFieldTableCache>
                    </c15:dlblFTEntry>
                  </c15:dlblFieldTable>
                  <c15:showDataLabelsRange val="1"/>
                </c:ext>
                <c:ext xmlns:c16="http://schemas.microsoft.com/office/drawing/2014/chart" uri="{C3380CC4-5D6E-409C-BE32-E72D297353CC}">
                  <c16:uniqueId val="{0000015F-A7E4-430C-9E3D-D851F3DD4F29}"/>
                </c:ext>
              </c:extLst>
            </c:dLbl>
            <c:dLbl>
              <c:idx val="35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60-A7E4-430C-9E3D-D851F3DD4F29}"/>
                </c:ext>
              </c:extLst>
            </c:dLbl>
            <c:dLbl>
              <c:idx val="35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61-A7E4-430C-9E3D-D851F3DD4F29}"/>
                </c:ext>
              </c:extLst>
            </c:dLbl>
            <c:dLbl>
              <c:idx val="35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62-A7E4-430C-9E3D-D851F3DD4F29}"/>
                </c:ext>
              </c:extLst>
            </c:dLbl>
            <c:dLbl>
              <c:idx val="35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63-A7E4-430C-9E3D-D851F3DD4F29}"/>
                </c:ext>
              </c:extLst>
            </c:dLbl>
            <c:dLbl>
              <c:idx val="35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64-A7E4-430C-9E3D-D851F3DD4F29}"/>
                </c:ext>
              </c:extLst>
            </c:dLbl>
            <c:dLbl>
              <c:idx val="35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65-A7E4-430C-9E3D-D851F3DD4F29}"/>
                </c:ext>
              </c:extLst>
            </c:dLbl>
            <c:dLbl>
              <c:idx val="35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66-A7E4-430C-9E3D-D851F3DD4F29}"/>
                </c:ext>
              </c:extLst>
            </c:dLbl>
            <c:dLbl>
              <c:idx val="35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67-A7E4-430C-9E3D-D851F3DD4F29}"/>
                </c:ext>
              </c:extLst>
            </c:dLbl>
            <c:dLbl>
              <c:idx val="35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68-A7E4-430C-9E3D-D851F3DD4F29}"/>
                </c:ext>
              </c:extLst>
            </c:dLbl>
            <c:dLbl>
              <c:idx val="35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69-A7E4-430C-9E3D-D851F3DD4F29}"/>
                </c:ext>
              </c:extLst>
            </c:dLbl>
            <c:dLbl>
              <c:idx val="36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6A-A7E4-430C-9E3D-D851F3DD4F29}"/>
                </c:ext>
              </c:extLst>
            </c:dLbl>
            <c:dLbl>
              <c:idx val="36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6B-A7E4-430C-9E3D-D851F3DD4F29}"/>
                </c:ext>
              </c:extLst>
            </c:dLbl>
            <c:dLbl>
              <c:idx val="36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6C-A7E4-430C-9E3D-D851F3DD4F29}"/>
                </c:ext>
              </c:extLst>
            </c:dLbl>
            <c:dLbl>
              <c:idx val="36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6D-A7E4-430C-9E3D-D851F3DD4F29}"/>
                </c:ext>
              </c:extLst>
            </c:dLbl>
            <c:dLbl>
              <c:idx val="36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6E-A7E4-430C-9E3D-D851F3DD4F29}"/>
                </c:ext>
              </c:extLst>
            </c:dLbl>
            <c:dLbl>
              <c:idx val="36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6F-A7E4-430C-9E3D-D851F3DD4F29}"/>
                </c:ext>
              </c:extLst>
            </c:dLbl>
            <c:dLbl>
              <c:idx val="36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70-A7E4-430C-9E3D-D851F3DD4F29}"/>
                </c:ext>
              </c:extLst>
            </c:dLbl>
            <c:dLbl>
              <c:idx val="36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71-A7E4-430C-9E3D-D851F3DD4F29}"/>
                </c:ext>
              </c:extLst>
            </c:dLbl>
            <c:dLbl>
              <c:idx val="36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72-A7E4-430C-9E3D-D851F3DD4F29}"/>
                </c:ext>
              </c:extLst>
            </c:dLbl>
            <c:dLbl>
              <c:idx val="36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73-A7E4-430C-9E3D-D851F3DD4F29}"/>
                </c:ext>
              </c:extLst>
            </c:dLbl>
            <c:dLbl>
              <c:idx val="37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74-A7E4-430C-9E3D-D851F3DD4F29}"/>
                </c:ext>
              </c:extLst>
            </c:dLbl>
            <c:dLbl>
              <c:idx val="37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75-A7E4-430C-9E3D-D851F3DD4F29}"/>
                </c:ext>
              </c:extLst>
            </c:dLbl>
            <c:dLbl>
              <c:idx val="37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76-A7E4-430C-9E3D-D851F3DD4F29}"/>
                </c:ext>
              </c:extLst>
            </c:dLbl>
            <c:dLbl>
              <c:idx val="37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77-A7E4-430C-9E3D-D851F3DD4F29}"/>
                </c:ext>
              </c:extLst>
            </c:dLbl>
            <c:dLbl>
              <c:idx val="37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78-A7E4-430C-9E3D-D851F3DD4F29}"/>
                </c:ext>
              </c:extLst>
            </c:dLbl>
            <c:dLbl>
              <c:idx val="37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79-A7E4-430C-9E3D-D851F3DD4F29}"/>
                </c:ext>
              </c:extLst>
            </c:dLbl>
            <c:dLbl>
              <c:idx val="37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7A-A7E4-430C-9E3D-D851F3DD4F29}"/>
                </c:ext>
              </c:extLst>
            </c:dLbl>
            <c:dLbl>
              <c:idx val="37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7B-A7E4-430C-9E3D-D851F3DD4F29}"/>
                </c:ext>
              </c:extLst>
            </c:dLbl>
            <c:dLbl>
              <c:idx val="37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7C-A7E4-430C-9E3D-D851F3DD4F29}"/>
                </c:ext>
              </c:extLst>
            </c:dLbl>
            <c:dLbl>
              <c:idx val="37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7D-A7E4-430C-9E3D-D851F3DD4F29}"/>
                </c:ext>
              </c:extLst>
            </c:dLbl>
            <c:dLbl>
              <c:idx val="38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7E-A7E4-430C-9E3D-D851F3DD4F29}"/>
                </c:ext>
              </c:extLst>
            </c:dLbl>
            <c:dLbl>
              <c:idx val="38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7F-A7E4-430C-9E3D-D851F3DD4F29}"/>
                </c:ext>
              </c:extLst>
            </c:dLbl>
            <c:dLbl>
              <c:idx val="38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80-A7E4-430C-9E3D-D851F3DD4F29}"/>
                </c:ext>
              </c:extLst>
            </c:dLbl>
            <c:dLbl>
              <c:idx val="38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81-A7E4-430C-9E3D-D851F3DD4F29}"/>
                </c:ext>
              </c:extLst>
            </c:dLbl>
            <c:dLbl>
              <c:idx val="38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82-A7E4-430C-9E3D-D851F3DD4F29}"/>
                </c:ext>
              </c:extLst>
            </c:dLbl>
            <c:dLbl>
              <c:idx val="38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83-A7E4-430C-9E3D-D851F3DD4F29}"/>
                </c:ext>
              </c:extLst>
            </c:dLbl>
            <c:dLbl>
              <c:idx val="38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84-A7E4-430C-9E3D-D851F3DD4F29}"/>
                </c:ext>
              </c:extLst>
            </c:dLbl>
            <c:dLbl>
              <c:idx val="38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85-A7E4-430C-9E3D-D851F3DD4F29}"/>
                </c:ext>
              </c:extLst>
            </c:dLbl>
            <c:dLbl>
              <c:idx val="38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86-A7E4-430C-9E3D-D851F3DD4F29}"/>
                </c:ext>
              </c:extLst>
            </c:dLbl>
            <c:dLbl>
              <c:idx val="38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87-A7E4-430C-9E3D-D851F3DD4F29}"/>
                </c:ext>
              </c:extLst>
            </c:dLbl>
            <c:dLbl>
              <c:idx val="39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88-A7E4-430C-9E3D-D851F3DD4F29}"/>
                </c:ext>
              </c:extLst>
            </c:dLbl>
            <c:dLbl>
              <c:idx val="39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89-A7E4-430C-9E3D-D851F3DD4F29}"/>
                </c:ext>
              </c:extLst>
            </c:dLbl>
            <c:dLbl>
              <c:idx val="39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8A-A7E4-430C-9E3D-D851F3DD4F29}"/>
                </c:ext>
              </c:extLst>
            </c:dLbl>
            <c:dLbl>
              <c:idx val="39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8B-A7E4-430C-9E3D-D851F3DD4F29}"/>
                </c:ext>
              </c:extLst>
            </c:dLbl>
            <c:dLbl>
              <c:idx val="39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8C-A7E4-430C-9E3D-D851F3DD4F29}"/>
                </c:ext>
              </c:extLst>
            </c:dLbl>
            <c:dLbl>
              <c:idx val="39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8D-A7E4-430C-9E3D-D851F3DD4F29}"/>
                </c:ext>
              </c:extLst>
            </c:dLbl>
            <c:dLbl>
              <c:idx val="39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8E-A7E4-430C-9E3D-D851F3DD4F29}"/>
                </c:ext>
              </c:extLst>
            </c:dLbl>
            <c:dLbl>
              <c:idx val="39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8F-A7E4-430C-9E3D-D851F3DD4F29}"/>
                </c:ext>
              </c:extLst>
            </c:dLbl>
            <c:dLbl>
              <c:idx val="39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90-A7E4-430C-9E3D-D851F3DD4F29}"/>
                </c:ext>
              </c:extLst>
            </c:dLbl>
            <c:dLbl>
              <c:idx val="39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91-A7E4-430C-9E3D-D851F3DD4F29}"/>
                </c:ext>
              </c:extLst>
            </c:dLbl>
            <c:dLbl>
              <c:idx val="40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92-A7E4-430C-9E3D-D851F3DD4F29}"/>
                </c:ext>
              </c:extLst>
            </c:dLbl>
            <c:dLbl>
              <c:idx val="40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93-A7E4-430C-9E3D-D851F3DD4F29}"/>
                </c:ext>
              </c:extLst>
            </c:dLbl>
            <c:dLbl>
              <c:idx val="40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94-A7E4-430C-9E3D-D851F3DD4F29}"/>
                </c:ext>
              </c:extLst>
            </c:dLbl>
            <c:dLbl>
              <c:idx val="40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95-A7E4-430C-9E3D-D851F3DD4F29}"/>
                </c:ext>
              </c:extLst>
            </c:dLbl>
            <c:dLbl>
              <c:idx val="40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96-A7E4-430C-9E3D-D851F3DD4F29}"/>
                </c:ext>
              </c:extLst>
            </c:dLbl>
            <c:dLbl>
              <c:idx val="405"/>
              <c:layout>
                <c:manualLayout>
                  <c:x val="-5.6870708325638397E-2"/>
                  <c:y val="-0.32092889956236875"/>
                </c:manualLayout>
              </c:layout>
              <c:tx>
                <c:strRef>
                  <c:f>Exhibits!$EH$454</c:f>
                  <c:strCache>
                    <c:ptCount val="1"/>
                  </c:strCache>
                </c:strRef>
              </c:tx>
              <c:spPr>
                <a:noFill/>
                <a:ln>
                  <a:noFill/>
                </a:ln>
                <a:effectLst/>
              </c:spPr>
              <c:txPr>
                <a:bodyPr rot="0" spcFirstLastPara="1" vertOverflow="clip" horzOverflow="clip" vert="horz" wrap="square" lIns="38100" tIns="19050" rIns="38100" bIns="19050" anchor="ctr" anchorCtr="0">
                  <a:noAutofit/>
                </a:bodyPr>
                <a:lstStyle/>
                <a:p>
                  <a:pPr algn="ctr">
                    <a:defRPr sz="7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8.6130147910615656E-2"/>
                      <c:h val="0.10033666089294628"/>
                    </c:manualLayout>
                  </c15:layout>
                  <c15:dlblFieldTable>
                    <c15:dlblFTEntry>
                      <c15:txfldGUID>{36A26BC4-F363-48D6-BA1A-10BCA75EDAC2}</c15:txfldGUID>
                      <c15:f>Exhibits!$EH$454</c15:f>
                      <c15:dlblFieldTableCache>
                        <c:ptCount val="1"/>
                      </c15:dlblFieldTableCache>
                    </c15:dlblFTEntry>
                  </c15:dlblFieldTable>
                  <c15:showDataLabelsRange val="1"/>
                </c:ext>
                <c:ext xmlns:c16="http://schemas.microsoft.com/office/drawing/2014/chart" uri="{C3380CC4-5D6E-409C-BE32-E72D297353CC}">
                  <c16:uniqueId val="{00000197-A7E4-430C-9E3D-D851F3DD4F29}"/>
                </c:ext>
              </c:extLst>
            </c:dLbl>
            <c:dLbl>
              <c:idx val="40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98-A7E4-430C-9E3D-D851F3DD4F29}"/>
                </c:ext>
              </c:extLst>
            </c:dLbl>
            <c:dLbl>
              <c:idx val="40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99-A7E4-430C-9E3D-D851F3DD4F29}"/>
                </c:ext>
              </c:extLst>
            </c:dLbl>
            <c:dLbl>
              <c:idx val="40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9A-A7E4-430C-9E3D-D851F3DD4F29}"/>
                </c:ext>
              </c:extLst>
            </c:dLbl>
            <c:dLbl>
              <c:idx val="409"/>
              <c:layout>
                <c:manualLayout>
                  <c:x val="-0.26478371915091792"/>
                  <c:y val="-0.4714596772325253"/>
                </c:manualLayout>
              </c:layout>
              <c:tx>
                <c:strRef>
                  <c:f>Exhibits!$EH$450</c:f>
                  <c:strCache>
                    <c:ptCount val="1"/>
                    <c:pt idx="0">
                      <c:v>"Panera Bread is replacing cashiers with kiosks — and it feels dystopian" - Business Week</c:v>
                    </c:pt>
                  </c:strCache>
                </c:strRef>
              </c:tx>
              <c:spPr>
                <a:noFill/>
                <a:ln>
                  <a:noFill/>
                </a:ln>
                <a:effectLst/>
              </c:spPr>
              <c:txPr>
                <a:bodyPr rot="0" spcFirstLastPara="1" vertOverflow="clip" horzOverflow="clip" vert="horz" wrap="square" lIns="38100" tIns="19050" rIns="38100" bIns="19050" anchor="ctr" anchorCtr="0">
                  <a:noAutofit/>
                </a:bodyPr>
                <a:lstStyle/>
                <a:p>
                  <a:pPr algn="ctr">
                    <a:defRPr sz="7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4046100006729929"/>
                      <c:h val="0.11052728985799852"/>
                    </c:manualLayout>
                  </c15:layout>
                  <c15:dlblFieldTable>
                    <c15:dlblFTEntry>
                      <c15:txfldGUID>{5C63D523-8F29-45EE-8065-BAF41978AD39}</c15:txfldGUID>
                      <c15:f>Exhibits!$EH$450</c15:f>
                      <c15:dlblFieldTableCache>
                        <c:ptCount val="1"/>
                        <c:pt idx="0">
                          <c:v>"Panera Bread is replacing cashiers with kiosks — and it feels dystopian" - Business Week</c:v>
                        </c:pt>
                      </c15:dlblFieldTableCache>
                    </c15:dlblFTEntry>
                  </c15:dlblFieldTable>
                  <c15:showDataLabelsRange val="1"/>
                </c:ext>
                <c:ext xmlns:c16="http://schemas.microsoft.com/office/drawing/2014/chart" uri="{C3380CC4-5D6E-409C-BE32-E72D297353CC}">
                  <c16:uniqueId val="{0000019B-A7E4-430C-9E3D-D851F3DD4F29}"/>
                </c:ext>
              </c:extLst>
            </c:dLbl>
            <c:dLbl>
              <c:idx val="41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9C-A7E4-430C-9E3D-D851F3DD4F29}"/>
                </c:ext>
              </c:extLst>
            </c:dLbl>
            <c:dLbl>
              <c:idx val="41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9D-A7E4-430C-9E3D-D851F3DD4F29}"/>
                </c:ext>
              </c:extLst>
            </c:dLbl>
            <c:dLbl>
              <c:idx val="41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9E-A7E4-430C-9E3D-D851F3DD4F29}"/>
                </c:ext>
              </c:extLst>
            </c:dLbl>
            <c:dLbl>
              <c:idx val="41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9F-A7E4-430C-9E3D-D851F3DD4F29}"/>
                </c:ext>
              </c:extLst>
            </c:dLbl>
            <c:dLbl>
              <c:idx val="41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A0-A7E4-430C-9E3D-D851F3DD4F29}"/>
                </c:ext>
              </c:extLst>
            </c:dLbl>
            <c:dLbl>
              <c:idx val="41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A1-A7E4-430C-9E3D-D851F3DD4F29}"/>
                </c:ext>
              </c:extLst>
            </c:dLbl>
            <c:dLbl>
              <c:idx val="41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A2-A7E4-430C-9E3D-D851F3DD4F29}"/>
                </c:ext>
              </c:extLst>
            </c:dLbl>
            <c:dLbl>
              <c:idx val="41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A3-A7E4-430C-9E3D-D851F3DD4F29}"/>
                </c:ext>
              </c:extLst>
            </c:dLbl>
            <c:dLbl>
              <c:idx val="41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A4-A7E4-430C-9E3D-D851F3DD4F29}"/>
                </c:ext>
              </c:extLst>
            </c:dLbl>
            <c:dLbl>
              <c:idx val="41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A5-A7E4-430C-9E3D-D851F3DD4F29}"/>
                </c:ext>
              </c:extLst>
            </c:dLbl>
            <c:dLbl>
              <c:idx val="42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A6-A7E4-430C-9E3D-D851F3DD4F29}"/>
                </c:ext>
              </c:extLst>
            </c:dLbl>
            <c:dLbl>
              <c:idx val="42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A7-A7E4-430C-9E3D-D851F3DD4F29}"/>
                </c:ext>
              </c:extLst>
            </c:dLbl>
            <c:dLbl>
              <c:idx val="42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A8-A7E4-430C-9E3D-D851F3DD4F29}"/>
                </c:ext>
              </c:extLst>
            </c:dLbl>
            <c:dLbl>
              <c:idx val="42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A9-A7E4-430C-9E3D-D851F3DD4F29}"/>
                </c:ext>
              </c:extLst>
            </c:dLbl>
            <c:dLbl>
              <c:idx val="42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AA-A7E4-430C-9E3D-D851F3DD4F29}"/>
                </c:ext>
              </c:extLst>
            </c:dLbl>
            <c:dLbl>
              <c:idx val="42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AB-A7E4-430C-9E3D-D851F3DD4F29}"/>
                </c:ext>
              </c:extLst>
            </c:dLbl>
            <c:dLbl>
              <c:idx val="42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AC-A7E4-430C-9E3D-D851F3DD4F29}"/>
                </c:ext>
              </c:extLst>
            </c:dLbl>
            <c:dLbl>
              <c:idx val="42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AD-A7E4-430C-9E3D-D851F3DD4F29}"/>
                </c:ext>
              </c:extLst>
            </c:dLbl>
            <c:dLbl>
              <c:idx val="42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AE-A7E4-430C-9E3D-D851F3DD4F29}"/>
                </c:ext>
              </c:extLst>
            </c:dLbl>
            <c:dLbl>
              <c:idx val="42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AF-A7E4-430C-9E3D-D851F3DD4F29}"/>
                </c:ext>
              </c:extLst>
            </c:dLbl>
            <c:dLbl>
              <c:idx val="43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B0-A7E4-430C-9E3D-D851F3DD4F29}"/>
                </c:ext>
              </c:extLst>
            </c:dLbl>
            <c:dLbl>
              <c:idx val="43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B1-A7E4-430C-9E3D-D851F3DD4F29}"/>
                </c:ext>
              </c:extLst>
            </c:dLbl>
            <c:dLbl>
              <c:idx val="43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B2-A7E4-430C-9E3D-D851F3DD4F29}"/>
                </c:ext>
              </c:extLst>
            </c:dLbl>
            <c:dLbl>
              <c:idx val="43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B3-A7E4-430C-9E3D-D851F3DD4F29}"/>
                </c:ext>
              </c:extLst>
            </c:dLbl>
            <c:dLbl>
              <c:idx val="43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B4-A7E4-430C-9E3D-D851F3DD4F29}"/>
                </c:ext>
              </c:extLst>
            </c:dLbl>
            <c:dLbl>
              <c:idx val="43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B5-A7E4-430C-9E3D-D851F3DD4F29}"/>
                </c:ext>
              </c:extLst>
            </c:dLbl>
            <c:dLbl>
              <c:idx val="43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B6-A7E4-430C-9E3D-D851F3DD4F29}"/>
                </c:ext>
              </c:extLst>
            </c:dLbl>
            <c:dLbl>
              <c:idx val="43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B7-A7E4-430C-9E3D-D851F3DD4F29}"/>
                </c:ext>
              </c:extLst>
            </c:dLbl>
            <c:dLbl>
              <c:idx val="43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B8-A7E4-430C-9E3D-D851F3DD4F29}"/>
                </c:ext>
              </c:extLst>
            </c:dLbl>
            <c:dLbl>
              <c:idx val="43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B9-A7E4-430C-9E3D-D851F3DD4F29}"/>
                </c:ext>
              </c:extLst>
            </c:dLbl>
            <c:dLbl>
              <c:idx val="44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BA-A7E4-430C-9E3D-D851F3DD4F29}"/>
                </c:ext>
              </c:extLst>
            </c:dLbl>
            <c:dLbl>
              <c:idx val="44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BB-A7E4-430C-9E3D-D851F3DD4F29}"/>
                </c:ext>
              </c:extLst>
            </c:dLbl>
            <c:dLbl>
              <c:idx val="44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BC-A7E4-430C-9E3D-D851F3DD4F29}"/>
                </c:ext>
              </c:extLst>
            </c:dLbl>
            <c:dLbl>
              <c:idx val="44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BD-A7E4-430C-9E3D-D851F3DD4F29}"/>
                </c:ext>
              </c:extLst>
            </c:dLbl>
            <c:dLbl>
              <c:idx val="44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BE-A7E4-430C-9E3D-D851F3DD4F29}"/>
                </c:ext>
              </c:extLst>
            </c:dLbl>
            <c:dLbl>
              <c:idx val="44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BF-A7E4-430C-9E3D-D851F3DD4F29}"/>
                </c:ext>
              </c:extLst>
            </c:dLbl>
            <c:dLbl>
              <c:idx val="446"/>
              <c:layout>
                <c:manualLayout>
                  <c:x val="-6.4859681001421118E-4"/>
                  <c:y val="6.4587118917827577E-2"/>
                </c:manualLayout>
              </c:layout>
              <c:tx>
                <c:strRef>
                  <c:f>Exhibits!$EH$413</c:f>
                  <c:strCache>
                    <c:ptCount val="1"/>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{86C8771F-F7B5-4DBE-96A5-A2DC1FECFA6F}</c15:txfldGUID>
                      <c15:f>Exhibits!$EH$413</c15:f>
                      <c15:dlblFieldTableCache>
                        <c:ptCount val="1"/>
                      </c15:dlblFieldTableCache>
                    </c15:dlblFTEntry>
                  </c15:dlblFieldTable>
                  <c15:showDataLabelsRange val="1"/>
                </c:ext>
                <c:ext xmlns:c16="http://schemas.microsoft.com/office/drawing/2014/chart" uri="{C3380CC4-5D6E-409C-BE32-E72D297353CC}">
                  <c16:uniqueId val="{000001C0-A7E4-430C-9E3D-D851F3DD4F29}"/>
                </c:ext>
              </c:extLst>
            </c:dLbl>
            <c:dLbl>
              <c:idx val="44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C1-A7E4-430C-9E3D-D851F3DD4F29}"/>
                </c:ext>
              </c:extLst>
            </c:dLbl>
            <c:dLbl>
              <c:idx val="44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C2-A7E4-430C-9E3D-D851F3DD4F29}"/>
                </c:ext>
              </c:extLst>
            </c:dLbl>
            <c:dLbl>
              <c:idx val="44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C3-A7E4-430C-9E3D-D851F3DD4F29}"/>
                </c:ext>
              </c:extLst>
            </c:dLbl>
            <c:dLbl>
              <c:idx val="45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C4-A7E4-430C-9E3D-D851F3DD4F29}"/>
                </c:ext>
              </c:extLst>
            </c:dLbl>
            <c:dLbl>
              <c:idx val="45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C5-A7E4-430C-9E3D-D851F3DD4F29}"/>
                </c:ext>
              </c:extLst>
            </c:dLbl>
            <c:dLbl>
              <c:idx val="45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C6-A7E4-430C-9E3D-D851F3DD4F29}"/>
                </c:ext>
              </c:extLst>
            </c:dLbl>
            <c:dLbl>
              <c:idx val="45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C7-A7E4-430C-9E3D-D851F3DD4F29}"/>
                </c:ext>
              </c:extLst>
            </c:dLbl>
            <c:dLbl>
              <c:idx val="45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C8-A7E4-430C-9E3D-D851F3DD4F29}"/>
                </c:ext>
              </c:extLst>
            </c:dLbl>
            <c:dLbl>
              <c:idx val="45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C9-A7E4-430C-9E3D-D851F3DD4F29}"/>
                </c:ext>
              </c:extLst>
            </c:dLbl>
            <c:dLbl>
              <c:idx val="45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CA-A7E4-430C-9E3D-D851F3DD4F29}"/>
                </c:ext>
              </c:extLst>
            </c:dLbl>
            <c:dLbl>
              <c:idx val="45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CB-A7E4-430C-9E3D-D851F3DD4F29}"/>
                </c:ext>
              </c:extLst>
            </c:dLbl>
            <c:dLbl>
              <c:idx val="45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CC-A7E4-430C-9E3D-D851F3DD4F29}"/>
                </c:ext>
              </c:extLst>
            </c:dLbl>
            <c:dLbl>
              <c:idx val="45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CD-A7E4-430C-9E3D-D851F3DD4F29}"/>
                </c:ext>
              </c:extLst>
            </c:dLbl>
            <c:dLbl>
              <c:idx val="46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CE-A7E4-430C-9E3D-D851F3DD4F29}"/>
                </c:ext>
              </c:extLst>
            </c:dLbl>
            <c:dLbl>
              <c:idx val="46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CF-A7E4-430C-9E3D-D851F3DD4F29}"/>
                </c:ext>
              </c:extLst>
            </c:dLbl>
            <c:dLbl>
              <c:idx val="46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D0-A7E4-430C-9E3D-D851F3DD4F29}"/>
                </c:ext>
              </c:extLst>
            </c:dLbl>
            <c:dLbl>
              <c:idx val="46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D1-A7E4-430C-9E3D-D851F3DD4F29}"/>
                </c:ext>
              </c:extLst>
            </c:dLbl>
            <c:dLbl>
              <c:idx val="46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D2-A7E4-430C-9E3D-D851F3DD4F29}"/>
                </c:ext>
              </c:extLst>
            </c:dLbl>
            <c:dLbl>
              <c:idx val="46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D3-A7E4-430C-9E3D-D851F3DD4F29}"/>
                </c:ext>
              </c:extLst>
            </c:dLbl>
            <c:dLbl>
              <c:idx val="46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D4-A7E4-430C-9E3D-D851F3DD4F29}"/>
                </c:ext>
              </c:extLst>
            </c:dLbl>
            <c:dLbl>
              <c:idx val="467"/>
              <c:layout>
                <c:manualLayout>
                  <c:x val="-0.10680728654419382"/>
                  <c:y val="-0.45206454456314127"/>
                </c:manualLayout>
              </c:layout>
              <c:tx>
                <c:strRef>
                  <c:f>Exhibits!$EH$392</c:f>
                  <c:strCache>
                    <c:ptCount val="1"/>
                    <c:pt idx="0">
                      <c:v>Panera 2.0 - 16% of sales are ordered and paid for digitally</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{3D9BDD5B-19CD-4ACA-825E-CBFDCC0B08CD}</c15:txfldGUID>
                      <c15:f>Exhibits!$EH$392</c15:f>
                      <c15:dlblFieldTableCache>
                        <c:ptCount val="1"/>
                        <c:pt idx="0">
                          <c:v>Panera 2.0 - 16% of sales are ordered and paid for digitally</c:v>
                        </c:pt>
                      </c15:dlblFieldTableCache>
                    </c15:dlblFTEntry>
                  </c15:dlblFieldTable>
                  <c15:showDataLabelsRange val="1"/>
                </c:ext>
                <c:ext xmlns:c16="http://schemas.microsoft.com/office/drawing/2014/chart" uri="{C3380CC4-5D6E-409C-BE32-E72D297353CC}">
                  <c16:uniqueId val="{000001D5-A7E4-430C-9E3D-D851F3DD4F29}"/>
                </c:ext>
              </c:extLst>
            </c:dLbl>
            <c:dLbl>
              <c:idx val="46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D6-A7E4-430C-9E3D-D851F3DD4F29}"/>
                </c:ext>
              </c:extLst>
            </c:dLbl>
            <c:dLbl>
              <c:idx val="46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D7-A7E4-430C-9E3D-D851F3DD4F29}"/>
                </c:ext>
              </c:extLst>
            </c:dLbl>
            <c:dLbl>
              <c:idx val="47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D8-A7E4-430C-9E3D-D851F3DD4F29}"/>
                </c:ext>
              </c:extLst>
            </c:dLbl>
            <c:dLbl>
              <c:idx val="47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D9-A7E4-430C-9E3D-D851F3DD4F29}"/>
                </c:ext>
              </c:extLst>
            </c:dLbl>
            <c:dLbl>
              <c:idx val="47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DA-A7E4-430C-9E3D-D851F3DD4F29}"/>
                </c:ext>
              </c:extLst>
            </c:dLbl>
            <c:dLbl>
              <c:idx val="47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DB-A7E4-430C-9E3D-D851F3DD4F29}"/>
                </c:ext>
              </c:extLst>
            </c:dLbl>
            <c:dLbl>
              <c:idx val="47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DC-A7E4-430C-9E3D-D851F3DD4F29}"/>
                </c:ext>
              </c:extLst>
            </c:dLbl>
            <c:dLbl>
              <c:idx val="47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DD-A7E4-430C-9E3D-D851F3DD4F29}"/>
                </c:ext>
              </c:extLst>
            </c:dLbl>
            <c:dLbl>
              <c:idx val="47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DE-A7E4-430C-9E3D-D851F3DD4F29}"/>
                </c:ext>
              </c:extLst>
            </c:dLbl>
            <c:dLbl>
              <c:idx val="47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DF-A7E4-430C-9E3D-D851F3DD4F29}"/>
                </c:ext>
              </c:extLst>
            </c:dLbl>
            <c:dLbl>
              <c:idx val="47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E0-A7E4-430C-9E3D-D851F3DD4F29}"/>
                </c:ext>
              </c:extLst>
            </c:dLbl>
            <c:dLbl>
              <c:idx val="47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E1-A7E4-430C-9E3D-D851F3DD4F29}"/>
                </c:ext>
              </c:extLst>
            </c:dLbl>
            <c:dLbl>
              <c:idx val="48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E2-A7E4-430C-9E3D-D851F3DD4F29}"/>
                </c:ext>
              </c:extLst>
            </c:dLbl>
            <c:dLbl>
              <c:idx val="48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E3-A7E4-430C-9E3D-D851F3DD4F29}"/>
                </c:ext>
              </c:extLst>
            </c:dLbl>
            <c:dLbl>
              <c:idx val="48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E4-A7E4-430C-9E3D-D851F3DD4F29}"/>
                </c:ext>
              </c:extLst>
            </c:dLbl>
            <c:dLbl>
              <c:idx val="48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E5-A7E4-430C-9E3D-D851F3DD4F29}"/>
                </c:ext>
              </c:extLst>
            </c:dLbl>
            <c:dLbl>
              <c:idx val="48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E6-A7E4-430C-9E3D-D851F3DD4F29}"/>
                </c:ext>
              </c:extLst>
            </c:dLbl>
            <c:dLbl>
              <c:idx val="48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E7-A7E4-430C-9E3D-D851F3DD4F29}"/>
                </c:ext>
              </c:extLst>
            </c:dLbl>
            <c:dLbl>
              <c:idx val="48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E8-A7E4-430C-9E3D-D851F3DD4F29}"/>
                </c:ext>
              </c:extLst>
            </c:dLbl>
            <c:dLbl>
              <c:idx val="48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E9-A7E4-430C-9E3D-D851F3DD4F29}"/>
                </c:ext>
              </c:extLst>
            </c:dLbl>
            <c:dLbl>
              <c:idx val="48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EA-A7E4-430C-9E3D-D851F3DD4F29}"/>
                </c:ext>
              </c:extLst>
            </c:dLbl>
            <c:dLbl>
              <c:idx val="48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EB-A7E4-430C-9E3D-D851F3DD4F29}"/>
                </c:ext>
              </c:extLst>
            </c:dLbl>
            <c:dLbl>
              <c:idx val="49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EC-A7E4-430C-9E3D-D851F3DD4F29}"/>
                </c:ext>
              </c:extLst>
            </c:dLbl>
            <c:dLbl>
              <c:idx val="49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ED-A7E4-430C-9E3D-D851F3DD4F29}"/>
                </c:ext>
              </c:extLst>
            </c:dLbl>
            <c:dLbl>
              <c:idx val="49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EE-A7E4-430C-9E3D-D851F3DD4F29}"/>
                </c:ext>
              </c:extLst>
            </c:dLbl>
            <c:dLbl>
              <c:idx val="49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EF-A7E4-430C-9E3D-D851F3DD4F29}"/>
                </c:ext>
              </c:extLst>
            </c:dLbl>
            <c:dLbl>
              <c:idx val="49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F0-A7E4-430C-9E3D-D851F3DD4F29}"/>
                </c:ext>
              </c:extLst>
            </c:dLbl>
            <c:dLbl>
              <c:idx val="49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F1-A7E4-430C-9E3D-D851F3DD4F29}"/>
                </c:ext>
              </c:extLst>
            </c:dLbl>
            <c:dLbl>
              <c:idx val="49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F2-A7E4-430C-9E3D-D851F3DD4F29}"/>
                </c:ext>
              </c:extLst>
            </c:dLbl>
            <c:dLbl>
              <c:idx val="49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F3-A7E4-430C-9E3D-D851F3DD4F29}"/>
                </c:ext>
              </c:extLst>
            </c:dLbl>
            <c:dLbl>
              <c:idx val="49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F4-A7E4-430C-9E3D-D851F3DD4F29}"/>
                </c:ext>
              </c:extLst>
            </c:dLbl>
            <c:dLbl>
              <c:idx val="49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F5-A7E4-430C-9E3D-D851F3DD4F29}"/>
                </c:ext>
              </c:extLst>
            </c:dLbl>
            <c:dLbl>
              <c:idx val="50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F6-A7E4-430C-9E3D-D851F3DD4F29}"/>
                </c:ext>
              </c:extLst>
            </c:dLbl>
            <c:dLbl>
              <c:idx val="50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F7-A7E4-430C-9E3D-D851F3DD4F29}"/>
                </c:ext>
              </c:extLst>
            </c:dLbl>
            <c:dLbl>
              <c:idx val="50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F8-A7E4-430C-9E3D-D851F3DD4F29}"/>
                </c:ext>
              </c:extLst>
            </c:dLbl>
            <c:dLbl>
              <c:idx val="50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F9-A7E4-430C-9E3D-D851F3DD4F29}"/>
                </c:ext>
              </c:extLst>
            </c:dLbl>
            <c:dLbl>
              <c:idx val="50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FA-A7E4-430C-9E3D-D851F3DD4F29}"/>
                </c:ext>
              </c:extLst>
            </c:dLbl>
            <c:dLbl>
              <c:idx val="50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FB-A7E4-430C-9E3D-D851F3DD4F29}"/>
                </c:ext>
              </c:extLst>
            </c:dLbl>
            <c:dLbl>
              <c:idx val="50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FC-A7E4-430C-9E3D-D851F3DD4F29}"/>
                </c:ext>
              </c:extLst>
            </c:dLbl>
            <c:dLbl>
              <c:idx val="50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FD-A7E4-430C-9E3D-D851F3DD4F29}"/>
                </c:ext>
              </c:extLst>
            </c:dLbl>
            <c:dLbl>
              <c:idx val="50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FE-A7E4-430C-9E3D-D851F3DD4F29}"/>
                </c:ext>
              </c:extLst>
            </c:dLbl>
            <c:dLbl>
              <c:idx val="50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1FF-A7E4-430C-9E3D-D851F3DD4F29}"/>
                </c:ext>
              </c:extLst>
            </c:dLbl>
            <c:dLbl>
              <c:idx val="51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00-A7E4-430C-9E3D-D851F3DD4F29}"/>
                </c:ext>
              </c:extLst>
            </c:dLbl>
            <c:dLbl>
              <c:idx val="51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01-A7E4-430C-9E3D-D851F3DD4F29}"/>
                </c:ext>
              </c:extLst>
            </c:dLbl>
            <c:dLbl>
              <c:idx val="51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02-A7E4-430C-9E3D-D851F3DD4F29}"/>
                </c:ext>
              </c:extLst>
            </c:dLbl>
            <c:dLbl>
              <c:idx val="51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03-A7E4-430C-9E3D-D851F3DD4F29}"/>
                </c:ext>
              </c:extLst>
            </c:dLbl>
            <c:dLbl>
              <c:idx val="51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04-A7E4-430C-9E3D-D851F3DD4F29}"/>
                </c:ext>
              </c:extLst>
            </c:dLbl>
            <c:dLbl>
              <c:idx val="51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05-A7E4-430C-9E3D-D851F3DD4F29}"/>
                </c:ext>
              </c:extLst>
            </c:dLbl>
            <c:dLbl>
              <c:idx val="51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06-A7E4-430C-9E3D-D851F3DD4F29}"/>
                </c:ext>
              </c:extLst>
            </c:dLbl>
            <c:dLbl>
              <c:idx val="51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07-A7E4-430C-9E3D-D851F3DD4F29}"/>
                </c:ext>
              </c:extLst>
            </c:dLbl>
            <c:dLbl>
              <c:idx val="51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08-A7E4-430C-9E3D-D851F3DD4F29}"/>
                </c:ext>
              </c:extLst>
            </c:dLbl>
            <c:dLbl>
              <c:idx val="51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09-A7E4-430C-9E3D-D851F3DD4F29}"/>
                </c:ext>
              </c:extLst>
            </c:dLbl>
            <c:dLbl>
              <c:idx val="52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0A-A7E4-430C-9E3D-D851F3DD4F29}"/>
                </c:ext>
              </c:extLst>
            </c:dLbl>
            <c:dLbl>
              <c:idx val="52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0B-A7E4-430C-9E3D-D851F3DD4F29}"/>
                </c:ext>
              </c:extLst>
            </c:dLbl>
            <c:dLbl>
              <c:idx val="52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0C-A7E4-430C-9E3D-D851F3DD4F29}"/>
                </c:ext>
              </c:extLst>
            </c:dLbl>
            <c:dLbl>
              <c:idx val="52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0D-A7E4-430C-9E3D-D851F3DD4F29}"/>
                </c:ext>
              </c:extLst>
            </c:dLbl>
            <c:dLbl>
              <c:idx val="52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0E-A7E4-430C-9E3D-D851F3DD4F29}"/>
                </c:ext>
              </c:extLst>
            </c:dLbl>
            <c:dLbl>
              <c:idx val="52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0F-A7E4-430C-9E3D-D851F3DD4F29}"/>
                </c:ext>
              </c:extLst>
            </c:dLbl>
            <c:dLbl>
              <c:idx val="52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10-A7E4-430C-9E3D-D851F3DD4F29}"/>
                </c:ext>
              </c:extLst>
            </c:dLbl>
            <c:dLbl>
              <c:idx val="52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11-A7E4-430C-9E3D-D851F3DD4F29}"/>
                </c:ext>
              </c:extLst>
            </c:dLbl>
            <c:dLbl>
              <c:idx val="52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12-A7E4-430C-9E3D-D851F3DD4F29}"/>
                </c:ext>
              </c:extLst>
            </c:dLbl>
            <c:dLbl>
              <c:idx val="52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13-A7E4-430C-9E3D-D851F3DD4F29}"/>
                </c:ext>
              </c:extLst>
            </c:dLbl>
            <c:dLbl>
              <c:idx val="53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14-A7E4-430C-9E3D-D851F3DD4F29}"/>
                </c:ext>
              </c:extLst>
            </c:dLbl>
            <c:dLbl>
              <c:idx val="53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15-A7E4-430C-9E3D-D851F3DD4F29}"/>
                </c:ext>
              </c:extLst>
            </c:dLbl>
            <c:dLbl>
              <c:idx val="53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16-A7E4-430C-9E3D-D851F3DD4F29}"/>
                </c:ext>
              </c:extLst>
            </c:dLbl>
            <c:dLbl>
              <c:idx val="53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17-A7E4-430C-9E3D-D851F3DD4F29}"/>
                </c:ext>
              </c:extLst>
            </c:dLbl>
            <c:dLbl>
              <c:idx val="53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18-A7E4-430C-9E3D-D851F3DD4F29}"/>
                </c:ext>
              </c:extLst>
            </c:dLbl>
            <c:dLbl>
              <c:idx val="53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19-A7E4-430C-9E3D-D851F3DD4F29}"/>
                </c:ext>
              </c:extLst>
            </c:dLbl>
            <c:dLbl>
              <c:idx val="53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1A-A7E4-430C-9E3D-D851F3DD4F29}"/>
                </c:ext>
              </c:extLst>
            </c:dLbl>
            <c:dLbl>
              <c:idx val="53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1B-A7E4-430C-9E3D-D851F3DD4F29}"/>
                </c:ext>
              </c:extLst>
            </c:dLbl>
            <c:dLbl>
              <c:idx val="53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1C-A7E4-430C-9E3D-D851F3DD4F29}"/>
                </c:ext>
              </c:extLst>
            </c:dLbl>
            <c:dLbl>
              <c:idx val="53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1D-A7E4-430C-9E3D-D851F3DD4F29}"/>
                </c:ext>
              </c:extLst>
            </c:dLbl>
            <c:dLbl>
              <c:idx val="54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1E-A7E4-430C-9E3D-D851F3DD4F29}"/>
                </c:ext>
              </c:extLst>
            </c:dLbl>
            <c:dLbl>
              <c:idx val="54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1F-A7E4-430C-9E3D-D851F3DD4F29}"/>
                </c:ext>
              </c:extLst>
            </c:dLbl>
            <c:dLbl>
              <c:idx val="54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20-A7E4-430C-9E3D-D851F3DD4F29}"/>
                </c:ext>
              </c:extLst>
            </c:dLbl>
            <c:dLbl>
              <c:idx val="54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21-A7E4-430C-9E3D-D851F3DD4F29}"/>
                </c:ext>
              </c:extLst>
            </c:dLbl>
            <c:dLbl>
              <c:idx val="54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22-A7E4-430C-9E3D-D851F3DD4F29}"/>
                </c:ext>
              </c:extLst>
            </c:dLbl>
            <c:dLbl>
              <c:idx val="54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23-A7E4-430C-9E3D-D851F3DD4F29}"/>
                </c:ext>
              </c:extLst>
            </c:dLbl>
            <c:dLbl>
              <c:idx val="54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24-A7E4-430C-9E3D-D851F3DD4F29}"/>
                </c:ext>
              </c:extLst>
            </c:dLbl>
            <c:dLbl>
              <c:idx val="54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25-A7E4-430C-9E3D-D851F3DD4F29}"/>
                </c:ext>
              </c:extLst>
            </c:dLbl>
            <c:dLbl>
              <c:idx val="54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26-A7E4-430C-9E3D-D851F3DD4F29}"/>
                </c:ext>
              </c:extLst>
            </c:dLbl>
            <c:dLbl>
              <c:idx val="54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27-A7E4-430C-9E3D-D851F3DD4F29}"/>
                </c:ext>
              </c:extLst>
            </c:dLbl>
            <c:dLbl>
              <c:idx val="55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28-A7E4-430C-9E3D-D851F3DD4F29}"/>
                </c:ext>
              </c:extLst>
            </c:dLbl>
            <c:dLbl>
              <c:idx val="55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29-A7E4-430C-9E3D-D851F3DD4F29}"/>
                </c:ext>
              </c:extLst>
            </c:dLbl>
            <c:dLbl>
              <c:idx val="55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2A-A7E4-430C-9E3D-D851F3DD4F29}"/>
                </c:ext>
              </c:extLst>
            </c:dLbl>
            <c:dLbl>
              <c:idx val="55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2B-A7E4-430C-9E3D-D851F3DD4F29}"/>
                </c:ext>
              </c:extLst>
            </c:dLbl>
            <c:dLbl>
              <c:idx val="55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2C-A7E4-430C-9E3D-D851F3DD4F29}"/>
                </c:ext>
              </c:extLst>
            </c:dLbl>
            <c:dLbl>
              <c:idx val="55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2D-A7E4-430C-9E3D-D851F3DD4F29}"/>
                </c:ext>
              </c:extLst>
            </c:dLbl>
            <c:dLbl>
              <c:idx val="55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2E-A7E4-430C-9E3D-D851F3DD4F29}"/>
                </c:ext>
              </c:extLst>
            </c:dLbl>
            <c:dLbl>
              <c:idx val="55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2F-A7E4-430C-9E3D-D851F3DD4F29}"/>
                </c:ext>
              </c:extLst>
            </c:dLbl>
            <c:dLbl>
              <c:idx val="55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30-A7E4-430C-9E3D-D851F3DD4F29}"/>
                </c:ext>
              </c:extLst>
            </c:dLbl>
            <c:dLbl>
              <c:idx val="55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31-A7E4-430C-9E3D-D851F3DD4F29}"/>
                </c:ext>
              </c:extLst>
            </c:dLbl>
            <c:dLbl>
              <c:idx val="56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32-A7E4-430C-9E3D-D851F3DD4F29}"/>
                </c:ext>
              </c:extLst>
            </c:dLbl>
            <c:dLbl>
              <c:idx val="56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33-A7E4-430C-9E3D-D851F3DD4F29}"/>
                </c:ext>
              </c:extLst>
            </c:dLbl>
            <c:dLbl>
              <c:idx val="56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34-A7E4-430C-9E3D-D851F3DD4F29}"/>
                </c:ext>
              </c:extLst>
            </c:dLbl>
            <c:dLbl>
              <c:idx val="56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35-A7E4-430C-9E3D-D851F3DD4F29}"/>
                </c:ext>
              </c:extLst>
            </c:dLbl>
            <c:dLbl>
              <c:idx val="56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36-A7E4-430C-9E3D-D851F3DD4F29}"/>
                </c:ext>
              </c:extLst>
            </c:dLbl>
            <c:dLbl>
              <c:idx val="56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37-A7E4-430C-9E3D-D851F3DD4F29}"/>
                </c:ext>
              </c:extLst>
            </c:dLbl>
            <c:dLbl>
              <c:idx val="56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38-A7E4-430C-9E3D-D851F3DD4F29}"/>
                </c:ext>
              </c:extLst>
            </c:dLbl>
            <c:dLbl>
              <c:idx val="56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39-A7E4-430C-9E3D-D851F3DD4F29}"/>
                </c:ext>
              </c:extLst>
            </c:dLbl>
            <c:dLbl>
              <c:idx val="56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3A-A7E4-430C-9E3D-D851F3DD4F29}"/>
                </c:ext>
              </c:extLst>
            </c:dLbl>
            <c:dLbl>
              <c:idx val="56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3B-A7E4-430C-9E3D-D851F3DD4F29}"/>
                </c:ext>
              </c:extLst>
            </c:dLbl>
            <c:dLbl>
              <c:idx val="57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3C-A7E4-430C-9E3D-D851F3DD4F29}"/>
                </c:ext>
              </c:extLst>
            </c:dLbl>
            <c:dLbl>
              <c:idx val="57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3D-A7E4-430C-9E3D-D851F3DD4F29}"/>
                </c:ext>
              </c:extLst>
            </c:dLbl>
            <c:dLbl>
              <c:idx val="57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3E-A7E4-430C-9E3D-D851F3DD4F29}"/>
                </c:ext>
              </c:extLst>
            </c:dLbl>
            <c:dLbl>
              <c:idx val="57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3F-A7E4-430C-9E3D-D851F3DD4F29}"/>
                </c:ext>
              </c:extLst>
            </c:dLbl>
            <c:dLbl>
              <c:idx val="57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40-A7E4-430C-9E3D-D851F3DD4F29}"/>
                </c:ext>
              </c:extLst>
            </c:dLbl>
            <c:dLbl>
              <c:idx val="57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41-A7E4-430C-9E3D-D851F3DD4F29}"/>
                </c:ext>
              </c:extLst>
            </c:dLbl>
            <c:dLbl>
              <c:idx val="57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42-A7E4-430C-9E3D-D851F3DD4F29}"/>
                </c:ext>
              </c:extLst>
            </c:dLbl>
            <c:dLbl>
              <c:idx val="57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43-A7E4-430C-9E3D-D851F3DD4F29}"/>
                </c:ext>
              </c:extLst>
            </c:dLbl>
            <c:dLbl>
              <c:idx val="57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44-A7E4-430C-9E3D-D851F3DD4F29}"/>
                </c:ext>
              </c:extLst>
            </c:dLbl>
            <c:dLbl>
              <c:idx val="57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45-A7E4-430C-9E3D-D851F3DD4F29}"/>
                </c:ext>
              </c:extLst>
            </c:dLbl>
            <c:dLbl>
              <c:idx val="58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46-A7E4-430C-9E3D-D851F3DD4F29}"/>
                </c:ext>
              </c:extLst>
            </c:dLbl>
            <c:dLbl>
              <c:idx val="58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47-A7E4-430C-9E3D-D851F3DD4F29}"/>
                </c:ext>
              </c:extLst>
            </c:dLbl>
            <c:dLbl>
              <c:idx val="58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48-A7E4-430C-9E3D-D851F3DD4F29}"/>
                </c:ext>
              </c:extLst>
            </c:dLbl>
            <c:dLbl>
              <c:idx val="58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49-A7E4-430C-9E3D-D851F3DD4F29}"/>
                </c:ext>
              </c:extLst>
            </c:dLbl>
            <c:dLbl>
              <c:idx val="58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4A-A7E4-430C-9E3D-D851F3DD4F29}"/>
                </c:ext>
              </c:extLst>
            </c:dLbl>
            <c:dLbl>
              <c:idx val="58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4B-A7E4-430C-9E3D-D851F3DD4F29}"/>
                </c:ext>
              </c:extLst>
            </c:dLbl>
            <c:dLbl>
              <c:idx val="58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4C-A7E4-430C-9E3D-D851F3DD4F29}"/>
                </c:ext>
              </c:extLst>
            </c:dLbl>
            <c:dLbl>
              <c:idx val="58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4D-A7E4-430C-9E3D-D851F3DD4F29}"/>
                </c:ext>
              </c:extLst>
            </c:dLbl>
            <c:dLbl>
              <c:idx val="58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4E-A7E4-430C-9E3D-D851F3DD4F29}"/>
                </c:ext>
              </c:extLst>
            </c:dLbl>
            <c:dLbl>
              <c:idx val="58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4F-A7E4-430C-9E3D-D851F3DD4F29}"/>
                </c:ext>
              </c:extLst>
            </c:dLbl>
            <c:dLbl>
              <c:idx val="59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50-A7E4-430C-9E3D-D851F3DD4F29}"/>
                </c:ext>
              </c:extLst>
            </c:dLbl>
            <c:dLbl>
              <c:idx val="59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51-A7E4-430C-9E3D-D851F3DD4F29}"/>
                </c:ext>
              </c:extLst>
            </c:dLbl>
            <c:dLbl>
              <c:idx val="59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52-A7E4-430C-9E3D-D851F3DD4F29}"/>
                </c:ext>
              </c:extLst>
            </c:dLbl>
            <c:dLbl>
              <c:idx val="59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53-A7E4-430C-9E3D-D851F3DD4F29}"/>
                </c:ext>
              </c:extLst>
            </c:dLbl>
            <c:dLbl>
              <c:idx val="59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54-A7E4-430C-9E3D-D851F3DD4F29}"/>
                </c:ext>
              </c:extLst>
            </c:dLbl>
            <c:dLbl>
              <c:idx val="59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55-A7E4-430C-9E3D-D851F3DD4F29}"/>
                </c:ext>
              </c:extLst>
            </c:dLbl>
            <c:dLbl>
              <c:idx val="59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56-A7E4-430C-9E3D-D851F3DD4F29}"/>
                </c:ext>
              </c:extLst>
            </c:dLbl>
            <c:dLbl>
              <c:idx val="59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57-A7E4-430C-9E3D-D851F3DD4F29}"/>
                </c:ext>
              </c:extLst>
            </c:dLbl>
            <c:dLbl>
              <c:idx val="59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58-A7E4-430C-9E3D-D851F3DD4F29}"/>
                </c:ext>
              </c:extLst>
            </c:dLbl>
            <c:dLbl>
              <c:idx val="59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59-A7E4-430C-9E3D-D851F3DD4F29}"/>
                </c:ext>
              </c:extLst>
            </c:dLbl>
            <c:dLbl>
              <c:idx val="60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5A-A7E4-430C-9E3D-D851F3DD4F29}"/>
                </c:ext>
              </c:extLst>
            </c:dLbl>
            <c:dLbl>
              <c:idx val="60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5B-A7E4-430C-9E3D-D851F3DD4F29}"/>
                </c:ext>
              </c:extLst>
            </c:dLbl>
            <c:dLbl>
              <c:idx val="60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5C-A7E4-430C-9E3D-D851F3DD4F29}"/>
                </c:ext>
              </c:extLst>
            </c:dLbl>
            <c:dLbl>
              <c:idx val="60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5D-A7E4-430C-9E3D-D851F3DD4F29}"/>
                </c:ext>
              </c:extLst>
            </c:dLbl>
            <c:dLbl>
              <c:idx val="60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5E-A7E4-430C-9E3D-D851F3DD4F29}"/>
                </c:ext>
              </c:extLst>
            </c:dLbl>
            <c:dLbl>
              <c:idx val="60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5F-A7E4-430C-9E3D-D851F3DD4F29}"/>
                </c:ext>
              </c:extLst>
            </c:dLbl>
            <c:dLbl>
              <c:idx val="60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60-A7E4-430C-9E3D-D851F3DD4F29}"/>
                </c:ext>
              </c:extLst>
            </c:dLbl>
            <c:dLbl>
              <c:idx val="60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61-A7E4-430C-9E3D-D851F3DD4F29}"/>
                </c:ext>
              </c:extLst>
            </c:dLbl>
            <c:dLbl>
              <c:idx val="60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62-A7E4-430C-9E3D-D851F3DD4F29}"/>
                </c:ext>
              </c:extLst>
            </c:dLbl>
            <c:dLbl>
              <c:idx val="60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63-A7E4-430C-9E3D-D851F3DD4F29}"/>
                </c:ext>
              </c:extLst>
            </c:dLbl>
            <c:dLbl>
              <c:idx val="61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64-A7E4-430C-9E3D-D851F3DD4F29}"/>
                </c:ext>
              </c:extLst>
            </c:dLbl>
            <c:dLbl>
              <c:idx val="61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65-A7E4-430C-9E3D-D851F3DD4F29}"/>
                </c:ext>
              </c:extLst>
            </c:dLbl>
            <c:dLbl>
              <c:idx val="61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66-A7E4-430C-9E3D-D851F3DD4F29}"/>
                </c:ext>
              </c:extLst>
            </c:dLbl>
            <c:dLbl>
              <c:idx val="61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67-A7E4-430C-9E3D-D851F3DD4F29}"/>
                </c:ext>
              </c:extLst>
            </c:dLbl>
            <c:dLbl>
              <c:idx val="61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68-A7E4-430C-9E3D-D851F3DD4F29}"/>
                </c:ext>
              </c:extLst>
            </c:dLbl>
            <c:dLbl>
              <c:idx val="615"/>
              <c:layout>
                <c:manualLayout>
                  <c:x val="-9.1304939239140362E-2"/>
                  <c:y val="-0.15038172759085031"/>
                </c:manualLayout>
              </c:layout>
              <c:tx>
                <c:strRef>
                  <c:f>Exhibits!$EH$244</c:f>
                  <c:strCache>
                    <c:ptCount val="1"/>
                    <c:pt idx="0">
                      <c:v>"Daaaaaamn Panera, Back at it Again with the Pseudoscience." article  attacks Panera Bread marketing campaign and gains attention from major news outlets such as Forbes</c:v>
                    </c:pt>
                  </c:strCache>
                </c:strRef>
              </c:tx>
              <c:spPr>
                <a:noFill/>
                <a:ln>
                  <a:noFill/>
                </a:ln>
                <a:effectLst/>
              </c:spPr>
              <c:txPr>
                <a:bodyPr rot="0" spcFirstLastPara="1" vertOverflow="clip" horzOverflow="clip" vert="horz" wrap="square" lIns="38100" tIns="19050" rIns="38100" bIns="19050" anchor="ctr" anchorCtr="0">
                  <a:noAutofit/>
                </a:bodyPr>
                <a:lstStyle/>
                <a:p>
                  <a:pPr algn="ctr">
                    <a:defRPr sz="7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4615384615384617"/>
                      <c:h val="0.19430894488474132"/>
                    </c:manualLayout>
                  </c15:layout>
                  <c15:dlblFieldTable>
                    <c15:dlblFTEntry>
                      <c15:txfldGUID>{0302BED0-F0CA-4209-825F-2ABCAB8A9083}</c15:txfldGUID>
                      <c15:f>Exhibits!$EH$244</c15:f>
                      <c15:dlblFieldTableCache>
                        <c:ptCount val="1"/>
                        <c:pt idx="0">
                          <c:v>"Daaaaaamn Panera, Back at it Again with the Pseudoscience." article  attacks Panera Bread marketing campaign and gains attention from major news outlets such as Forbes</c:v>
                        </c:pt>
                      </c15:dlblFieldTableCache>
                    </c15:dlblFTEntry>
                  </c15:dlblFieldTable>
                  <c15:showDataLabelsRange val="1"/>
                </c:ext>
                <c:ext xmlns:c16="http://schemas.microsoft.com/office/drawing/2014/chart" uri="{C3380CC4-5D6E-409C-BE32-E72D297353CC}">
                  <c16:uniqueId val="{00000269-A7E4-430C-9E3D-D851F3DD4F29}"/>
                </c:ext>
              </c:extLst>
            </c:dLbl>
            <c:dLbl>
              <c:idx val="61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6A-A7E4-430C-9E3D-D851F3DD4F29}"/>
                </c:ext>
              </c:extLst>
            </c:dLbl>
            <c:dLbl>
              <c:idx val="61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6B-A7E4-430C-9E3D-D851F3DD4F29}"/>
                </c:ext>
              </c:extLst>
            </c:dLbl>
            <c:dLbl>
              <c:idx val="61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6C-A7E4-430C-9E3D-D851F3DD4F29}"/>
                </c:ext>
              </c:extLst>
            </c:dLbl>
            <c:dLbl>
              <c:idx val="61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6D-A7E4-430C-9E3D-D851F3DD4F29}"/>
                </c:ext>
              </c:extLst>
            </c:dLbl>
            <c:dLbl>
              <c:idx val="62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6E-A7E4-430C-9E3D-D851F3DD4F29}"/>
                </c:ext>
              </c:extLst>
            </c:dLbl>
            <c:dLbl>
              <c:idx val="62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6F-A7E4-430C-9E3D-D851F3DD4F29}"/>
                </c:ext>
              </c:extLst>
            </c:dLbl>
            <c:dLbl>
              <c:idx val="62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70-A7E4-430C-9E3D-D851F3DD4F29}"/>
                </c:ext>
              </c:extLst>
            </c:dLbl>
            <c:dLbl>
              <c:idx val="62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71-A7E4-430C-9E3D-D851F3DD4F29}"/>
                </c:ext>
              </c:extLst>
            </c:dLbl>
            <c:dLbl>
              <c:idx val="62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72-A7E4-430C-9E3D-D851F3DD4F29}"/>
                </c:ext>
              </c:extLst>
            </c:dLbl>
            <c:dLbl>
              <c:idx val="625"/>
              <c:layout>
                <c:manualLayout>
                  <c:x val="-0.11364135453217609"/>
                  <c:y val="7.8347711849515028E-2"/>
                </c:manualLayout>
              </c:layout>
              <c:tx>
                <c:strRef>
                  <c:f>Exhibits!$EH$234</c:f>
                  <c:strCache>
                    <c:ptCount val="1"/>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{95C8D15F-CF5D-47D7-B913-B006586EE26F}</c15:txfldGUID>
                      <c15:f>Exhibits!$EH$234</c15:f>
                      <c15:dlblFieldTableCache>
                        <c:ptCount val="1"/>
                      </c15:dlblFieldTableCache>
                    </c15:dlblFTEntry>
                  </c15:dlblFieldTable>
                  <c15:showDataLabelsRange val="1"/>
                </c:ext>
                <c:ext xmlns:c16="http://schemas.microsoft.com/office/drawing/2014/chart" uri="{C3380CC4-5D6E-409C-BE32-E72D297353CC}">
                  <c16:uniqueId val="{00000273-A7E4-430C-9E3D-D851F3DD4F29}"/>
                </c:ext>
              </c:extLst>
            </c:dLbl>
            <c:dLbl>
              <c:idx val="62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74-A7E4-430C-9E3D-D851F3DD4F29}"/>
                </c:ext>
              </c:extLst>
            </c:dLbl>
            <c:dLbl>
              <c:idx val="62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75-A7E4-430C-9E3D-D851F3DD4F29}"/>
                </c:ext>
              </c:extLst>
            </c:dLbl>
            <c:dLbl>
              <c:idx val="62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76-A7E4-430C-9E3D-D851F3DD4F29}"/>
                </c:ext>
              </c:extLst>
            </c:dLbl>
            <c:dLbl>
              <c:idx val="62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77-A7E4-430C-9E3D-D851F3DD4F29}"/>
                </c:ext>
              </c:extLst>
            </c:dLbl>
            <c:dLbl>
              <c:idx val="63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78-A7E4-430C-9E3D-D851F3DD4F29}"/>
                </c:ext>
              </c:extLst>
            </c:dLbl>
            <c:dLbl>
              <c:idx val="63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79-A7E4-430C-9E3D-D851F3DD4F29}"/>
                </c:ext>
              </c:extLst>
            </c:dLbl>
            <c:dLbl>
              <c:idx val="63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7A-A7E4-430C-9E3D-D851F3DD4F29}"/>
                </c:ext>
              </c:extLst>
            </c:dLbl>
            <c:dLbl>
              <c:idx val="63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7B-A7E4-430C-9E3D-D851F3DD4F29}"/>
                </c:ext>
              </c:extLst>
            </c:dLbl>
            <c:dLbl>
              <c:idx val="63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7C-A7E4-430C-9E3D-D851F3DD4F29}"/>
                </c:ext>
              </c:extLst>
            </c:dLbl>
            <c:dLbl>
              <c:idx val="63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7D-A7E4-430C-9E3D-D851F3DD4F29}"/>
                </c:ext>
              </c:extLst>
            </c:dLbl>
            <c:dLbl>
              <c:idx val="63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7E-A7E4-430C-9E3D-D851F3DD4F29}"/>
                </c:ext>
              </c:extLst>
            </c:dLbl>
            <c:dLbl>
              <c:idx val="63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7F-A7E4-430C-9E3D-D851F3DD4F29}"/>
                </c:ext>
              </c:extLst>
            </c:dLbl>
            <c:dLbl>
              <c:idx val="63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80-A7E4-430C-9E3D-D851F3DD4F29}"/>
                </c:ext>
              </c:extLst>
            </c:dLbl>
            <c:dLbl>
              <c:idx val="63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81-A7E4-430C-9E3D-D851F3DD4F29}"/>
                </c:ext>
              </c:extLst>
            </c:dLbl>
            <c:dLbl>
              <c:idx val="64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82-A7E4-430C-9E3D-D851F3DD4F29}"/>
                </c:ext>
              </c:extLst>
            </c:dLbl>
            <c:dLbl>
              <c:idx val="64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83-A7E4-430C-9E3D-D851F3DD4F29}"/>
                </c:ext>
              </c:extLst>
            </c:dLbl>
            <c:dLbl>
              <c:idx val="64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84-A7E4-430C-9E3D-D851F3DD4F29}"/>
                </c:ext>
              </c:extLst>
            </c:dLbl>
            <c:dLbl>
              <c:idx val="64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85-A7E4-430C-9E3D-D851F3DD4F29}"/>
                </c:ext>
              </c:extLst>
            </c:dLbl>
            <c:dLbl>
              <c:idx val="64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86-A7E4-430C-9E3D-D851F3DD4F29}"/>
                </c:ext>
              </c:extLst>
            </c:dLbl>
            <c:dLbl>
              <c:idx val="64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87-A7E4-430C-9E3D-D851F3DD4F29}"/>
                </c:ext>
              </c:extLst>
            </c:dLbl>
            <c:dLbl>
              <c:idx val="64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88-A7E4-430C-9E3D-D851F3DD4F29}"/>
                </c:ext>
              </c:extLst>
            </c:dLbl>
            <c:dLbl>
              <c:idx val="64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89-A7E4-430C-9E3D-D851F3DD4F29}"/>
                </c:ext>
              </c:extLst>
            </c:dLbl>
            <c:dLbl>
              <c:idx val="64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8A-A7E4-430C-9E3D-D851F3DD4F29}"/>
                </c:ext>
              </c:extLst>
            </c:dLbl>
            <c:dLbl>
              <c:idx val="64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8B-A7E4-430C-9E3D-D851F3DD4F29}"/>
                </c:ext>
              </c:extLst>
            </c:dLbl>
            <c:dLbl>
              <c:idx val="65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8C-A7E4-430C-9E3D-D851F3DD4F29}"/>
                </c:ext>
              </c:extLst>
            </c:dLbl>
            <c:dLbl>
              <c:idx val="65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8D-A7E4-430C-9E3D-D851F3DD4F29}"/>
                </c:ext>
              </c:extLst>
            </c:dLbl>
            <c:dLbl>
              <c:idx val="65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8E-A7E4-430C-9E3D-D851F3DD4F29}"/>
                </c:ext>
              </c:extLst>
            </c:dLbl>
            <c:dLbl>
              <c:idx val="65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8F-A7E4-430C-9E3D-D851F3DD4F29}"/>
                </c:ext>
              </c:extLst>
            </c:dLbl>
            <c:dLbl>
              <c:idx val="65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90-A7E4-430C-9E3D-D851F3DD4F29}"/>
                </c:ext>
              </c:extLst>
            </c:dLbl>
            <c:dLbl>
              <c:idx val="65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91-A7E4-430C-9E3D-D851F3DD4F29}"/>
                </c:ext>
              </c:extLst>
            </c:dLbl>
            <c:dLbl>
              <c:idx val="65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92-A7E4-430C-9E3D-D851F3DD4F29}"/>
                </c:ext>
              </c:extLst>
            </c:dLbl>
            <c:dLbl>
              <c:idx val="65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93-A7E4-430C-9E3D-D851F3DD4F29}"/>
                </c:ext>
              </c:extLst>
            </c:dLbl>
            <c:dLbl>
              <c:idx val="65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94-A7E4-430C-9E3D-D851F3DD4F29}"/>
                </c:ext>
              </c:extLst>
            </c:dLbl>
            <c:dLbl>
              <c:idx val="65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95-A7E4-430C-9E3D-D851F3DD4F29}"/>
                </c:ext>
              </c:extLst>
            </c:dLbl>
            <c:dLbl>
              <c:idx val="66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96-A7E4-430C-9E3D-D851F3DD4F29}"/>
                </c:ext>
              </c:extLst>
            </c:dLbl>
            <c:dLbl>
              <c:idx val="66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97-A7E4-430C-9E3D-D851F3DD4F29}"/>
                </c:ext>
              </c:extLst>
            </c:dLbl>
            <c:dLbl>
              <c:idx val="66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98-A7E4-430C-9E3D-D851F3DD4F29}"/>
                </c:ext>
              </c:extLst>
            </c:dLbl>
            <c:dLbl>
              <c:idx val="66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99-A7E4-430C-9E3D-D851F3DD4F29}"/>
                </c:ext>
              </c:extLst>
            </c:dLbl>
            <c:dLbl>
              <c:idx val="66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9A-A7E4-430C-9E3D-D851F3DD4F29}"/>
                </c:ext>
              </c:extLst>
            </c:dLbl>
            <c:dLbl>
              <c:idx val="66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9B-A7E4-430C-9E3D-D851F3DD4F29}"/>
                </c:ext>
              </c:extLst>
            </c:dLbl>
            <c:dLbl>
              <c:idx val="66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9C-A7E4-430C-9E3D-D851F3DD4F29}"/>
                </c:ext>
              </c:extLst>
            </c:dLbl>
            <c:dLbl>
              <c:idx val="66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9D-A7E4-430C-9E3D-D851F3DD4F29}"/>
                </c:ext>
              </c:extLst>
            </c:dLbl>
            <c:dLbl>
              <c:idx val="66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9E-A7E4-430C-9E3D-D851F3DD4F29}"/>
                </c:ext>
              </c:extLst>
            </c:dLbl>
            <c:dLbl>
              <c:idx val="66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9F-A7E4-430C-9E3D-D851F3DD4F29}"/>
                </c:ext>
              </c:extLst>
            </c:dLbl>
            <c:dLbl>
              <c:idx val="67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A0-A7E4-430C-9E3D-D851F3DD4F29}"/>
                </c:ext>
              </c:extLst>
            </c:dLbl>
            <c:dLbl>
              <c:idx val="67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A1-A7E4-430C-9E3D-D851F3DD4F29}"/>
                </c:ext>
              </c:extLst>
            </c:dLbl>
            <c:dLbl>
              <c:idx val="67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A2-A7E4-430C-9E3D-D851F3DD4F29}"/>
                </c:ext>
              </c:extLst>
            </c:dLbl>
            <c:dLbl>
              <c:idx val="67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A3-A7E4-430C-9E3D-D851F3DD4F29}"/>
                </c:ext>
              </c:extLst>
            </c:dLbl>
            <c:dLbl>
              <c:idx val="67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A4-A7E4-430C-9E3D-D851F3DD4F29}"/>
                </c:ext>
              </c:extLst>
            </c:dLbl>
            <c:dLbl>
              <c:idx val="67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A5-A7E4-430C-9E3D-D851F3DD4F29}"/>
                </c:ext>
              </c:extLst>
            </c:dLbl>
            <c:dLbl>
              <c:idx val="67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A6-A7E4-430C-9E3D-D851F3DD4F29}"/>
                </c:ext>
              </c:extLst>
            </c:dLbl>
            <c:dLbl>
              <c:idx val="67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A7-A7E4-430C-9E3D-D851F3DD4F29}"/>
                </c:ext>
              </c:extLst>
            </c:dLbl>
            <c:dLbl>
              <c:idx val="67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A8-A7E4-430C-9E3D-D851F3DD4F29}"/>
                </c:ext>
              </c:extLst>
            </c:dLbl>
            <c:dLbl>
              <c:idx val="67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A9-A7E4-430C-9E3D-D851F3DD4F29}"/>
                </c:ext>
              </c:extLst>
            </c:dLbl>
            <c:dLbl>
              <c:idx val="68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AA-A7E4-430C-9E3D-D851F3DD4F29}"/>
                </c:ext>
              </c:extLst>
            </c:dLbl>
            <c:dLbl>
              <c:idx val="681"/>
              <c:layout>
                <c:manualLayout>
                  <c:x val="-6.4353358096860019E-2"/>
                  <c:y val="0.20462537243954695"/>
                </c:manualLayout>
              </c:layout>
              <c:tx>
                <c:strRef>
                  <c:f>Exhibits!$EH$178</c:f>
                  <c:strCache>
                    <c:ptCount val="1"/>
                    <c:pt idx="0">
                      <c:v>Blaine Hurst appointed President</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{C8B4E843-4C1B-45F6-A4E5-12503FDA2B1B}</c15:txfldGUID>
                      <c15:f>Exhibits!$EH$178</c15:f>
                      <c15:dlblFieldTableCache>
                        <c:ptCount val="1"/>
                        <c:pt idx="0">
                          <c:v>Blaine Hurst appointed President</c:v>
                        </c:pt>
                      </c15:dlblFieldTableCache>
                    </c15:dlblFTEntry>
                  </c15:dlblFieldTable>
                  <c15:showDataLabelsRange val="1"/>
                </c:ext>
                <c:ext xmlns:c16="http://schemas.microsoft.com/office/drawing/2014/chart" uri="{C3380CC4-5D6E-409C-BE32-E72D297353CC}">
                  <c16:uniqueId val="{000002AB-A7E4-430C-9E3D-D851F3DD4F29}"/>
                </c:ext>
              </c:extLst>
            </c:dLbl>
            <c:dLbl>
              <c:idx val="68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AC-A7E4-430C-9E3D-D851F3DD4F29}"/>
                </c:ext>
              </c:extLst>
            </c:dLbl>
            <c:dLbl>
              <c:idx val="68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AD-A7E4-430C-9E3D-D851F3DD4F29}"/>
                </c:ext>
              </c:extLst>
            </c:dLbl>
            <c:dLbl>
              <c:idx val="68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AE-A7E4-430C-9E3D-D851F3DD4F29}"/>
                </c:ext>
              </c:extLst>
            </c:dLbl>
            <c:dLbl>
              <c:idx val="68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AF-A7E4-430C-9E3D-D851F3DD4F29}"/>
                </c:ext>
              </c:extLst>
            </c:dLbl>
            <c:dLbl>
              <c:idx val="68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B0-A7E4-430C-9E3D-D851F3DD4F29}"/>
                </c:ext>
              </c:extLst>
            </c:dLbl>
            <c:dLbl>
              <c:idx val="68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B1-A7E4-430C-9E3D-D851F3DD4F29}"/>
                </c:ext>
              </c:extLst>
            </c:dLbl>
            <c:dLbl>
              <c:idx val="68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B2-A7E4-430C-9E3D-D851F3DD4F29}"/>
                </c:ext>
              </c:extLst>
            </c:dLbl>
            <c:dLbl>
              <c:idx val="68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B3-A7E4-430C-9E3D-D851F3DD4F29}"/>
                </c:ext>
              </c:extLst>
            </c:dLbl>
            <c:dLbl>
              <c:idx val="69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B4-A7E4-430C-9E3D-D851F3DD4F29}"/>
                </c:ext>
              </c:extLst>
            </c:dLbl>
            <c:dLbl>
              <c:idx val="69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B5-A7E4-430C-9E3D-D851F3DD4F29}"/>
                </c:ext>
              </c:extLst>
            </c:dLbl>
            <c:dLbl>
              <c:idx val="69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B6-A7E4-430C-9E3D-D851F3DD4F29}"/>
                </c:ext>
              </c:extLst>
            </c:dLbl>
            <c:dLbl>
              <c:idx val="69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B7-A7E4-430C-9E3D-D851F3DD4F29}"/>
                </c:ext>
              </c:extLst>
            </c:dLbl>
            <c:dLbl>
              <c:idx val="69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B8-A7E4-430C-9E3D-D851F3DD4F29}"/>
                </c:ext>
              </c:extLst>
            </c:dLbl>
            <c:dLbl>
              <c:idx val="69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B9-A7E4-430C-9E3D-D851F3DD4F29}"/>
                </c:ext>
              </c:extLst>
            </c:dLbl>
            <c:dLbl>
              <c:idx val="69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BA-A7E4-430C-9E3D-D851F3DD4F29}"/>
                </c:ext>
              </c:extLst>
            </c:dLbl>
            <c:dLbl>
              <c:idx val="69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BB-A7E4-430C-9E3D-D851F3DD4F29}"/>
                </c:ext>
              </c:extLst>
            </c:dLbl>
            <c:dLbl>
              <c:idx val="69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BC-A7E4-430C-9E3D-D851F3DD4F29}"/>
                </c:ext>
              </c:extLst>
            </c:dLbl>
            <c:dLbl>
              <c:idx val="69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BD-A7E4-430C-9E3D-D851F3DD4F29}"/>
                </c:ext>
              </c:extLst>
            </c:dLbl>
            <c:dLbl>
              <c:idx val="70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BE-A7E4-430C-9E3D-D851F3DD4F29}"/>
                </c:ext>
              </c:extLst>
            </c:dLbl>
            <c:dLbl>
              <c:idx val="70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BF-A7E4-430C-9E3D-D851F3DD4F29}"/>
                </c:ext>
              </c:extLst>
            </c:dLbl>
            <c:dLbl>
              <c:idx val="70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C0-A7E4-430C-9E3D-D851F3DD4F29}"/>
                </c:ext>
              </c:extLst>
            </c:dLbl>
            <c:dLbl>
              <c:idx val="70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C1-A7E4-430C-9E3D-D851F3DD4F29}"/>
                </c:ext>
              </c:extLst>
            </c:dLbl>
            <c:dLbl>
              <c:idx val="704"/>
              <c:layout>
                <c:manualLayout>
                  <c:x val="-7.6759061833688705E-2"/>
                  <c:y val="-0.37732252782961112"/>
                </c:manualLayout>
              </c:layout>
              <c:tx>
                <c:strRef>
                  <c:f>Exhibits!$EH$155</c:f>
                  <c:strCache>
                    <c:ptCount val="1"/>
                  </c:strCache>
                </c:strRef>
              </c:tx>
              <c:spPr>
                <a:noFill/>
                <a:ln>
                  <a:noFill/>
                </a:ln>
                <a:effectLst/>
              </c:spPr>
              <c:txPr>
                <a:bodyPr rot="0" spcFirstLastPara="1" vertOverflow="clip" horzOverflow="clip" vert="horz" wrap="square" lIns="38100" tIns="19050" rIns="38100" bIns="19050" anchor="ctr" anchorCtr="0">
                  <a:noAutofit/>
                </a:bodyPr>
                <a:lstStyle/>
                <a:p>
                  <a:pPr algn="ctr">
                    <a:defRPr sz="7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3652452025586354"/>
                      <c:h val="9.0860786397449503E-2"/>
                    </c:manualLayout>
                  </c15:layout>
                  <c15:dlblFieldTable>
                    <c15:dlblFTEntry>
                      <c15:txfldGUID>{1FDD5C6D-9408-4A53-8F32-4425B8D88482}</c15:txfldGUID>
                      <c15:f>Exhibits!$EH$155</c15:f>
                      <c15:dlblFieldTableCache>
                        <c:ptCount val="1"/>
                      </c15:dlblFieldTableCache>
                    </c15:dlblFTEntry>
                  </c15:dlblFieldTable>
                  <c15:showDataLabelsRange val="1"/>
                </c:ext>
                <c:ext xmlns:c16="http://schemas.microsoft.com/office/drawing/2014/chart" uri="{C3380CC4-5D6E-409C-BE32-E72D297353CC}">
                  <c16:uniqueId val="{000002C2-A7E4-430C-9E3D-D851F3DD4F29}"/>
                </c:ext>
              </c:extLst>
            </c:dLbl>
            <c:dLbl>
              <c:idx val="70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C3-A7E4-430C-9E3D-D851F3DD4F29}"/>
                </c:ext>
              </c:extLst>
            </c:dLbl>
            <c:dLbl>
              <c:idx val="70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C4-A7E4-430C-9E3D-D851F3DD4F29}"/>
                </c:ext>
              </c:extLst>
            </c:dLbl>
            <c:dLbl>
              <c:idx val="70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C5-A7E4-430C-9E3D-D851F3DD4F29}"/>
                </c:ext>
              </c:extLst>
            </c:dLbl>
            <c:dLbl>
              <c:idx val="70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C6-A7E4-430C-9E3D-D851F3DD4F29}"/>
                </c:ext>
              </c:extLst>
            </c:dLbl>
            <c:dLbl>
              <c:idx val="70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C7-A7E4-430C-9E3D-D851F3DD4F29}"/>
                </c:ext>
              </c:extLst>
            </c:dLbl>
            <c:dLbl>
              <c:idx val="71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C8-A7E4-430C-9E3D-D851F3DD4F29}"/>
                </c:ext>
              </c:extLst>
            </c:dLbl>
            <c:dLbl>
              <c:idx val="71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C9-A7E4-430C-9E3D-D851F3DD4F29}"/>
                </c:ext>
              </c:extLst>
            </c:dLbl>
            <c:dLbl>
              <c:idx val="71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CA-A7E4-430C-9E3D-D851F3DD4F29}"/>
                </c:ext>
              </c:extLst>
            </c:dLbl>
            <c:dLbl>
              <c:idx val="71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CB-A7E4-430C-9E3D-D851F3DD4F29}"/>
                </c:ext>
              </c:extLst>
            </c:dLbl>
            <c:dLbl>
              <c:idx val="71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CC-A7E4-430C-9E3D-D851F3DD4F29}"/>
                </c:ext>
              </c:extLst>
            </c:dLbl>
            <c:dLbl>
              <c:idx val="71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CD-A7E4-430C-9E3D-D851F3DD4F29}"/>
                </c:ext>
              </c:extLst>
            </c:dLbl>
            <c:dLbl>
              <c:idx val="71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CE-A7E4-430C-9E3D-D851F3DD4F29}"/>
                </c:ext>
              </c:extLst>
            </c:dLbl>
            <c:dLbl>
              <c:idx val="71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CF-A7E4-430C-9E3D-D851F3DD4F29}"/>
                </c:ext>
              </c:extLst>
            </c:dLbl>
            <c:dLbl>
              <c:idx val="71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D0-A7E4-430C-9E3D-D851F3DD4F29}"/>
                </c:ext>
              </c:extLst>
            </c:dLbl>
            <c:dLbl>
              <c:idx val="71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D1-A7E4-430C-9E3D-D851F3DD4F29}"/>
                </c:ext>
              </c:extLst>
            </c:dLbl>
            <c:dLbl>
              <c:idx val="72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D2-A7E4-430C-9E3D-D851F3DD4F29}"/>
                </c:ext>
              </c:extLst>
            </c:dLbl>
            <c:dLbl>
              <c:idx val="721"/>
              <c:layout>
                <c:manualLayout>
                  <c:x val="-1.4936832172781045E-2"/>
                  <c:y val="-0.28518802965712803"/>
                </c:manualLayout>
              </c:layout>
              <c:tx>
                <c:strRef>
                  <c:f>Exhibits!$EH$138</c:f>
                  <c:strCache>
                    <c:ptCount val="1"/>
                    <c:pt idx="0">
                      <c:v>Strong Q3 profits stemming from delivery and Panera 2.0 initiatives</c:v>
                    </c:pt>
                  </c:strCache>
                </c:strRef>
              </c:tx>
              <c:spPr>
                <a:noFill/>
                <a:ln>
                  <a:noFill/>
                </a:ln>
                <a:effectLst/>
              </c:spPr>
              <c:txPr>
                <a:bodyPr rot="0" spcFirstLastPara="1" vertOverflow="clip" horzOverflow="clip" vert="horz" wrap="square" lIns="38100" tIns="19050" rIns="38100" bIns="19050" anchor="ctr" anchorCtr="0">
                  <a:noAutofit/>
                </a:bodyPr>
                <a:lstStyle/>
                <a:p>
                  <a:pPr algn="ctr">
                    <a:defRPr sz="7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5129326986241207"/>
                      <c:h val="0.16724411708143266"/>
                    </c:manualLayout>
                  </c15:layout>
                  <c15:dlblFieldTable>
                    <c15:dlblFTEntry>
                      <c15:txfldGUID>{0E373017-9261-4E1F-9BB7-6BD92C5CE4D7}</c15:txfldGUID>
                      <c15:f>Exhibits!$EH$138</c15:f>
                      <c15:dlblFieldTableCache>
                        <c:ptCount val="1"/>
                        <c:pt idx="0">
                          <c:v>Strong Q3 profits stemming from delivery and Panera 2.0 initiatives</c:v>
                        </c:pt>
                      </c15:dlblFieldTableCache>
                    </c15:dlblFTEntry>
                  </c15:dlblFieldTable>
                  <c15:showDataLabelsRange val="1"/>
                </c:ext>
                <c:ext xmlns:c16="http://schemas.microsoft.com/office/drawing/2014/chart" uri="{C3380CC4-5D6E-409C-BE32-E72D297353CC}">
                  <c16:uniqueId val="{000002D3-A7E4-430C-9E3D-D851F3DD4F29}"/>
                </c:ext>
              </c:extLst>
            </c:dLbl>
            <c:dLbl>
              <c:idx val="72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D4-A7E4-430C-9E3D-D851F3DD4F29}"/>
                </c:ext>
              </c:extLst>
            </c:dLbl>
            <c:dLbl>
              <c:idx val="72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D5-A7E4-430C-9E3D-D851F3DD4F29}"/>
                </c:ext>
              </c:extLst>
            </c:dLbl>
            <c:dLbl>
              <c:idx val="72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D6-A7E4-430C-9E3D-D851F3DD4F29}"/>
                </c:ext>
              </c:extLst>
            </c:dLbl>
            <c:dLbl>
              <c:idx val="72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D7-A7E4-430C-9E3D-D851F3DD4F29}"/>
                </c:ext>
              </c:extLst>
            </c:dLbl>
            <c:dLbl>
              <c:idx val="72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D8-A7E4-430C-9E3D-D851F3DD4F29}"/>
                </c:ext>
              </c:extLst>
            </c:dLbl>
            <c:dLbl>
              <c:idx val="72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D9-A7E4-430C-9E3D-D851F3DD4F29}"/>
                </c:ext>
              </c:extLst>
            </c:dLbl>
            <c:dLbl>
              <c:idx val="72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DA-A7E4-430C-9E3D-D851F3DD4F29}"/>
                </c:ext>
              </c:extLst>
            </c:dLbl>
            <c:dLbl>
              <c:idx val="72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DB-A7E4-430C-9E3D-D851F3DD4F29}"/>
                </c:ext>
              </c:extLst>
            </c:dLbl>
            <c:dLbl>
              <c:idx val="73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DC-A7E4-430C-9E3D-D851F3DD4F29}"/>
                </c:ext>
              </c:extLst>
            </c:dLbl>
            <c:dLbl>
              <c:idx val="73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DD-A7E4-430C-9E3D-D851F3DD4F29}"/>
                </c:ext>
              </c:extLst>
            </c:dLbl>
            <c:dLbl>
              <c:idx val="73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DE-A7E4-430C-9E3D-D851F3DD4F29}"/>
                </c:ext>
              </c:extLst>
            </c:dLbl>
            <c:dLbl>
              <c:idx val="73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DF-A7E4-430C-9E3D-D851F3DD4F29}"/>
                </c:ext>
              </c:extLst>
            </c:dLbl>
            <c:dLbl>
              <c:idx val="73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E0-A7E4-430C-9E3D-D851F3DD4F29}"/>
                </c:ext>
              </c:extLst>
            </c:dLbl>
            <c:dLbl>
              <c:idx val="73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E1-A7E4-430C-9E3D-D851F3DD4F29}"/>
                </c:ext>
              </c:extLst>
            </c:dLbl>
            <c:dLbl>
              <c:idx val="73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E2-A7E4-430C-9E3D-D851F3DD4F29}"/>
                </c:ext>
              </c:extLst>
            </c:dLbl>
            <c:dLbl>
              <c:idx val="73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E3-A7E4-430C-9E3D-D851F3DD4F29}"/>
                </c:ext>
              </c:extLst>
            </c:dLbl>
            <c:dLbl>
              <c:idx val="73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E4-A7E4-430C-9E3D-D851F3DD4F29}"/>
                </c:ext>
              </c:extLst>
            </c:dLbl>
            <c:dLbl>
              <c:idx val="73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E5-A7E4-430C-9E3D-D851F3DD4F29}"/>
                </c:ext>
              </c:extLst>
            </c:dLbl>
            <c:dLbl>
              <c:idx val="74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E6-A7E4-430C-9E3D-D851F3DD4F29}"/>
                </c:ext>
              </c:extLst>
            </c:dLbl>
            <c:dLbl>
              <c:idx val="74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E7-A7E4-430C-9E3D-D851F3DD4F29}"/>
                </c:ext>
              </c:extLst>
            </c:dLbl>
            <c:dLbl>
              <c:idx val="74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E8-A7E4-430C-9E3D-D851F3DD4F29}"/>
                </c:ext>
              </c:extLst>
            </c:dLbl>
            <c:dLbl>
              <c:idx val="74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E9-A7E4-430C-9E3D-D851F3DD4F29}"/>
                </c:ext>
              </c:extLst>
            </c:dLbl>
            <c:dLbl>
              <c:idx val="74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EA-A7E4-430C-9E3D-D851F3DD4F29}"/>
                </c:ext>
              </c:extLst>
            </c:dLbl>
            <c:dLbl>
              <c:idx val="74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EB-A7E4-430C-9E3D-D851F3DD4F29}"/>
                </c:ext>
              </c:extLst>
            </c:dLbl>
            <c:dLbl>
              <c:idx val="74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EC-A7E4-430C-9E3D-D851F3DD4F29}"/>
                </c:ext>
              </c:extLst>
            </c:dLbl>
            <c:dLbl>
              <c:idx val="74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ED-A7E4-430C-9E3D-D851F3DD4F29}"/>
                </c:ext>
              </c:extLst>
            </c:dLbl>
            <c:dLbl>
              <c:idx val="748"/>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EE-A7E4-430C-9E3D-D851F3DD4F29}"/>
                </c:ext>
              </c:extLst>
            </c:dLbl>
            <c:dLbl>
              <c:idx val="749"/>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EF-A7E4-430C-9E3D-D851F3DD4F29}"/>
                </c:ext>
              </c:extLst>
            </c:dLbl>
            <c:dLbl>
              <c:idx val="750"/>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F0-A7E4-430C-9E3D-D851F3DD4F29}"/>
                </c:ext>
              </c:extLst>
            </c:dLbl>
            <c:dLbl>
              <c:idx val="751"/>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F1-A7E4-430C-9E3D-D851F3DD4F29}"/>
                </c:ext>
              </c:extLst>
            </c:dLbl>
            <c:dLbl>
              <c:idx val="752"/>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F2-A7E4-430C-9E3D-D851F3DD4F29}"/>
                </c:ext>
              </c:extLst>
            </c:dLbl>
            <c:dLbl>
              <c:idx val="753"/>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F3-A7E4-430C-9E3D-D851F3DD4F29}"/>
                </c:ext>
              </c:extLst>
            </c:dLbl>
            <c:dLbl>
              <c:idx val="754"/>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F4-A7E4-430C-9E3D-D851F3DD4F29}"/>
                </c:ext>
              </c:extLst>
            </c:dLbl>
            <c:dLbl>
              <c:idx val="755"/>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F5-A7E4-430C-9E3D-D851F3DD4F29}"/>
                </c:ext>
              </c:extLst>
            </c:dLbl>
            <c:dLbl>
              <c:idx val="756"/>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F6-A7E4-430C-9E3D-D851F3DD4F29}"/>
                </c:ext>
              </c:extLst>
            </c:dLbl>
            <c:dLbl>
              <c:idx val="757"/>
              <c:tx>
                <c:rich>
                  <a:bodyPr/>
                  <a:lstStyle/>
                  <a:p>
                    <a:endParaRPr lang="en-US"/>
                  </a:p>
                </c:rich>
              </c:tx>
              <c:dLblPos val="l"/>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2F7-A7E4-430C-9E3D-D851F3DD4F29}"/>
                </c:ext>
              </c:extLst>
            </c:dLbl>
            <c:spPr>
              <a:noFill/>
              <a:ln>
                <a:noFill/>
              </a:ln>
              <a:effectLst/>
            </c:spPr>
            <c:txPr>
              <a:bodyPr rot="0" spcFirstLastPara="1" vertOverflow="clip" horzOverflow="clip" vert="horz" wrap="square" lIns="38100" tIns="19050" rIns="38100" bIns="19050" anchor="ctr" anchorCtr="0">
                <a:spAutoFit/>
              </a:bodyPr>
              <a:lstStyle/>
              <a:p>
                <a:pPr algn="ctr">
                  <a:defRPr sz="7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6350" cap="flat" cmpd="sng" algn="ctr">
                      <a:solidFill>
                        <a:schemeClr val="tx1">
                          <a:lumMod val="35000"/>
                          <a:lumOff val="65000"/>
                        </a:schemeClr>
                      </a:solidFill>
                      <a:round/>
                    </a:ln>
                    <a:effectLst/>
                  </c:spPr>
                </c15:leaderLines>
              </c:ext>
            </c:extLst>
          </c:dLbls>
          <c:cat>
            <c:numRef>
              <c:f>Exhibits!$EB$102:$EB$859</c:f>
              <c:numCache>
                <c:formatCode>m/d/yyyy</c:formatCode>
                <c:ptCount val="758"/>
                <c:pt idx="0">
                  <c:v>42825</c:v>
                </c:pt>
                <c:pt idx="1">
                  <c:v>42824</c:v>
                </c:pt>
                <c:pt idx="2">
                  <c:v>42823</c:v>
                </c:pt>
                <c:pt idx="3">
                  <c:v>42822</c:v>
                </c:pt>
                <c:pt idx="4">
                  <c:v>42821</c:v>
                </c:pt>
                <c:pt idx="5">
                  <c:v>42818</c:v>
                </c:pt>
                <c:pt idx="6">
                  <c:v>42817</c:v>
                </c:pt>
                <c:pt idx="7">
                  <c:v>42816</c:v>
                </c:pt>
                <c:pt idx="8">
                  <c:v>42815</c:v>
                </c:pt>
                <c:pt idx="9">
                  <c:v>42814</c:v>
                </c:pt>
                <c:pt idx="10">
                  <c:v>42811</c:v>
                </c:pt>
                <c:pt idx="11">
                  <c:v>42810</c:v>
                </c:pt>
                <c:pt idx="12">
                  <c:v>42809</c:v>
                </c:pt>
                <c:pt idx="13">
                  <c:v>42808</c:v>
                </c:pt>
                <c:pt idx="14">
                  <c:v>42807</c:v>
                </c:pt>
                <c:pt idx="15">
                  <c:v>42804</c:v>
                </c:pt>
                <c:pt idx="16">
                  <c:v>42803</c:v>
                </c:pt>
                <c:pt idx="17">
                  <c:v>42802</c:v>
                </c:pt>
                <c:pt idx="18">
                  <c:v>42801</c:v>
                </c:pt>
                <c:pt idx="19">
                  <c:v>42800</c:v>
                </c:pt>
                <c:pt idx="20">
                  <c:v>42797</c:v>
                </c:pt>
                <c:pt idx="21">
                  <c:v>42796</c:v>
                </c:pt>
                <c:pt idx="22">
                  <c:v>42795</c:v>
                </c:pt>
                <c:pt idx="23">
                  <c:v>42794</c:v>
                </c:pt>
                <c:pt idx="24">
                  <c:v>42793</c:v>
                </c:pt>
                <c:pt idx="25">
                  <c:v>42790</c:v>
                </c:pt>
                <c:pt idx="26">
                  <c:v>42789</c:v>
                </c:pt>
                <c:pt idx="27">
                  <c:v>42788</c:v>
                </c:pt>
                <c:pt idx="28">
                  <c:v>42787</c:v>
                </c:pt>
                <c:pt idx="29">
                  <c:v>42783</c:v>
                </c:pt>
                <c:pt idx="30">
                  <c:v>42782</c:v>
                </c:pt>
                <c:pt idx="31">
                  <c:v>42781</c:v>
                </c:pt>
                <c:pt idx="32">
                  <c:v>42780</c:v>
                </c:pt>
                <c:pt idx="33">
                  <c:v>42779</c:v>
                </c:pt>
                <c:pt idx="34">
                  <c:v>42776</c:v>
                </c:pt>
                <c:pt idx="35">
                  <c:v>42775</c:v>
                </c:pt>
                <c:pt idx="36">
                  <c:v>42774</c:v>
                </c:pt>
                <c:pt idx="37">
                  <c:v>42773</c:v>
                </c:pt>
                <c:pt idx="38">
                  <c:v>42772</c:v>
                </c:pt>
                <c:pt idx="39">
                  <c:v>42769</c:v>
                </c:pt>
                <c:pt idx="40">
                  <c:v>42768</c:v>
                </c:pt>
                <c:pt idx="41">
                  <c:v>42767</c:v>
                </c:pt>
                <c:pt idx="42">
                  <c:v>42766</c:v>
                </c:pt>
                <c:pt idx="43">
                  <c:v>42765</c:v>
                </c:pt>
                <c:pt idx="44">
                  <c:v>42762</c:v>
                </c:pt>
                <c:pt idx="45">
                  <c:v>42761</c:v>
                </c:pt>
                <c:pt idx="46">
                  <c:v>42760</c:v>
                </c:pt>
                <c:pt idx="47">
                  <c:v>42759</c:v>
                </c:pt>
                <c:pt idx="48">
                  <c:v>42758</c:v>
                </c:pt>
                <c:pt idx="49">
                  <c:v>42755</c:v>
                </c:pt>
                <c:pt idx="50">
                  <c:v>42754</c:v>
                </c:pt>
                <c:pt idx="51">
                  <c:v>42753</c:v>
                </c:pt>
                <c:pt idx="52">
                  <c:v>42752</c:v>
                </c:pt>
                <c:pt idx="53">
                  <c:v>42748</c:v>
                </c:pt>
                <c:pt idx="54">
                  <c:v>42747</c:v>
                </c:pt>
                <c:pt idx="55">
                  <c:v>42746</c:v>
                </c:pt>
                <c:pt idx="56">
                  <c:v>42745</c:v>
                </c:pt>
                <c:pt idx="57">
                  <c:v>42744</c:v>
                </c:pt>
                <c:pt idx="58">
                  <c:v>42741</c:v>
                </c:pt>
                <c:pt idx="59">
                  <c:v>42740</c:v>
                </c:pt>
                <c:pt idx="60">
                  <c:v>42739</c:v>
                </c:pt>
                <c:pt idx="61">
                  <c:v>42738</c:v>
                </c:pt>
                <c:pt idx="62">
                  <c:v>42734</c:v>
                </c:pt>
                <c:pt idx="63">
                  <c:v>42733</c:v>
                </c:pt>
                <c:pt idx="64">
                  <c:v>42732</c:v>
                </c:pt>
                <c:pt idx="65">
                  <c:v>42731</c:v>
                </c:pt>
                <c:pt idx="66">
                  <c:v>42727</c:v>
                </c:pt>
                <c:pt idx="67">
                  <c:v>42726</c:v>
                </c:pt>
                <c:pt idx="68">
                  <c:v>42725</c:v>
                </c:pt>
                <c:pt idx="69">
                  <c:v>42724</c:v>
                </c:pt>
                <c:pt idx="70">
                  <c:v>42723</c:v>
                </c:pt>
                <c:pt idx="71">
                  <c:v>42720</c:v>
                </c:pt>
                <c:pt idx="72">
                  <c:v>42719</c:v>
                </c:pt>
                <c:pt idx="73">
                  <c:v>42718</c:v>
                </c:pt>
                <c:pt idx="74">
                  <c:v>42717</c:v>
                </c:pt>
                <c:pt idx="75">
                  <c:v>42716</c:v>
                </c:pt>
                <c:pt idx="76">
                  <c:v>42713</c:v>
                </c:pt>
                <c:pt idx="77">
                  <c:v>42712</c:v>
                </c:pt>
                <c:pt idx="78">
                  <c:v>42711</c:v>
                </c:pt>
                <c:pt idx="79">
                  <c:v>42710</c:v>
                </c:pt>
                <c:pt idx="80">
                  <c:v>42709</c:v>
                </c:pt>
                <c:pt idx="81">
                  <c:v>42706</c:v>
                </c:pt>
                <c:pt idx="82">
                  <c:v>42705</c:v>
                </c:pt>
                <c:pt idx="83">
                  <c:v>42704</c:v>
                </c:pt>
                <c:pt idx="84">
                  <c:v>42703</c:v>
                </c:pt>
                <c:pt idx="85">
                  <c:v>42702</c:v>
                </c:pt>
                <c:pt idx="86">
                  <c:v>42699</c:v>
                </c:pt>
                <c:pt idx="87">
                  <c:v>42697</c:v>
                </c:pt>
                <c:pt idx="88">
                  <c:v>42696</c:v>
                </c:pt>
                <c:pt idx="89">
                  <c:v>42695</c:v>
                </c:pt>
                <c:pt idx="90">
                  <c:v>42692</c:v>
                </c:pt>
                <c:pt idx="91">
                  <c:v>42691</c:v>
                </c:pt>
                <c:pt idx="92">
                  <c:v>42690</c:v>
                </c:pt>
                <c:pt idx="93">
                  <c:v>42689</c:v>
                </c:pt>
                <c:pt idx="94">
                  <c:v>42688</c:v>
                </c:pt>
                <c:pt idx="95">
                  <c:v>42685</c:v>
                </c:pt>
                <c:pt idx="96">
                  <c:v>42684</c:v>
                </c:pt>
                <c:pt idx="97">
                  <c:v>42683</c:v>
                </c:pt>
                <c:pt idx="98">
                  <c:v>42682</c:v>
                </c:pt>
                <c:pt idx="99">
                  <c:v>42681</c:v>
                </c:pt>
                <c:pt idx="100">
                  <c:v>42678</c:v>
                </c:pt>
                <c:pt idx="101">
                  <c:v>42677</c:v>
                </c:pt>
                <c:pt idx="102">
                  <c:v>42676</c:v>
                </c:pt>
                <c:pt idx="103">
                  <c:v>42675</c:v>
                </c:pt>
                <c:pt idx="104">
                  <c:v>42674</c:v>
                </c:pt>
                <c:pt idx="105">
                  <c:v>42671</c:v>
                </c:pt>
                <c:pt idx="106">
                  <c:v>42670</c:v>
                </c:pt>
                <c:pt idx="107">
                  <c:v>42669</c:v>
                </c:pt>
                <c:pt idx="108">
                  <c:v>42668</c:v>
                </c:pt>
                <c:pt idx="109">
                  <c:v>42667</c:v>
                </c:pt>
                <c:pt idx="110">
                  <c:v>42664</c:v>
                </c:pt>
                <c:pt idx="111">
                  <c:v>42663</c:v>
                </c:pt>
                <c:pt idx="112">
                  <c:v>42662</c:v>
                </c:pt>
                <c:pt idx="113">
                  <c:v>42661</c:v>
                </c:pt>
                <c:pt idx="114">
                  <c:v>42660</c:v>
                </c:pt>
                <c:pt idx="115">
                  <c:v>42657</c:v>
                </c:pt>
                <c:pt idx="116">
                  <c:v>42656</c:v>
                </c:pt>
                <c:pt idx="117">
                  <c:v>42655</c:v>
                </c:pt>
                <c:pt idx="118">
                  <c:v>42654</c:v>
                </c:pt>
                <c:pt idx="119">
                  <c:v>42653</c:v>
                </c:pt>
                <c:pt idx="120">
                  <c:v>42650</c:v>
                </c:pt>
                <c:pt idx="121">
                  <c:v>42649</c:v>
                </c:pt>
                <c:pt idx="122">
                  <c:v>42648</c:v>
                </c:pt>
                <c:pt idx="123">
                  <c:v>42647</c:v>
                </c:pt>
                <c:pt idx="124">
                  <c:v>42646</c:v>
                </c:pt>
                <c:pt idx="125">
                  <c:v>42643</c:v>
                </c:pt>
                <c:pt idx="126">
                  <c:v>42642</c:v>
                </c:pt>
                <c:pt idx="127">
                  <c:v>42641</c:v>
                </c:pt>
                <c:pt idx="128">
                  <c:v>42640</c:v>
                </c:pt>
                <c:pt idx="129">
                  <c:v>42639</c:v>
                </c:pt>
                <c:pt idx="130">
                  <c:v>42636</c:v>
                </c:pt>
                <c:pt idx="131">
                  <c:v>42635</c:v>
                </c:pt>
                <c:pt idx="132">
                  <c:v>42634</c:v>
                </c:pt>
                <c:pt idx="133">
                  <c:v>42633</c:v>
                </c:pt>
                <c:pt idx="134">
                  <c:v>42632</c:v>
                </c:pt>
                <c:pt idx="135">
                  <c:v>42629</c:v>
                </c:pt>
                <c:pt idx="136">
                  <c:v>42628</c:v>
                </c:pt>
                <c:pt idx="137">
                  <c:v>42627</c:v>
                </c:pt>
                <c:pt idx="138">
                  <c:v>42626</c:v>
                </c:pt>
                <c:pt idx="139">
                  <c:v>42625</c:v>
                </c:pt>
                <c:pt idx="140">
                  <c:v>42622</c:v>
                </c:pt>
                <c:pt idx="141">
                  <c:v>42621</c:v>
                </c:pt>
                <c:pt idx="142">
                  <c:v>42620</c:v>
                </c:pt>
                <c:pt idx="143">
                  <c:v>42619</c:v>
                </c:pt>
                <c:pt idx="144">
                  <c:v>42615</c:v>
                </c:pt>
                <c:pt idx="145">
                  <c:v>42614</c:v>
                </c:pt>
                <c:pt idx="146">
                  <c:v>42613</c:v>
                </c:pt>
                <c:pt idx="147">
                  <c:v>42612</c:v>
                </c:pt>
                <c:pt idx="148">
                  <c:v>42611</c:v>
                </c:pt>
                <c:pt idx="149">
                  <c:v>42608</c:v>
                </c:pt>
                <c:pt idx="150">
                  <c:v>42607</c:v>
                </c:pt>
                <c:pt idx="151">
                  <c:v>42606</c:v>
                </c:pt>
                <c:pt idx="152">
                  <c:v>42605</c:v>
                </c:pt>
                <c:pt idx="153">
                  <c:v>42604</c:v>
                </c:pt>
                <c:pt idx="154">
                  <c:v>42601</c:v>
                </c:pt>
                <c:pt idx="155">
                  <c:v>42600</c:v>
                </c:pt>
                <c:pt idx="156">
                  <c:v>42599</c:v>
                </c:pt>
                <c:pt idx="157">
                  <c:v>42598</c:v>
                </c:pt>
                <c:pt idx="158">
                  <c:v>42597</c:v>
                </c:pt>
                <c:pt idx="159">
                  <c:v>42594</c:v>
                </c:pt>
                <c:pt idx="160">
                  <c:v>42593</c:v>
                </c:pt>
                <c:pt idx="161">
                  <c:v>42592</c:v>
                </c:pt>
                <c:pt idx="162">
                  <c:v>42591</c:v>
                </c:pt>
                <c:pt idx="163">
                  <c:v>42590</c:v>
                </c:pt>
                <c:pt idx="164">
                  <c:v>42587</c:v>
                </c:pt>
                <c:pt idx="165">
                  <c:v>42586</c:v>
                </c:pt>
                <c:pt idx="166">
                  <c:v>42585</c:v>
                </c:pt>
                <c:pt idx="167">
                  <c:v>42584</c:v>
                </c:pt>
                <c:pt idx="168">
                  <c:v>42583</c:v>
                </c:pt>
                <c:pt idx="169">
                  <c:v>42580</c:v>
                </c:pt>
                <c:pt idx="170">
                  <c:v>42579</c:v>
                </c:pt>
                <c:pt idx="171">
                  <c:v>42578</c:v>
                </c:pt>
                <c:pt idx="172">
                  <c:v>42577</c:v>
                </c:pt>
                <c:pt idx="173">
                  <c:v>42576</c:v>
                </c:pt>
                <c:pt idx="174">
                  <c:v>42573</c:v>
                </c:pt>
                <c:pt idx="175">
                  <c:v>42572</c:v>
                </c:pt>
                <c:pt idx="176">
                  <c:v>42571</c:v>
                </c:pt>
                <c:pt idx="177">
                  <c:v>42570</c:v>
                </c:pt>
                <c:pt idx="178">
                  <c:v>42569</c:v>
                </c:pt>
                <c:pt idx="179">
                  <c:v>42566</c:v>
                </c:pt>
                <c:pt idx="180">
                  <c:v>42565</c:v>
                </c:pt>
                <c:pt idx="181">
                  <c:v>42564</c:v>
                </c:pt>
                <c:pt idx="182">
                  <c:v>42563</c:v>
                </c:pt>
                <c:pt idx="183">
                  <c:v>42562</c:v>
                </c:pt>
                <c:pt idx="184">
                  <c:v>42559</c:v>
                </c:pt>
                <c:pt idx="185">
                  <c:v>42558</c:v>
                </c:pt>
                <c:pt idx="186">
                  <c:v>42557</c:v>
                </c:pt>
                <c:pt idx="187">
                  <c:v>42556</c:v>
                </c:pt>
                <c:pt idx="188">
                  <c:v>42552</c:v>
                </c:pt>
                <c:pt idx="189">
                  <c:v>42551</c:v>
                </c:pt>
                <c:pt idx="190">
                  <c:v>42550</c:v>
                </c:pt>
                <c:pt idx="191">
                  <c:v>42549</c:v>
                </c:pt>
                <c:pt idx="192">
                  <c:v>42548</c:v>
                </c:pt>
                <c:pt idx="193">
                  <c:v>42545</c:v>
                </c:pt>
                <c:pt idx="194">
                  <c:v>42544</c:v>
                </c:pt>
                <c:pt idx="195">
                  <c:v>42543</c:v>
                </c:pt>
                <c:pt idx="196">
                  <c:v>42542</c:v>
                </c:pt>
                <c:pt idx="197">
                  <c:v>42541</c:v>
                </c:pt>
                <c:pt idx="198">
                  <c:v>42538</c:v>
                </c:pt>
                <c:pt idx="199">
                  <c:v>42537</c:v>
                </c:pt>
                <c:pt idx="200">
                  <c:v>42536</c:v>
                </c:pt>
                <c:pt idx="201">
                  <c:v>42535</c:v>
                </c:pt>
                <c:pt idx="202">
                  <c:v>42534</c:v>
                </c:pt>
                <c:pt idx="203">
                  <c:v>42531</c:v>
                </c:pt>
                <c:pt idx="204">
                  <c:v>42530</c:v>
                </c:pt>
                <c:pt idx="205">
                  <c:v>42529</c:v>
                </c:pt>
                <c:pt idx="206">
                  <c:v>42528</c:v>
                </c:pt>
                <c:pt idx="207">
                  <c:v>42527</c:v>
                </c:pt>
                <c:pt idx="208">
                  <c:v>42524</c:v>
                </c:pt>
                <c:pt idx="209">
                  <c:v>42523</c:v>
                </c:pt>
                <c:pt idx="210">
                  <c:v>42522</c:v>
                </c:pt>
                <c:pt idx="211">
                  <c:v>42521</c:v>
                </c:pt>
                <c:pt idx="212">
                  <c:v>42517</c:v>
                </c:pt>
                <c:pt idx="213">
                  <c:v>42516</c:v>
                </c:pt>
                <c:pt idx="214">
                  <c:v>42515</c:v>
                </c:pt>
                <c:pt idx="215">
                  <c:v>42514</c:v>
                </c:pt>
                <c:pt idx="216">
                  <c:v>42513</c:v>
                </c:pt>
                <c:pt idx="217">
                  <c:v>42510</c:v>
                </c:pt>
                <c:pt idx="218">
                  <c:v>42509</c:v>
                </c:pt>
                <c:pt idx="219">
                  <c:v>42508</c:v>
                </c:pt>
                <c:pt idx="220">
                  <c:v>42507</c:v>
                </c:pt>
                <c:pt idx="221">
                  <c:v>42506</c:v>
                </c:pt>
                <c:pt idx="222">
                  <c:v>42503</c:v>
                </c:pt>
                <c:pt idx="223">
                  <c:v>42502</c:v>
                </c:pt>
                <c:pt idx="224">
                  <c:v>42501</c:v>
                </c:pt>
                <c:pt idx="225">
                  <c:v>42500</c:v>
                </c:pt>
                <c:pt idx="226">
                  <c:v>42499</c:v>
                </c:pt>
                <c:pt idx="227">
                  <c:v>42496</c:v>
                </c:pt>
                <c:pt idx="228">
                  <c:v>42495</c:v>
                </c:pt>
                <c:pt idx="229">
                  <c:v>42494</c:v>
                </c:pt>
                <c:pt idx="230">
                  <c:v>42493</c:v>
                </c:pt>
                <c:pt idx="231">
                  <c:v>42492</c:v>
                </c:pt>
                <c:pt idx="232">
                  <c:v>42489</c:v>
                </c:pt>
                <c:pt idx="233">
                  <c:v>42488</c:v>
                </c:pt>
                <c:pt idx="234">
                  <c:v>42487</c:v>
                </c:pt>
                <c:pt idx="235">
                  <c:v>42486</c:v>
                </c:pt>
                <c:pt idx="236">
                  <c:v>42485</c:v>
                </c:pt>
                <c:pt idx="237">
                  <c:v>42482</c:v>
                </c:pt>
                <c:pt idx="238">
                  <c:v>42481</c:v>
                </c:pt>
                <c:pt idx="239">
                  <c:v>42480</c:v>
                </c:pt>
                <c:pt idx="240">
                  <c:v>42479</c:v>
                </c:pt>
                <c:pt idx="241">
                  <c:v>42478</c:v>
                </c:pt>
                <c:pt idx="242">
                  <c:v>42475</c:v>
                </c:pt>
                <c:pt idx="243">
                  <c:v>42474</c:v>
                </c:pt>
                <c:pt idx="244">
                  <c:v>42473</c:v>
                </c:pt>
                <c:pt idx="245">
                  <c:v>42472</c:v>
                </c:pt>
                <c:pt idx="246">
                  <c:v>42471</c:v>
                </c:pt>
                <c:pt idx="247">
                  <c:v>42468</c:v>
                </c:pt>
                <c:pt idx="248">
                  <c:v>42467</c:v>
                </c:pt>
                <c:pt idx="249">
                  <c:v>42466</c:v>
                </c:pt>
                <c:pt idx="250">
                  <c:v>42465</c:v>
                </c:pt>
                <c:pt idx="251">
                  <c:v>42464</c:v>
                </c:pt>
                <c:pt idx="252">
                  <c:v>42461</c:v>
                </c:pt>
                <c:pt idx="253">
                  <c:v>42460</c:v>
                </c:pt>
                <c:pt idx="254">
                  <c:v>42459</c:v>
                </c:pt>
                <c:pt idx="255">
                  <c:v>42458</c:v>
                </c:pt>
                <c:pt idx="256">
                  <c:v>42457</c:v>
                </c:pt>
                <c:pt idx="257">
                  <c:v>42453</c:v>
                </c:pt>
                <c:pt idx="258">
                  <c:v>42452</c:v>
                </c:pt>
                <c:pt idx="259">
                  <c:v>42451</c:v>
                </c:pt>
                <c:pt idx="260">
                  <c:v>42450</c:v>
                </c:pt>
                <c:pt idx="261">
                  <c:v>42447</c:v>
                </c:pt>
                <c:pt idx="262">
                  <c:v>42446</c:v>
                </c:pt>
                <c:pt idx="263">
                  <c:v>42445</c:v>
                </c:pt>
                <c:pt idx="264">
                  <c:v>42444</c:v>
                </c:pt>
                <c:pt idx="265">
                  <c:v>42443</c:v>
                </c:pt>
                <c:pt idx="266">
                  <c:v>42440</c:v>
                </c:pt>
                <c:pt idx="267">
                  <c:v>42439</c:v>
                </c:pt>
                <c:pt idx="268">
                  <c:v>42438</c:v>
                </c:pt>
                <c:pt idx="269">
                  <c:v>42437</c:v>
                </c:pt>
                <c:pt idx="270">
                  <c:v>42436</c:v>
                </c:pt>
                <c:pt idx="271">
                  <c:v>42433</c:v>
                </c:pt>
                <c:pt idx="272">
                  <c:v>42432</c:v>
                </c:pt>
                <c:pt idx="273">
                  <c:v>42431</c:v>
                </c:pt>
                <c:pt idx="274">
                  <c:v>42430</c:v>
                </c:pt>
                <c:pt idx="275">
                  <c:v>42429</c:v>
                </c:pt>
                <c:pt idx="276">
                  <c:v>42426</c:v>
                </c:pt>
                <c:pt idx="277">
                  <c:v>42425</c:v>
                </c:pt>
                <c:pt idx="278">
                  <c:v>42424</c:v>
                </c:pt>
                <c:pt idx="279">
                  <c:v>42423</c:v>
                </c:pt>
                <c:pt idx="280">
                  <c:v>42422</c:v>
                </c:pt>
                <c:pt idx="281">
                  <c:v>42419</c:v>
                </c:pt>
                <c:pt idx="282">
                  <c:v>42418</c:v>
                </c:pt>
                <c:pt idx="283">
                  <c:v>42417</c:v>
                </c:pt>
                <c:pt idx="284">
                  <c:v>42416</c:v>
                </c:pt>
                <c:pt idx="285">
                  <c:v>42412</c:v>
                </c:pt>
                <c:pt idx="286">
                  <c:v>42411</c:v>
                </c:pt>
                <c:pt idx="287">
                  <c:v>42410</c:v>
                </c:pt>
                <c:pt idx="288">
                  <c:v>42409</c:v>
                </c:pt>
                <c:pt idx="289">
                  <c:v>42408</c:v>
                </c:pt>
                <c:pt idx="290">
                  <c:v>42405</c:v>
                </c:pt>
                <c:pt idx="291">
                  <c:v>42404</c:v>
                </c:pt>
                <c:pt idx="292">
                  <c:v>42403</c:v>
                </c:pt>
                <c:pt idx="293">
                  <c:v>42402</c:v>
                </c:pt>
                <c:pt idx="294">
                  <c:v>42401</c:v>
                </c:pt>
                <c:pt idx="295">
                  <c:v>42398</c:v>
                </c:pt>
                <c:pt idx="296">
                  <c:v>42397</c:v>
                </c:pt>
                <c:pt idx="297">
                  <c:v>42396</c:v>
                </c:pt>
                <c:pt idx="298">
                  <c:v>42395</c:v>
                </c:pt>
                <c:pt idx="299">
                  <c:v>42394</c:v>
                </c:pt>
                <c:pt idx="300">
                  <c:v>42391</c:v>
                </c:pt>
                <c:pt idx="301">
                  <c:v>42390</c:v>
                </c:pt>
                <c:pt idx="302">
                  <c:v>42389</c:v>
                </c:pt>
                <c:pt idx="303">
                  <c:v>42388</c:v>
                </c:pt>
                <c:pt idx="304">
                  <c:v>42384</c:v>
                </c:pt>
                <c:pt idx="305">
                  <c:v>42383</c:v>
                </c:pt>
                <c:pt idx="306">
                  <c:v>42382</c:v>
                </c:pt>
                <c:pt idx="307">
                  <c:v>42381</c:v>
                </c:pt>
                <c:pt idx="308">
                  <c:v>42380</c:v>
                </c:pt>
                <c:pt idx="309">
                  <c:v>42377</c:v>
                </c:pt>
                <c:pt idx="310">
                  <c:v>42376</c:v>
                </c:pt>
                <c:pt idx="311">
                  <c:v>42375</c:v>
                </c:pt>
                <c:pt idx="312">
                  <c:v>42374</c:v>
                </c:pt>
                <c:pt idx="313">
                  <c:v>42373</c:v>
                </c:pt>
                <c:pt idx="314">
                  <c:v>42369</c:v>
                </c:pt>
                <c:pt idx="315">
                  <c:v>42368</c:v>
                </c:pt>
                <c:pt idx="316">
                  <c:v>42367</c:v>
                </c:pt>
                <c:pt idx="317">
                  <c:v>42366</c:v>
                </c:pt>
                <c:pt idx="318">
                  <c:v>42362</c:v>
                </c:pt>
                <c:pt idx="319">
                  <c:v>42361</c:v>
                </c:pt>
                <c:pt idx="320">
                  <c:v>42360</c:v>
                </c:pt>
                <c:pt idx="321">
                  <c:v>42359</c:v>
                </c:pt>
                <c:pt idx="322">
                  <c:v>42356</c:v>
                </c:pt>
                <c:pt idx="323">
                  <c:v>42355</c:v>
                </c:pt>
                <c:pt idx="324">
                  <c:v>42354</c:v>
                </c:pt>
                <c:pt idx="325">
                  <c:v>42353</c:v>
                </c:pt>
                <c:pt idx="326">
                  <c:v>42352</c:v>
                </c:pt>
                <c:pt idx="327">
                  <c:v>42349</c:v>
                </c:pt>
                <c:pt idx="328">
                  <c:v>42348</c:v>
                </c:pt>
                <c:pt idx="329">
                  <c:v>42347</c:v>
                </c:pt>
                <c:pt idx="330">
                  <c:v>42346</c:v>
                </c:pt>
                <c:pt idx="331">
                  <c:v>42345</c:v>
                </c:pt>
                <c:pt idx="332">
                  <c:v>42342</c:v>
                </c:pt>
                <c:pt idx="333">
                  <c:v>42341</c:v>
                </c:pt>
                <c:pt idx="334">
                  <c:v>42340</c:v>
                </c:pt>
                <c:pt idx="335">
                  <c:v>42339</c:v>
                </c:pt>
                <c:pt idx="336">
                  <c:v>42338</c:v>
                </c:pt>
                <c:pt idx="337">
                  <c:v>42335</c:v>
                </c:pt>
                <c:pt idx="338">
                  <c:v>42333</c:v>
                </c:pt>
                <c:pt idx="339">
                  <c:v>42332</c:v>
                </c:pt>
                <c:pt idx="340">
                  <c:v>42331</c:v>
                </c:pt>
                <c:pt idx="341">
                  <c:v>42328</c:v>
                </c:pt>
                <c:pt idx="342">
                  <c:v>42327</c:v>
                </c:pt>
                <c:pt idx="343">
                  <c:v>42326</c:v>
                </c:pt>
                <c:pt idx="344">
                  <c:v>42325</c:v>
                </c:pt>
                <c:pt idx="345">
                  <c:v>42324</c:v>
                </c:pt>
                <c:pt idx="346">
                  <c:v>42321</c:v>
                </c:pt>
                <c:pt idx="347">
                  <c:v>42320</c:v>
                </c:pt>
                <c:pt idx="348">
                  <c:v>42319</c:v>
                </c:pt>
                <c:pt idx="349">
                  <c:v>42318</c:v>
                </c:pt>
                <c:pt idx="350">
                  <c:v>42317</c:v>
                </c:pt>
                <c:pt idx="351">
                  <c:v>42314</c:v>
                </c:pt>
                <c:pt idx="352">
                  <c:v>42313</c:v>
                </c:pt>
                <c:pt idx="353">
                  <c:v>42312</c:v>
                </c:pt>
                <c:pt idx="354">
                  <c:v>42311</c:v>
                </c:pt>
                <c:pt idx="355">
                  <c:v>42310</c:v>
                </c:pt>
                <c:pt idx="356">
                  <c:v>42307</c:v>
                </c:pt>
                <c:pt idx="357">
                  <c:v>42306</c:v>
                </c:pt>
                <c:pt idx="358">
                  <c:v>42305</c:v>
                </c:pt>
                <c:pt idx="359">
                  <c:v>42304</c:v>
                </c:pt>
                <c:pt idx="360">
                  <c:v>42303</c:v>
                </c:pt>
                <c:pt idx="361">
                  <c:v>42300</c:v>
                </c:pt>
                <c:pt idx="362">
                  <c:v>42299</c:v>
                </c:pt>
                <c:pt idx="363">
                  <c:v>42298</c:v>
                </c:pt>
                <c:pt idx="364">
                  <c:v>42297</c:v>
                </c:pt>
                <c:pt idx="365">
                  <c:v>42296</c:v>
                </c:pt>
                <c:pt idx="366">
                  <c:v>42293</c:v>
                </c:pt>
                <c:pt idx="367">
                  <c:v>42292</c:v>
                </c:pt>
                <c:pt idx="368">
                  <c:v>42291</c:v>
                </c:pt>
                <c:pt idx="369">
                  <c:v>42290</c:v>
                </c:pt>
                <c:pt idx="370">
                  <c:v>42289</c:v>
                </c:pt>
                <c:pt idx="371">
                  <c:v>42286</c:v>
                </c:pt>
                <c:pt idx="372">
                  <c:v>42285</c:v>
                </c:pt>
                <c:pt idx="373">
                  <c:v>42284</c:v>
                </c:pt>
                <c:pt idx="374">
                  <c:v>42283</c:v>
                </c:pt>
                <c:pt idx="375">
                  <c:v>42282</c:v>
                </c:pt>
                <c:pt idx="376">
                  <c:v>42279</c:v>
                </c:pt>
                <c:pt idx="377">
                  <c:v>42278</c:v>
                </c:pt>
                <c:pt idx="378">
                  <c:v>42277</c:v>
                </c:pt>
                <c:pt idx="379">
                  <c:v>42276</c:v>
                </c:pt>
                <c:pt idx="380">
                  <c:v>42275</c:v>
                </c:pt>
                <c:pt idx="381">
                  <c:v>42272</c:v>
                </c:pt>
                <c:pt idx="382">
                  <c:v>42271</c:v>
                </c:pt>
                <c:pt idx="383">
                  <c:v>42270</c:v>
                </c:pt>
                <c:pt idx="384">
                  <c:v>42269</c:v>
                </c:pt>
                <c:pt idx="385">
                  <c:v>42268</c:v>
                </c:pt>
                <c:pt idx="386">
                  <c:v>42265</c:v>
                </c:pt>
                <c:pt idx="387">
                  <c:v>42264</c:v>
                </c:pt>
                <c:pt idx="388">
                  <c:v>42263</c:v>
                </c:pt>
                <c:pt idx="389">
                  <c:v>42262</c:v>
                </c:pt>
                <c:pt idx="390">
                  <c:v>42261</c:v>
                </c:pt>
                <c:pt idx="391">
                  <c:v>42258</c:v>
                </c:pt>
                <c:pt idx="392">
                  <c:v>42257</c:v>
                </c:pt>
                <c:pt idx="393">
                  <c:v>42256</c:v>
                </c:pt>
                <c:pt idx="394">
                  <c:v>42255</c:v>
                </c:pt>
                <c:pt idx="395">
                  <c:v>42251</c:v>
                </c:pt>
                <c:pt idx="396">
                  <c:v>42250</c:v>
                </c:pt>
                <c:pt idx="397">
                  <c:v>42249</c:v>
                </c:pt>
                <c:pt idx="398">
                  <c:v>42248</c:v>
                </c:pt>
                <c:pt idx="399">
                  <c:v>42247</c:v>
                </c:pt>
                <c:pt idx="400">
                  <c:v>42244</c:v>
                </c:pt>
                <c:pt idx="401">
                  <c:v>42243</c:v>
                </c:pt>
                <c:pt idx="402">
                  <c:v>42242</c:v>
                </c:pt>
                <c:pt idx="403">
                  <c:v>42241</c:v>
                </c:pt>
                <c:pt idx="404">
                  <c:v>42240</c:v>
                </c:pt>
                <c:pt idx="405">
                  <c:v>42237</c:v>
                </c:pt>
                <c:pt idx="406">
                  <c:v>42236</c:v>
                </c:pt>
                <c:pt idx="407">
                  <c:v>42235</c:v>
                </c:pt>
                <c:pt idx="408">
                  <c:v>42234</c:v>
                </c:pt>
                <c:pt idx="409">
                  <c:v>42233</c:v>
                </c:pt>
                <c:pt idx="410">
                  <c:v>42230</c:v>
                </c:pt>
                <c:pt idx="411">
                  <c:v>42229</c:v>
                </c:pt>
                <c:pt idx="412">
                  <c:v>42228</c:v>
                </c:pt>
                <c:pt idx="413">
                  <c:v>42227</c:v>
                </c:pt>
                <c:pt idx="414">
                  <c:v>42226</c:v>
                </c:pt>
                <c:pt idx="415">
                  <c:v>42223</c:v>
                </c:pt>
                <c:pt idx="416">
                  <c:v>42222</c:v>
                </c:pt>
                <c:pt idx="417">
                  <c:v>42221</c:v>
                </c:pt>
                <c:pt idx="418">
                  <c:v>42220</c:v>
                </c:pt>
                <c:pt idx="419">
                  <c:v>42219</c:v>
                </c:pt>
                <c:pt idx="420">
                  <c:v>42216</c:v>
                </c:pt>
                <c:pt idx="421">
                  <c:v>42215</c:v>
                </c:pt>
                <c:pt idx="422">
                  <c:v>42214</c:v>
                </c:pt>
                <c:pt idx="423">
                  <c:v>42213</c:v>
                </c:pt>
                <c:pt idx="424">
                  <c:v>42212</c:v>
                </c:pt>
                <c:pt idx="425">
                  <c:v>42209</c:v>
                </c:pt>
                <c:pt idx="426">
                  <c:v>42208</c:v>
                </c:pt>
                <c:pt idx="427">
                  <c:v>42207</c:v>
                </c:pt>
                <c:pt idx="428">
                  <c:v>42206</c:v>
                </c:pt>
                <c:pt idx="429">
                  <c:v>42205</c:v>
                </c:pt>
                <c:pt idx="430">
                  <c:v>42202</c:v>
                </c:pt>
                <c:pt idx="431">
                  <c:v>42201</c:v>
                </c:pt>
                <c:pt idx="432">
                  <c:v>42200</c:v>
                </c:pt>
                <c:pt idx="433">
                  <c:v>42199</c:v>
                </c:pt>
                <c:pt idx="434">
                  <c:v>42198</c:v>
                </c:pt>
                <c:pt idx="435">
                  <c:v>42195</c:v>
                </c:pt>
                <c:pt idx="436">
                  <c:v>42194</c:v>
                </c:pt>
                <c:pt idx="437">
                  <c:v>42193</c:v>
                </c:pt>
                <c:pt idx="438">
                  <c:v>42192</c:v>
                </c:pt>
                <c:pt idx="439">
                  <c:v>42191</c:v>
                </c:pt>
                <c:pt idx="440">
                  <c:v>42187</c:v>
                </c:pt>
                <c:pt idx="441">
                  <c:v>42186</c:v>
                </c:pt>
                <c:pt idx="442">
                  <c:v>42185</c:v>
                </c:pt>
                <c:pt idx="443">
                  <c:v>42184</c:v>
                </c:pt>
                <c:pt idx="444">
                  <c:v>42181</c:v>
                </c:pt>
                <c:pt idx="445">
                  <c:v>42180</c:v>
                </c:pt>
                <c:pt idx="446">
                  <c:v>42179</c:v>
                </c:pt>
                <c:pt idx="447">
                  <c:v>42178</c:v>
                </c:pt>
                <c:pt idx="448">
                  <c:v>42177</c:v>
                </c:pt>
                <c:pt idx="449">
                  <c:v>42174</c:v>
                </c:pt>
                <c:pt idx="450">
                  <c:v>42173</c:v>
                </c:pt>
                <c:pt idx="451">
                  <c:v>42172</c:v>
                </c:pt>
                <c:pt idx="452">
                  <c:v>42171</c:v>
                </c:pt>
                <c:pt idx="453">
                  <c:v>42170</c:v>
                </c:pt>
                <c:pt idx="454">
                  <c:v>42167</c:v>
                </c:pt>
                <c:pt idx="455">
                  <c:v>42166</c:v>
                </c:pt>
                <c:pt idx="456">
                  <c:v>42165</c:v>
                </c:pt>
                <c:pt idx="457">
                  <c:v>42164</c:v>
                </c:pt>
                <c:pt idx="458">
                  <c:v>42163</c:v>
                </c:pt>
                <c:pt idx="459">
                  <c:v>42160</c:v>
                </c:pt>
                <c:pt idx="460">
                  <c:v>42159</c:v>
                </c:pt>
                <c:pt idx="461">
                  <c:v>42158</c:v>
                </c:pt>
                <c:pt idx="462">
                  <c:v>42157</c:v>
                </c:pt>
                <c:pt idx="463">
                  <c:v>42156</c:v>
                </c:pt>
                <c:pt idx="464">
                  <c:v>42153</c:v>
                </c:pt>
                <c:pt idx="465">
                  <c:v>42152</c:v>
                </c:pt>
                <c:pt idx="466">
                  <c:v>42151</c:v>
                </c:pt>
                <c:pt idx="467">
                  <c:v>42150</c:v>
                </c:pt>
                <c:pt idx="468">
                  <c:v>42146</c:v>
                </c:pt>
                <c:pt idx="469">
                  <c:v>42145</c:v>
                </c:pt>
                <c:pt idx="470">
                  <c:v>42144</c:v>
                </c:pt>
                <c:pt idx="471">
                  <c:v>42143</c:v>
                </c:pt>
                <c:pt idx="472">
                  <c:v>42142</c:v>
                </c:pt>
                <c:pt idx="473">
                  <c:v>42139</c:v>
                </c:pt>
                <c:pt idx="474">
                  <c:v>42138</c:v>
                </c:pt>
                <c:pt idx="475">
                  <c:v>42137</c:v>
                </c:pt>
                <c:pt idx="476">
                  <c:v>42136</c:v>
                </c:pt>
                <c:pt idx="477">
                  <c:v>42135</c:v>
                </c:pt>
                <c:pt idx="478">
                  <c:v>42132</c:v>
                </c:pt>
                <c:pt idx="479">
                  <c:v>42131</c:v>
                </c:pt>
                <c:pt idx="480">
                  <c:v>42130</c:v>
                </c:pt>
                <c:pt idx="481">
                  <c:v>42129</c:v>
                </c:pt>
                <c:pt idx="482">
                  <c:v>42128</c:v>
                </c:pt>
                <c:pt idx="483">
                  <c:v>42125</c:v>
                </c:pt>
                <c:pt idx="484">
                  <c:v>42124</c:v>
                </c:pt>
                <c:pt idx="485">
                  <c:v>42123</c:v>
                </c:pt>
                <c:pt idx="486">
                  <c:v>42122</c:v>
                </c:pt>
                <c:pt idx="487">
                  <c:v>42121</c:v>
                </c:pt>
                <c:pt idx="488">
                  <c:v>42118</c:v>
                </c:pt>
                <c:pt idx="489">
                  <c:v>42117</c:v>
                </c:pt>
                <c:pt idx="490">
                  <c:v>42116</c:v>
                </c:pt>
                <c:pt idx="491">
                  <c:v>42115</c:v>
                </c:pt>
                <c:pt idx="492">
                  <c:v>42114</c:v>
                </c:pt>
                <c:pt idx="493">
                  <c:v>42111</c:v>
                </c:pt>
                <c:pt idx="494">
                  <c:v>42110</c:v>
                </c:pt>
                <c:pt idx="495">
                  <c:v>42109</c:v>
                </c:pt>
                <c:pt idx="496">
                  <c:v>42108</c:v>
                </c:pt>
                <c:pt idx="497">
                  <c:v>42107</c:v>
                </c:pt>
                <c:pt idx="498">
                  <c:v>42104</c:v>
                </c:pt>
                <c:pt idx="499">
                  <c:v>42103</c:v>
                </c:pt>
                <c:pt idx="500">
                  <c:v>42102</c:v>
                </c:pt>
                <c:pt idx="501">
                  <c:v>42101</c:v>
                </c:pt>
                <c:pt idx="502">
                  <c:v>42100</c:v>
                </c:pt>
                <c:pt idx="503">
                  <c:v>42096</c:v>
                </c:pt>
                <c:pt idx="504">
                  <c:v>42095</c:v>
                </c:pt>
                <c:pt idx="505">
                  <c:v>42094</c:v>
                </c:pt>
                <c:pt idx="506">
                  <c:v>42093</c:v>
                </c:pt>
                <c:pt idx="507">
                  <c:v>42090</c:v>
                </c:pt>
                <c:pt idx="508">
                  <c:v>42089</c:v>
                </c:pt>
                <c:pt idx="509">
                  <c:v>42088</c:v>
                </c:pt>
                <c:pt idx="510">
                  <c:v>42087</c:v>
                </c:pt>
                <c:pt idx="511">
                  <c:v>42086</c:v>
                </c:pt>
                <c:pt idx="512">
                  <c:v>42083</c:v>
                </c:pt>
                <c:pt idx="513">
                  <c:v>42082</c:v>
                </c:pt>
                <c:pt idx="514">
                  <c:v>42081</c:v>
                </c:pt>
                <c:pt idx="515">
                  <c:v>42080</c:v>
                </c:pt>
                <c:pt idx="516">
                  <c:v>42079</c:v>
                </c:pt>
                <c:pt idx="517">
                  <c:v>42076</c:v>
                </c:pt>
                <c:pt idx="518">
                  <c:v>42075</c:v>
                </c:pt>
                <c:pt idx="519">
                  <c:v>42074</c:v>
                </c:pt>
                <c:pt idx="520">
                  <c:v>42073</c:v>
                </c:pt>
                <c:pt idx="521">
                  <c:v>42072</c:v>
                </c:pt>
                <c:pt idx="522">
                  <c:v>42069</c:v>
                </c:pt>
                <c:pt idx="523">
                  <c:v>42068</c:v>
                </c:pt>
                <c:pt idx="524">
                  <c:v>42067</c:v>
                </c:pt>
                <c:pt idx="525">
                  <c:v>42066</c:v>
                </c:pt>
                <c:pt idx="526">
                  <c:v>42065</c:v>
                </c:pt>
                <c:pt idx="527">
                  <c:v>42062</c:v>
                </c:pt>
                <c:pt idx="528">
                  <c:v>42061</c:v>
                </c:pt>
                <c:pt idx="529">
                  <c:v>42060</c:v>
                </c:pt>
                <c:pt idx="530">
                  <c:v>42059</c:v>
                </c:pt>
                <c:pt idx="531">
                  <c:v>42058</c:v>
                </c:pt>
                <c:pt idx="532">
                  <c:v>42055</c:v>
                </c:pt>
                <c:pt idx="533">
                  <c:v>42054</c:v>
                </c:pt>
                <c:pt idx="534">
                  <c:v>42053</c:v>
                </c:pt>
                <c:pt idx="535">
                  <c:v>42052</c:v>
                </c:pt>
                <c:pt idx="536">
                  <c:v>42048</c:v>
                </c:pt>
                <c:pt idx="537">
                  <c:v>42047</c:v>
                </c:pt>
                <c:pt idx="538">
                  <c:v>42046</c:v>
                </c:pt>
                <c:pt idx="539">
                  <c:v>42045</c:v>
                </c:pt>
                <c:pt idx="540">
                  <c:v>42044</c:v>
                </c:pt>
                <c:pt idx="541">
                  <c:v>42041</c:v>
                </c:pt>
                <c:pt idx="542">
                  <c:v>42040</c:v>
                </c:pt>
                <c:pt idx="543">
                  <c:v>42039</c:v>
                </c:pt>
                <c:pt idx="544">
                  <c:v>42038</c:v>
                </c:pt>
                <c:pt idx="545">
                  <c:v>42037</c:v>
                </c:pt>
                <c:pt idx="546">
                  <c:v>42034</c:v>
                </c:pt>
                <c:pt idx="547">
                  <c:v>42033</c:v>
                </c:pt>
                <c:pt idx="548">
                  <c:v>42032</c:v>
                </c:pt>
                <c:pt idx="549">
                  <c:v>42031</c:v>
                </c:pt>
                <c:pt idx="550">
                  <c:v>42030</c:v>
                </c:pt>
                <c:pt idx="551">
                  <c:v>42027</c:v>
                </c:pt>
                <c:pt idx="552">
                  <c:v>42026</c:v>
                </c:pt>
                <c:pt idx="553">
                  <c:v>42025</c:v>
                </c:pt>
                <c:pt idx="554">
                  <c:v>42024</c:v>
                </c:pt>
                <c:pt idx="555">
                  <c:v>42020</c:v>
                </c:pt>
                <c:pt idx="556">
                  <c:v>42019</c:v>
                </c:pt>
                <c:pt idx="557">
                  <c:v>42018</c:v>
                </c:pt>
                <c:pt idx="558">
                  <c:v>42017</c:v>
                </c:pt>
                <c:pt idx="559">
                  <c:v>42016</c:v>
                </c:pt>
                <c:pt idx="560">
                  <c:v>42013</c:v>
                </c:pt>
                <c:pt idx="561">
                  <c:v>42012</c:v>
                </c:pt>
                <c:pt idx="562">
                  <c:v>42011</c:v>
                </c:pt>
                <c:pt idx="563">
                  <c:v>42010</c:v>
                </c:pt>
                <c:pt idx="564">
                  <c:v>42009</c:v>
                </c:pt>
                <c:pt idx="565">
                  <c:v>42006</c:v>
                </c:pt>
                <c:pt idx="566">
                  <c:v>42004</c:v>
                </c:pt>
                <c:pt idx="567">
                  <c:v>42003</c:v>
                </c:pt>
                <c:pt idx="568">
                  <c:v>42002</c:v>
                </c:pt>
                <c:pt idx="569">
                  <c:v>41999</c:v>
                </c:pt>
                <c:pt idx="570">
                  <c:v>41997</c:v>
                </c:pt>
                <c:pt idx="571">
                  <c:v>41996</c:v>
                </c:pt>
                <c:pt idx="572">
                  <c:v>41995</c:v>
                </c:pt>
                <c:pt idx="573">
                  <c:v>41992</c:v>
                </c:pt>
                <c:pt idx="574">
                  <c:v>41991</c:v>
                </c:pt>
                <c:pt idx="575">
                  <c:v>41990</c:v>
                </c:pt>
                <c:pt idx="576">
                  <c:v>41989</c:v>
                </c:pt>
                <c:pt idx="577">
                  <c:v>41988</c:v>
                </c:pt>
                <c:pt idx="578">
                  <c:v>41985</c:v>
                </c:pt>
                <c:pt idx="579">
                  <c:v>41984</c:v>
                </c:pt>
                <c:pt idx="580">
                  <c:v>41983</c:v>
                </c:pt>
                <c:pt idx="581">
                  <c:v>41982</c:v>
                </c:pt>
                <c:pt idx="582">
                  <c:v>41981</c:v>
                </c:pt>
                <c:pt idx="583">
                  <c:v>41978</c:v>
                </c:pt>
                <c:pt idx="584">
                  <c:v>41977</c:v>
                </c:pt>
                <c:pt idx="585">
                  <c:v>41976</c:v>
                </c:pt>
                <c:pt idx="586">
                  <c:v>41975</c:v>
                </c:pt>
                <c:pt idx="587">
                  <c:v>41974</c:v>
                </c:pt>
                <c:pt idx="588">
                  <c:v>41971</c:v>
                </c:pt>
                <c:pt idx="589">
                  <c:v>41969</c:v>
                </c:pt>
                <c:pt idx="590">
                  <c:v>41968</c:v>
                </c:pt>
                <c:pt idx="591">
                  <c:v>41967</c:v>
                </c:pt>
                <c:pt idx="592">
                  <c:v>41964</c:v>
                </c:pt>
                <c:pt idx="593">
                  <c:v>41963</c:v>
                </c:pt>
                <c:pt idx="594">
                  <c:v>41962</c:v>
                </c:pt>
                <c:pt idx="595">
                  <c:v>41961</c:v>
                </c:pt>
                <c:pt idx="596">
                  <c:v>41960</c:v>
                </c:pt>
                <c:pt idx="597">
                  <c:v>41957</c:v>
                </c:pt>
                <c:pt idx="598">
                  <c:v>41956</c:v>
                </c:pt>
                <c:pt idx="599">
                  <c:v>41955</c:v>
                </c:pt>
                <c:pt idx="600">
                  <c:v>41954</c:v>
                </c:pt>
                <c:pt idx="601">
                  <c:v>41953</c:v>
                </c:pt>
                <c:pt idx="602">
                  <c:v>41950</c:v>
                </c:pt>
                <c:pt idx="603">
                  <c:v>41949</c:v>
                </c:pt>
                <c:pt idx="604">
                  <c:v>41948</c:v>
                </c:pt>
                <c:pt idx="605">
                  <c:v>41947</c:v>
                </c:pt>
                <c:pt idx="606">
                  <c:v>41946</c:v>
                </c:pt>
                <c:pt idx="607">
                  <c:v>41943</c:v>
                </c:pt>
                <c:pt idx="608">
                  <c:v>41942</c:v>
                </c:pt>
                <c:pt idx="609">
                  <c:v>41941</c:v>
                </c:pt>
                <c:pt idx="610">
                  <c:v>41940</c:v>
                </c:pt>
                <c:pt idx="611">
                  <c:v>41939</c:v>
                </c:pt>
                <c:pt idx="612">
                  <c:v>41936</c:v>
                </c:pt>
                <c:pt idx="613">
                  <c:v>41935</c:v>
                </c:pt>
                <c:pt idx="614">
                  <c:v>41934</c:v>
                </c:pt>
                <c:pt idx="615">
                  <c:v>41933</c:v>
                </c:pt>
                <c:pt idx="616">
                  <c:v>41932</c:v>
                </c:pt>
                <c:pt idx="617">
                  <c:v>41929</c:v>
                </c:pt>
                <c:pt idx="618">
                  <c:v>41928</c:v>
                </c:pt>
                <c:pt idx="619">
                  <c:v>41927</c:v>
                </c:pt>
                <c:pt idx="620">
                  <c:v>41926</c:v>
                </c:pt>
                <c:pt idx="621">
                  <c:v>41925</c:v>
                </c:pt>
                <c:pt idx="622">
                  <c:v>41922</c:v>
                </c:pt>
                <c:pt idx="623">
                  <c:v>41921</c:v>
                </c:pt>
                <c:pt idx="624">
                  <c:v>41920</c:v>
                </c:pt>
                <c:pt idx="625">
                  <c:v>41919</c:v>
                </c:pt>
                <c:pt idx="626">
                  <c:v>41918</c:v>
                </c:pt>
                <c:pt idx="627">
                  <c:v>41915</c:v>
                </c:pt>
                <c:pt idx="628">
                  <c:v>41914</c:v>
                </c:pt>
                <c:pt idx="629">
                  <c:v>41913</c:v>
                </c:pt>
                <c:pt idx="630">
                  <c:v>41912</c:v>
                </c:pt>
                <c:pt idx="631">
                  <c:v>41911</c:v>
                </c:pt>
                <c:pt idx="632">
                  <c:v>41908</c:v>
                </c:pt>
                <c:pt idx="633">
                  <c:v>41907</c:v>
                </c:pt>
                <c:pt idx="634">
                  <c:v>41906</c:v>
                </c:pt>
                <c:pt idx="635">
                  <c:v>41905</c:v>
                </c:pt>
                <c:pt idx="636">
                  <c:v>41904</c:v>
                </c:pt>
                <c:pt idx="637">
                  <c:v>41901</c:v>
                </c:pt>
                <c:pt idx="638">
                  <c:v>41900</c:v>
                </c:pt>
                <c:pt idx="639">
                  <c:v>41899</c:v>
                </c:pt>
                <c:pt idx="640">
                  <c:v>41898</c:v>
                </c:pt>
                <c:pt idx="641">
                  <c:v>41897</c:v>
                </c:pt>
                <c:pt idx="642">
                  <c:v>41894</c:v>
                </c:pt>
                <c:pt idx="643">
                  <c:v>41893</c:v>
                </c:pt>
                <c:pt idx="644">
                  <c:v>41892</c:v>
                </c:pt>
                <c:pt idx="645">
                  <c:v>41891</c:v>
                </c:pt>
                <c:pt idx="646">
                  <c:v>41890</c:v>
                </c:pt>
                <c:pt idx="647">
                  <c:v>41887</c:v>
                </c:pt>
                <c:pt idx="648">
                  <c:v>41886</c:v>
                </c:pt>
                <c:pt idx="649">
                  <c:v>41885</c:v>
                </c:pt>
                <c:pt idx="650">
                  <c:v>41884</c:v>
                </c:pt>
                <c:pt idx="651">
                  <c:v>41880</c:v>
                </c:pt>
                <c:pt idx="652">
                  <c:v>41879</c:v>
                </c:pt>
                <c:pt idx="653">
                  <c:v>41878</c:v>
                </c:pt>
                <c:pt idx="654">
                  <c:v>41877</c:v>
                </c:pt>
                <c:pt idx="655">
                  <c:v>41876</c:v>
                </c:pt>
                <c:pt idx="656">
                  <c:v>41873</c:v>
                </c:pt>
                <c:pt idx="657">
                  <c:v>41872</c:v>
                </c:pt>
                <c:pt idx="658">
                  <c:v>41871</c:v>
                </c:pt>
                <c:pt idx="659">
                  <c:v>41870</c:v>
                </c:pt>
                <c:pt idx="660">
                  <c:v>41869</c:v>
                </c:pt>
                <c:pt idx="661">
                  <c:v>41866</c:v>
                </c:pt>
                <c:pt idx="662">
                  <c:v>41865</c:v>
                </c:pt>
                <c:pt idx="663">
                  <c:v>41864</c:v>
                </c:pt>
                <c:pt idx="664">
                  <c:v>41863</c:v>
                </c:pt>
                <c:pt idx="665">
                  <c:v>41862</c:v>
                </c:pt>
                <c:pt idx="666">
                  <c:v>41859</c:v>
                </c:pt>
                <c:pt idx="667">
                  <c:v>41858</c:v>
                </c:pt>
                <c:pt idx="668">
                  <c:v>41857</c:v>
                </c:pt>
                <c:pt idx="669">
                  <c:v>41856</c:v>
                </c:pt>
                <c:pt idx="670">
                  <c:v>41855</c:v>
                </c:pt>
                <c:pt idx="671">
                  <c:v>41852</c:v>
                </c:pt>
                <c:pt idx="672">
                  <c:v>41851</c:v>
                </c:pt>
                <c:pt idx="673">
                  <c:v>41850</c:v>
                </c:pt>
                <c:pt idx="674">
                  <c:v>41849</c:v>
                </c:pt>
                <c:pt idx="675">
                  <c:v>41848</c:v>
                </c:pt>
                <c:pt idx="676">
                  <c:v>41845</c:v>
                </c:pt>
                <c:pt idx="677">
                  <c:v>41844</c:v>
                </c:pt>
                <c:pt idx="678">
                  <c:v>41843</c:v>
                </c:pt>
                <c:pt idx="679">
                  <c:v>41842</c:v>
                </c:pt>
                <c:pt idx="680">
                  <c:v>41841</c:v>
                </c:pt>
                <c:pt idx="681">
                  <c:v>41838</c:v>
                </c:pt>
                <c:pt idx="682">
                  <c:v>41837</c:v>
                </c:pt>
                <c:pt idx="683">
                  <c:v>41836</c:v>
                </c:pt>
                <c:pt idx="684">
                  <c:v>41835</c:v>
                </c:pt>
                <c:pt idx="685">
                  <c:v>41834</c:v>
                </c:pt>
                <c:pt idx="686">
                  <c:v>41831</c:v>
                </c:pt>
                <c:pt idx="687">
                  <c:v>41830</c:v>
                </c:pt>
                <c:pt idx="688">
                  <c:v>41829</c:v>
                </c:pt>
                <c:pt idx="689">
                  <c:v>41828</c:v>
                </c:pt>
                <c:pt idx="690">
                  <c:v>41827</c:v>
                </c:pt>
                <c:pt idx="691">
                  <c:v>41823</c:v>
                </c:pt>
                <c:pt idx="692">
                  <c:v>41822</c:v>
                </c:pt>
                <c:pt idx="693">
                  <c:v>41821</c:v>
                </c:pt>
                <c:pt idx="694">
                  <c:v>41820</c:v>
                </c:pt>
                <c:pt idx="695">
                  <c:v>41817</c:v>
                </c:pt>
                <c:pt idx="696">
                  <c:v>41816</c:v>
                </c:pt>
                <c:pt idx="697">
                  <c:v>41815</c:v>
                </c:pt>
                <c:pt idx="698">
                  <c:v>41814</c:v>
                </c:pt>
                <c:pt idx="699">
                  <c:v>41813</c:v>
                </c:pt>
                <c:pt idx="700">
                  <c:v>41810</c:v>
                </c:pt>
                <c:pt idx="701">
                  <c:v>41809</c:v>
                </c:pt>
                <c:pt idx="702">
                  <c:v>41808</c:v>
                </c:pt>
                <c:pt idx="703">
                  <c:v>41807</c:v>
                </c:pt>
                <c:pt idx="704">
                  <c:v>41806</c:v>
                </c:pt>
                <c:pt idx="705">
                  <c:v>41803</c:v>
                </c:pt>
                <c:pt idx="706">
                  <c:v>41802</c:v>
                </c:pt>
                <c:pt idx="707">
                  <c:v>41801</c:v>
                </c:pt>
                <c:pt idx="708">
                  <c:v>41800</c:v>
                </c:pt>
                <c:pt idx="709">
                  <c:v>41799</c:v>
                </c:pt>
                <c:pt idx="710">
                  <c:v>41796</c:v>
                </c:pt>
                <c:pt idx="711">
                  <c:v>41795</c:v>
                </c:pt>
                <c:pt idx="712">
                  <c:v>41794</c:v>
                </c:pt>
                <c:pt idx="713">
                  <c:v>41793</c:v>
                </c:pt>
                <c:pt idx="714">
                  <c:v>41792</c:v>
                </c:pt>
                <c:pt idx="715">
                  <c:v>41789</c:v>
                </c:pt>
                <c:pt idx="716">
                  <c:v>41788</c:v>
                </c:pt>
                <c:pt idx="717">
                  <c:v>41787</c:v>
                </c:pt>
                <c:pt idx="718">
                  <c:v>41786</c:v>
                </c:pt>
                <c:pt idx="719">
                  <c:v>41782</c:v>
                </c:pt>
                <c:pt idx="720">
                  <c:v>41781</c:v>
                </c:pt>
                <c:pt idx="721">
                  <c:v>41780</c:v>
                </c:pt>
                <c:pt idx="722">
                  <c:v>41779</c:v>
                </c:pt>
                <c:pt idx="723">
                  <c:v>41778</c:v>
                </c:pt>
                <c:pt idx="724">
                  <c:v>41775</c:v>
                </c:pt>
                <c:pt idx="725">
                  <c:v>41774</c:v>
                </c:pt>
                <c:pt idx="726">
                  <c:v>41773</c:v>
                </c:pt>
                <c:pt idx="727">
                  <c:v>41772</c:v>
                </c:pt>
                <c:pt idx="728">
                  <c:v>41771</c:v>
                </c:pt>
                <c:pt idx="729">
                  <c:v>41768</c:v>
                </c:pt>
                <c:pt idx="730">
                  <c:v>41767</c:v>
                </c:pt>
                <c:pt idx="731">
                  <c:v>41766</c:v>
                </c:pt>
                <c:pt idx="732">
                  <c:v>41765</c:v>
                </c:pt>
                <c:pt idx="733">
                  <c:v>41764</c:v>
                </c:pt>
                <c:pt idx="734">
                  <c:v>41761</c:v>
                </c:pt>
                <c:pt idx="735">
                  <c:v>41760</c:v>
                </c:pt>
                <c:pt idx="736">
                  <c:v>41759</c:v>
                </c:pt>
                <c:pt idx="737">
                  <c:v>41758</c:v>
                </c:pt>
                <c:pt idx="738">
                  <c:v>41757</c:v>
                </c:pt>
                <c:pt idx="739">
                  <c:v>41754</c:v>
                </c:pt>
                <c:pt idx="740">
                  <c:v>41753</c:v>
                </c:pt>
                <c:pt idx="741">
                  <c:v>41752</c:v>
                </c:pt>
                <c:pt idx="742">
                  <c:v>41751</c:v>
                </c:pt>
                <c:pt idx="743">
                  <c:v>41750</c:v>
                </c:pt>
                <c:pt idx="744">
                  <c:v>41746</c:v>
                </c:pt>
                <c:pt idx="745">
                  <c:v>41745</c:v>
                </c:pt>
                <c:pt idx="746">
                  <c:v>41744</c:v>
                </c:pt>
                <c:pt idx="747">
                  <c:v>41743</c:v>
                </c:pt>
                <c:pt idx="748">
                  <c:v>41740</c:v>
                </c:pt>
                <c:pt idx="749">
                  <c:v>41739</c:v>
                </c:pt>
                <c:pt idx="750">
                  <c:v>41738</c:v>
                </c:pt>
                <c:pt idx="751">
                  <c:v>41737</c:v>
                </c:pt>
                <c:pt idx="752">
                  <c:v>41736</c:v>
                </c:pt>
                <c:pt idx="753">
                  <c:v>41733</c:v>
                </c:pt>
                <c:pt idx="754">
                  <c:v>41732</c:v>
                </c:pt>
                <c:pt idx="755">
                  <c:v>41731</c:v>
                </c:pt>
                <c:pt idx="756">
                  <c:v>41730</c:v>
                </c:pt>
                <c:pt idx="757">
                  <c:v>41729</c:v>
                </c:pt>
              </c:numCache>
            </c:numRef>
          </c:cat>
          <c:val>
            <c:numRef>
              <c:f>Exhibits!$EG$102:$EG$859</c:f>
              <c:numCache>
                <c:formatCode>General</c:formatCode>
                <c:ptCount val="758"/>
                <c:pt idx="36" formatCode="0%">
                  <c:v>1.3544574518666646</c:v>
                </c:pt>
                <c:pt idx="76" formatCode="0%">
                  <c:v>1.2627785286346982</c:v>
                </c:pt>
                <c:pt idx="142" formatCode="0%">
                  <c:v>1.2691724760912368</c:v>
                </c:pt>
                <c:pt idx="290" formatCode="0%">
                  <c:v>1.1322843943725782</c:v>
                </c:pt>
                <c:pt idx="348" formatCode="0%">
                  <c:v>0.98523393506084478</c:v>
                </c:pt>
                <c:pt idx="422" formatCode="0%">
                  <c:v>1.1742434823881038</c:v>
                </c:pt>
                <c:pt idx="453" formatCode="0%">
                  <c:v>0</c:v>
                </c:pt>
                <c:pt idx="481" formatCode="0%">
                  <c:v>1.0681223885868751</c:v>
                </c:pt>
                <c:pt idx="494" formatCode="0%">
                  <c:v>1.0681597532764378</c:v>
                </c:pt>
                <c:pt idx="538" formatCode="0%">
                  <c:v>1.0172654152447052</c:v>
                </c:pt>
                <c:pt idx="645" formatCode="0%">
                  <c:v>0.88094328464952776</c:v>
                </c:pt>
              </c:numCache>
            </c:numRef>
          </c:val>
          <c:smooth val="0"/>
          <c:extLst>
            <c:ext xmlns:c15="http://schemas.microsoft.com/office/drawing/2012/chart" uri="{02D57815-91ED-43cb-92C2-25804820EDAC}">
              <c15:datalabelsRange>
                <c15:f>Exhibits!$EH$39:$EH$796</c15:f>
                <c15:dlblRangeCache>
                  <c:ptCount val="758"/>
                  <c:pt idx="99">
                    <c:v>Strong Q3 profits stemming from delivery and Panera 2.0 initiatives</c:v>
                  </c:pt>
                  <c:pt idx="139">
                    <c:v>Blaine Hurst appointed President</c:v>
                  </c:pt>
                  <c:pt idx="205">
                    <c:v>"Daaaaaamn Panera, Back at it Again with the Pseudoscience." article  attacks Panera Bread marketing campaign and gains attention from major news outlets such as Forbes</c:v>
                  </c:pt>
                  <c:pt idx="353">
                    <c:v>Panera 2.0 - 16% of sales are ordered and paid for digitally</c:v>
                  </c:pt>
                  <c:pt idx="411">
                    <c:v>"Panera Bread is replacing cashiers with kiosks — and it feels dystopian" - Business Week</c:v>
                  </c:pt>
                  <c:pt idx="485">
                    <c:v>Panera 2.0 initiative results in same store sales growth of 1.8%</c:v>
                  </c:pt>
                  <c:pt idx="544">
                    <c:v>'No no' list of artificial additives introduced</c:v>
                  </c:pt>
                  <c:pt idx="557">
                    <c:v>Share repurchases and intent to sell/refranchise 73 company-owned cafes announced</c:v>
                  </c:pt>
                  <c:pt idx="601">
                    <c:v>Market reaction: 4th quarter profit fell by 9%</c:v>
                  </c:pt>
                  <c:pt idx="708">
                    <c:v>Integration with Apple Pay</c:v>
                  </c:pt>
                </c15:dlblRangeCache>
              </c15:datalabelsRange>
            </c:ext>
            <c:ext xmlns:c16="http://schemas.microsoft.com/office/drawing/2014/chart" uri="{C3380CC4-5D6E-409C-BE32-E72D297353CC}">
              <c16:uniqueId val="{000002F8-A7E4-430C-9E3D-D851F3DD4F29}"/>
            </c:ext>
          </c:extLst>
        </c:ser>
        <c:dLbls>
          <c:showLegendKey val="0"/>
          <c:showVal val="0"/>
          <c:showCatName val="0"/>
          <c:showSerName val="0"/>
          <c:showPercent val="0"/>
          <c:showBubbleSize val="0"/>
        </c:dLbls>
        <c:smooth val="0"/>
        <c:axId val="85054432"/>
        <c:axId val="85054760"/>
      </c:lineChart>
      <c:dateAx>
        <c:axId val="85054432"/>
        <c:scaling>
          <c:orientation val="minMax"/>
        </c:scaling>
        <c:delete val="0"/>
        <c:axPos val="b"/>
        <c:numFmt formatCode="m/d/yyyy" sourceLinked="1"/>
        <c:majorTickMark val="cross"/>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54760"/>
        <c:crosses val="autoZero"/>
        <c:auto val="1"/>
        <c:lblOffset val="100"/>
        <c:baseTimeUnit val="days"/>
        <c:majorUnit val="1"/>
        <c:majorTimeUnit val="years"/>
        <c:minorUnit val="4"/>
        <c:minorTimeUnit val="months"/>
      </c:dateAx>
      <c:valAx>
        <c:axId val="85054760"/>
        <c:scaling>
          <c:orientation val="minMax"/>
          <c:max val="2"/>
          <c:min val="0.8"/>
        </c:scaling>
        <c:delete val="0"/>
        <c:axPos val="l"/>
        <c:numFmt formatCode="0%" sourceLinked="1"/>
        <c:majorTickMark val="cross"/>
        <c:minorTickMark val="in"/>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54432"/>
        <c:crosses val="autoZero"/>
        <c:crossBetween val="between"/>
        <c:min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88553009513022"/>
          <c:y val="3.9361925437749974E-2"/>
          <c:w val="0.80978192854938857"/>
          <c:h val="0.79577105841878892"/>
        </c:manualLayout>
      </c:layout>
      <c:lineChart>
        <c:grouping val="standard"/>
        <c:varyColors val="0"/>
        <c:ser>
          <c:idx val="0"/>
          <c:order val="0"/>
          <c:tx>
            <c:strRef>
              <c:f>Exhibits!$FS$39</c:f>
              <c:strCache>
                <c:ptCount val="1"/>
                <c:pt idx="0">
                  <c:v>Panera</c:v>
                </c:pt>
              </c:strCache>
            </c:strRef>
          </c:tx>
          <c:spPr>
            <a:ln w="12700" cap="rnd">
              <a:solidFill>
                <a:schemeClr val="accent1"/>
              </a:solidFill>
              <a:round/>
            </a:ln>
            <a:effectLst/>
          </c:spPr>
          <c:marker>
            <c:symbol val="none"/>
          </c:marker>
          <c:cat>
            <c:numRef>
              <c:f>Exhibits!$FR$113:$FR$870</c:f>
              <c:numCache>
                <c:formatCode>m/d/yyyy</c:formatCode>
                <c:ptCount val="758"/>
                <c:pt idx="0">
                  <c:v>42825</c:v>
                </c:pt>
                <c:pt idx="1">
                  <c:v>42824</c:v>
                </c:pt>
                <c:pt idx="2">
                  <c:v>42823</c:v>
                </c:pt>
                <c:pt idx="3">
                  <c:v>42822</c:v>
                </c:pt>
                <c:pt idx="4">
                  <c:v>42821</c:v>
                </c:pt>
                <c:pt idx="5">
                  <c:v>42818</c:v>
                </c:pt>
                <c:pt idx="6">
                  <c:v>42817</c:v>
                </c:pt>
                <c:pt idx="7">
                  <c:v>42816</c:v>
                </c:pt>
                <c:pt idx="8">
                  <c:v>42815</c:v>
                </c:pt>
                <c:pt idx="9">
                  <c:v>42814</c:v>
                </c:pt>
                <c:pt idx="10">
                  <c:v>42811</c:v>
                </c:pt>
                <c:pt idx="11">
                  <c:v>42810</c:v>
                </c:pt>
                <c:pt idx="12">
                  <c:v>42809</c:v>
                </c:pt>
                <c:pt idx="13">
                  <c:v>42808</c:v>
                </c:pt>
                <c:pt idx="14">
                  <c:v>42807</c:v>
                </c:pt>
                <c:pt idx="15">
                  <c:v>42804</c:v>
                </c:pt>
                <c:pt idx="16">
                  <c:v>42803</c:v>
                </c:pt>
                <c:pt idx="17">
                  <c:v>42802</c:v>
                </c:pt>
                <c:pt idx="18">
                  <c:v>42801</c:v>
                </c:pt>
                <c:pt idx="19">
                  <c:v>42800</c:v>
                </c:pt>
                <c:pt idx="20">
                  <c:v>42797</c:v>
                </c:pt>
                <c:pt idx="21">
                  <c:v>42796</c:v>
                </c:pt>
                <c:pt idx="22">
                  <c:v>42795</c:v>
                </c:pt>
                <c:pt idx="23">
                  <c:v>42794</c:v>
                </c:pt>
                <c:pt idx="24">
                  <c:v>42793</c:v>
                </c:pt>
                <c:pt idx="25">
                  <c:v>42790</c:v>
                </c:pt>
                <c:pt idx="26">
                  <c:v>42789</c:v>
                </c:pt>
                <c:pt idx="27">
                  <c:v>42788</c:v>
                </c:pt>
                <c:pt idx="28">
                  <c:v>42787</c:v>
                </c:pt>
                <c:pt idx="29">
                  <c:v>42783</c:v>
                </c:pt>
                <c:pt idx="30">
                  <c:v>42782</c:v>
                </c:pt>
                <c:pt idx="31">
                  <c:v>42781</c:v>
                </c:pt>
                <c:pt idx="32">
                  <c:v>42780</c:v>
                </c:pt>
                <c:pt idx="33">
                  <c:v>42779</c:v>
                </c:pt>
                <c:pt idx="34">
                  <c:v>42776</c:v>
                </c:pt>
                <c:pt idx="35">
                  <c:v>42775</c:v>
                </c:pt>
                <c:pt idx="36">
                  <c:v>42774</c:v>
                </c:pt>
                <c:pt idx="37">
                  <c:v>42773</c:v>
                </c:pt>
                <c:pt idx="38">
                  <c:v>42772</c:v>
                </c:pt>
                <c:pt idx="39">
                  <c:v>42769</c:v>
                </c:pt>
                <c:pt idx="40">
                  <c:v>42768</c:v>
                </c:pt>
                <c:pt idx="41">
                  <c:v>42767</c:v>
                </c:pt>
                <c:pt idx="42">
                  <c:v>42766</c:v>
                </c:pt>
                <c:pt idx="43">
                  <c:v>42765</c:v>
                </c:pt>
                <c:pt idx="44">
                  <c:v>42762</c:v>
                </c:pt>
                <c:pt idx="45">
                  <c:v>42761</c:v>
                </c:pt>
                <c:pt idx="46">
                  <c:v>42760</c:v>
                </c:pt>
                <c:pt idx="47">
                  <c:v>42759</c:v>
                </c:pt>
                <c:pt idx="48">
                  <c:v>42758</c:v>
                </c:pt>
                <c:pt idx="49">
                  <c:v>42755</c:v>
                </c:pt>
                <c:pt idx="50">
                  <c:v>42754</c:v>
                </c:pt>
                <c:pt idx="51">
                  <c:v>42753</c:v>
                </c:pt>
                <c:pt idx="52">
                  <c:v>42752</c:v>
                </c:pt>
                <c:pt idx="53">
                  <c:v>42748</c:v>
                </c:pt>
                <c:pt idx="54">
                  <c:v>42747</c:v>
                </c:pt>
                <c:pt idx="55">
                  <c:v>42746</c:v>
                </c:pt>
                <c:pt idx="56">
                  <c:v>42745</c:v>
                </c:pt>
                <c:pt idx="57">
                  <c:v>42744</c:v>
                </c:pt>
                <c:pt idx="58">
                  <c:v>42741</c:v>
                </c:pt>
                <c:pt idx="59">
                  <c:v>42740</c:v>
                </c:pt>
                <c:pt idx="60">
                  <c:v>42739</c:v>
                </c:pt>
                <c:pt idx="61">
                  <c:v>42738</c:v>
                </c:pt>
                <c:pt idx="62">
                  <c:v>42734</c:v>
                </c:pt>
                <c:pt idx="63">
                  <c:v>42733</c:v>
                </c:pt>
                <c:pt idx="64">
                  <c:v>42732</c:v>
                </c:pt>
                <c:pt idx="65">
                  <c:v>42731</c:v>
                </c:pt>
                <c:pt idx="66">
                  <c:v>42727</c:v>
                </c:pt>
                <c:pt idx="67">
                  <c:v>42726</c:v>
                </c:pt>
                <c:pt idx="68">
                  <c:v>42725</c:v>
                </c:pt>
                <c:pt idx="69">
                  <c:v>42724</c:v>
                </c:pt>
                <c:pt idx="70">
                  <c:v>42723</c:v>
                </c:pt>
                <c:pt idx="71">
                  <c:v>42720</c:v>
                </c:pt>
                <c:pt idx="72">
                  <c:v>42719</c:v>
                </c:pt>
                <c:pt idx="73">
                  <c:v>42718</c:v>
                </c:pt>
                <c:pt idx="74">
                  <c:v>42717</c:v>
                </c:pt>
                <c:pt idx="75">
                  <c:v>42716</c:v>
                </c:pt>
                <c:pt idx="76">
                  <c:v>42713</c:v>
                </c:pt>
                <c:pt idx="77">
                  <c:v>42712</c:v>
                </c:pt>
                <c:pt idx="78">
                  <c:v>42711</c:v>
                </c:pt>
                <c:pt idx="79">
                  <c:v>42710</c:v>
                </c:pt>
                <c:pt idx="80">
                  <c:v>42709</c:v>
                </c:pt>
                <c:pt idx="81">
                  <c:v>42706</c:v>
                </c:pt>
                <c:pt idx="82">
                  <c:v>42705</c:v>
                </c:pt>
                <c:pt idx="83">
                  <c:v>42704</c:v>
                </c:pt>
                <c:pt idx="84">
                  <c:v>42703</c:v>
                </c:pt>
                <c:pt idx="85">
                  <c:v>42702</c:v>
                </c:pt>
                <c:pt idx="86">
                  <c:v>42699</c:v>
                </c:pt>
                <c:pt idx="87">
                  <c:v>42697</c:v>
                </c:pt>
                <c:pt idx="88">
                  <c:v>42696</c:v>
                </c:pt>
                <c:pt idx="89">
                  <c:v>42695</c:v>
                </c:pt>
                <c:pt idx="90">
                  <c:v>42692</c:v>
                </c:pt>
                <c:pt idx="91">
                  <c:v>42691</c:v>
                </c:pt>
                <c:pt idx="92">
                  <c:v>42690</c:v>
                </c:pt>
                <c:pt idx="93">
                  <c:v>42689</c:v>
                </c:pt>
                <c:pt idx="94">
                  <c:v>42688</c:v>
                </c:pt>
                <c:pt idx="95">
                  <c:v>42685</c:v>
                </c:pt>
                <c:pt idx="96">
                  <c:v>42684</c:v>
                </c:pt>
                <c:pt idx="97">
                  <c:v>42683</c:v>
                </c:pt>
                <c:pt idx="98">
                  <c:v>42682</c:v>
                </c:pt>
                <c:pt idx="99">
                  <c:v>42681</c:v>
                </c:pt>
                <c:pt idx="100">
                  <c:v>42678</c:v>
                </c:pt>
                <c:pt idx="101">
                  <c:v>42677</c:v>
                </c:pt>
                <c:pt idx="102">
                  <c:v>42676</c:v>
                </c:pt>
                <c:pt idx="103">
                  <c:v>42675</c:v>
                </c:pt>
                <c:pt idx="104">
                  <c:v>42674</c:v>
                </c:pt>
                <c:pt idx="105">
                  <c:v>42671</c:v>
                </c:pt>
                <c:pt idx="106">
                  <c:v>42670</c:v>
                </c:pt>
                <c:pt idx="107">
                  <c:v>42669</c:v>
                </c:pt>
                <c:pt idx="108">
                  <c:v>42668</c:v>
                </c:pt>
                <c:pt idx="109">
                  <c:v>42667</c:v>
                </c:pt>
                <c:pt idx="110">
                  <c:v>42664</c:v>
                </c:pt>
                <c:pt idx="111">
                  <c:v>42663</c:v>
                </c:pt>
                <c:pt idx="112">
                  <c:v>42662</c:v>
                </c:pt>
                <c:pt idx="113">
                  <c:v>42661</c:v>
                </c:pt>
                <c:pt idx="114">
                  <c:v>42660</c:v>
                </c:pt>
                <c:pt idx="115">
                  <c:v>42657</c:v>
                </c:pt>
                <c:pt idx="116">
                  <c:v>42656</c:v>
                </c:pt>
                <c:pt idx="117">
                  <c:v>42655</c:v>
                </c:pt>
                <c:pt idx="118">
                  <c:v>42654</c:v>
                </c:pt>
                <c:pt idx="119">
                  <c:v>42653</c:v>
                </c:pt>
                <c:pt idx="120">
                  <c:v>42650</c:v>
                </c:pt>
                <c:pt idx="121">
                  <c:v>42649</c:v>
                </c:pt>
                <c:pt idx="122">
                  <c:v>42648</c:v>
                </c:pt>
                <c:pt idx="123">
                  <c:v>42647</c:v>
                </c:pt>
                <c:pt idx="124">
                  <c:v>42646</c:v>
                </c:pt>
                <c:pt idx="125">
                  <c:v>42643</c:v>
                </c:pt>
                <c:pt idx="126">
                  <c:v>42642</c:v>
                </c:pt>
                <c:pt idx="127">
                  <c:v>42641</c:v>
                </c:pt>
                <c:pt idx="128">
                  <c:v>42640</c:v>
                </c:pt>
                <c:pt idx="129">
                  <c:v>42639</c:v>
                </c:pt>
                <c:pt idx="130">
                  <c:v>42636</c:v>
                </c:pt>
                <c:pt idx="131">
                  <c:v>42635</c:v>
                </c:pt>
                <c:pt idx="132">
                  <c:v>42634</c:v>
                </c:pt>
                <c:pt idx="133">
                  <c:v>42633</c:v>
                </c:pt>
                <c:pt idx="134">
                  <c:v>42632</c:v>
                </c:pt>
                <c:pt idx="135">
                  <c:v>42629</c:v>
                </c:pt>
                <c:pt idx="136">
                  <c:v>42628</c:v>
                </c:pt>
                <c:pt idx="137">
                  <c:v>42627</c:v>
                </c:pt>
                <c:pt idx="138">
                  <c:v>42626</c:v>
                </c:pt>
                <c:pt idx="139">
                  <c:v>42625</c:v>
                </c:pt>
                <c:pt idx="140">
                  <c:v>42622</c:v>
                </c:pt>
                <c:pt idx="141">
                  <c:v>42621</c:v>
                </c:pt>
                <c:pt idx="142">
                  <c:v>42620</c:v>
                </c:pt>
                <c:pt idx="143">
                  <c:v>42619</c:v>
                </c:pt>
                <c:pt idx="144">
                  <c:v>42615</c:v>
                </c:pt>
                <c:pt idx="145">
                  <c:v>42614</c:v>
                </c:pt>
                <c:pt idx="146">
                  <c:v>42613</c:v>
                </c:pt>
                <c:pt idx="147">
                  <c:v>42612</c:v>
                </c:pt>
                <c:pt idx="148">
                  <c:v>42611</c:v>
                </c:pt>
                <c:pt idx="149">
                  <c:v>42608</c:v>
                </c:pt>
                <c:pt idx="150">
                  <c:v>42607</c:v>
                </c:pt>
                <c:pt idx="151">
                  <c:v>42606</c:v>
                </c:pt>
                <c:pt idx="152">
                  <c:v>42605</c:v>
                </c:pt>
                <c:pt idx="153">
                  <c:v>42604</c:v>
                </c:pt>
                <c:pt idx="154">
                  <c:v>42601</c:v>
                </c:pt>
                <c:pt idx="155">
                  <c:v>42600</c:v>
                </c:pt>
                <c:pt idx="156">
                  <c:v>42599</c:v>
                </c:pt>
                <c:pt idx="157">
                  <c:v>42598</c:v>
                </c:pt>
                <c:pt idx="158">
                  <c:v>42597</c:v>
                </c:pt>
                <c:pt idx="159">
                  <c:v>42594</c:v>
                </c:pt>
                <c:pt idx="160">
                  <c:v>42593</c:v>
                </c:pt>
                <c:pt idx="161">
                  <c:v>42592</c:v>
                </c:pt>
                <c:pt idx="162">
                  <c:v>42591</c:v>
                </c:pt>
                <c:pt idx="163">
                  <c:v>42590</c:v>
                </c:pt>
                <c:pt idx="164">
                  <c:v>42587</c:v>
                </c:pt>
                <c:pt idx="165">
                  <c:v>42586</c:v>
                </c:pt>
                <c:pt idx="166">
                  <c:v>42585</c:v>
                </c:pt>
                <c:pt idx="167">
                  <c:v>42584</c:v>
                </c:pt>
                <c:pt idx="168">
                  <c:v>42583</c:v>
                </c:pt>
                <c:pt idx="169">
                  <c:v>42580</c:v>
                </c:pt>
                <c:pt idx="170">
                  <c:v>42579</c:v>
                </c:pt>
                <c:pt idx="171">
                  <c:v>42578</c:v>
                </c:pt>
                <c:pt idx="172">
                  <c:v>42577</c:v>
                </c:pt>
                <c:pt idx="173">
                  <c:v>42576</c:v>
                </c:pt>
                <c:pt idx="174">
                  <c:v>42573</c:v>
                </c:pt>
                <c:pt idx="175">
                  <c:v>42572</c:v>
                </c:pt>
                <c:pt idx="176">
                  <c:v>42571</c:v>
                </c:pt>
                <c:pt idx="177">
                  <c:v>42570</c:v>
                </c:pt>
                <c:pt idx="178">
                  <c:v>42569</c:v>
                </c:pt>
                <c:pt idx="179">
                  <c:v>42566</c:v>
                </c:pt>
                <c:pt idx="180">
                  <c:v>42565</c:v>
                </c:pt>
                <c:pt idx="181">
                  <c:v>42564</c:v>
                </c:pt>
                <c:pt idx="182">
                  <c:v>42563</c:v>
                </c:pt>
                <c:pt idx="183">
                  <c:v>42562</c:v>
                </c:pt>
                <c:pt idx="184">
                  <c:v>42559</c:v>
                </c:pt>
                <c:pt idx="185">
                  <c:v>42558</c:v>
                </c:pt>
                <c:pt idx="186">
                  <c:v>42557</c:v>
                </c:pt>
                <c:pt idx="187">
                  <c:v>42556</c:v>
                </c:pt>
                <c:pt idx="188">
                  <c:v>42552</c:v>
                </c:pt>
                <c:pt idx="189">
                  <c:v>42551</c:v>
                </c:pt>
                <c:pt idx="190">
                  <c:v>42550</c:v>
                </c:pt>
                <c:pt idx="191">
                  <c:v>42549</c:v>
                </c:pt>
                <c:pt idx="192">
                  <c:v>42548</c:v>
                </c:pt>
                <c:pt idx="193">
                  <c:v>42545</c:v>
                </c:pt>
                <c:pt idx="194">
                  <c:v>42544</c:v>
                </c:pt>
                <c:pt idx="195">
                  <c:v>42543</c:v>
                </c:pt>
                <c:pt idx="196">
                  <c:v>42542</c:v>
                </c:pt>
                <c:pt idx="197">
                  <c:v>42541</c:v>
                </c:pt>
                <c:pt idx="198">
                  <c:v>42538</c:v>
                </c:pt>
                <c:pt idx="199">
                  <c:v>42537</c:v>
                </c:pt>
                <c:pt idx="200">
                  <c:v>42536</c:v>
                </c:pt>
                <c:pt idx="201">
                  <c:v>42535</c:v>
                </c:pt>
                <c:pt idx="202">
                  <c:v>42534</c:v>
                </c:pt>
                <c:pt idx="203">
                  <c:v>42531</c:v>
                </c:pt>
                <c:pt idx="204">
                  <c:v>42530</c:v>
                </c:pt>
                <c:pt idx="205">
                  <c:v>42529</c:v>
                </c:pt>
                <c:pt idx="206">
                  <c:v>42528</c:v>
                </c:pt>
                <c:pt idx="207">
                  <c:v>42527</c:v>
                </c:pt>
                <c:pt idx="208">
                  <c:v>42524</c:v>
                </c:pt>
                <c:pt idx="209">
                  <c:v>42523</c:v>
                </c:pt>
                <c:pt idx="210">
                  <c:v>42522</c:v>
                </c:pt>
                <c:pt idx="211">
                  <c:v>42521</c:v>
                </c:pt>
                <c:pt idx="212">
                  <c:v>42517</c:v>
                </c:pt>
                <c:pt idx="213">
                  <c:v>42516</c:v>
                </c:pt>
                <c:pt idx="214">
                  <c:v>42515</c:v>
                </c:pt>
                <c:pt idx="215">
                  <c:v>42514</c:v>
                </c:pt>
                <c:pt idx="216">
                  <c:v>42513</c:v>
                </c:pt>
                <c:pt idx="217">
                  <c:v>42510</c:v>
                </c:pt>
                <c:pt idx="218">
                  <c:v>42509</c:v>
                </c:pt>
                <c:pt idx="219">
                  <c:v>42508</c:v>
                </c:pt>
                <c:pt idx="220">
                  <c:v>42507</c:v>
                </c:pt>
                <c:pt idx="221">
                  <c:v>42506</c:v>
                </c:pt>
                <c:pt idx="222">
                  <c:v>42503</c:v>
                </c:pt>
                <c:pt idx="223">
                  <c:v>42502</c:v>
                </c:pt>
                <c:pt idx="224">
                  <c:v>42501</c:v>
                </c:pt>
                <c:pt idx="225">
                  <c:v>42500</c:v>
                </c:pt>
                <c:pt idx="226">
                  <c:v>42499</c:v>
                </c:pt>
                <c:pt idx="227">
                  <c:v>42496</c:v>
                </c:pt>
                <c:pt idx="228">
                  <c:v>42495</c:v>
                </c:pt>
                <c:pt idx="229">
                  <c:v>42494</c:v>
                </c:pt>
                <c:pt idx="230">
                  <c:v>42493</c:v>
                </c:pt>
                <c:pt idx="231">
                  <c:v>42492</c:v>
                </c:pt>
                <c:pt idx="232">
                  <c:v>42489</c:v>
                </c:pt>
                <c:pt idx="233">
                  <c:v>42488</c:v>
                </c:pt>
                <c:pt idx="234">
                  <c:v>42487</c:v>
                </c:pt>
                <c:pt idx="235">
                  <c:v>42486</c:v>
                </c:pt>
                <c:pt idx="236">
                  <c:v>42485</c:v>
                </c:pt>
                <c:pt idx="237">
                  <c:v>42482</c:v>
                </c:pt>
                <c:pt idx="238">
                  <c:v>42481</c:v>
                </c:pt>
                <c:pt idx="239">
                  <c:v>42480</c:v>
                </c:pt>
                <c:pt idx="240">
                  <c:v>42479</c:v>
                </c:pt>
                <c:pt idx="241">
                  <c:v>42478</c:v>
                </c:pt>
                <c:pt idx="242">
                  <c:v>42475</c:v>
                </c:pt>
                <c:pt idx="243">
                  <c:v>42474</c:v>
                </c:pt>
                <c:pt idx="244">
                  <c:v>42473</c:v>
                </c:pt>
                <c:pt idx="245">
                  <c:v>42472</c:v>
                </c:pt>
                <c:pt idx="246">
                  <c:v>42471</c:v>
                </c:pt>
                <c:pt idx="247">
                  <c:v>42468</c:v>
                </c:pt>
                <c:pt idx="248">
                  <c:v>42467</c:v>
                </c:pt>
                <c:pt idx="249">
                  <c:v>42466</c:v>
                </c:pt>
                <c:pt idx="250">
                  <c:v>42465</c:v>
                </c:pt>
                <c:pt idx="251">
                  <c:v>42464</c:v>
                </c:pt>
                <c:pt idx="252">
                  <c:v>42461</c:v>
                </c:pt>
                <c:pt idx="253">
                  <c:v>42460</c:v>
                </c:pt>
                <c:pt idx="254">
                  <c:v>42459</c:v>
                </c:pt>
                <c:pt idx="255">
                  <c:v>42458</c:v>
                </c:pt>
                <c:pt idx="256">
                  <c:v>42457</c:v>
                </c:pt>
                <c:pt idx="257">
                  <c:v>42453</c:v>
                </c:pt>
                <c:pt idx="258">
                  <c:v>42452</c:v>
                </c:pt>
                <c:pt idx="259">
                  <c:v>42451</c:v>
                </c:pt>
                <c:pt idx="260">
                  <c:v>42450</c:v>
                </c:pt>
                <c:pt idx="261">
                  <c:v>42447</c:v>
                </c:pt>
                <c:pt idx="262">
                  <c:v>42446</c:v>
                </c:pt>
                <c:pt idx="263">
                  <c:v>42445</c:v>
                </c:pt>
                <c:pt idx="264">
                  <c:v>42444</c:v>
                </c:pt>
                <c:pt idx="265">
                  <c:v>42443</c:v>
                </c:pt>
                <c:pt idx="266">
                  <c:v>42440</c:v>
                </c:pt>
                <c:pt idx="267">
                  <c:v>42439</c:v>
                </c:pt>
                <c:pt idx="268">
                  <c:v>42438</c:v>
                </c:pt>
                <c:pt idx="269">
                  <c:v>42437</c:v>
                </c:pt>
                <c:pt idx="270">
                  <c:v>42436</c:v>
                </c:pt>
                <c:pt idx="271">
                  <c:v>42433</c:v>
                </c:pt>
                <c:pt idx="272">
                  <c:v>42432</c:v>
                </c:pt>
                <c:pt idx="273">
                  <c:v>42431</c:v>
                </c:pt>
                <c:pt idx="274">
                  <c:v>42430</c:v>
                </c:pt>
                <c:pt idx="275">
                  <c:v>42429</c:v>
                </c:pt>
                <c:pt idx="276">
                  <c:v>42426</c:v>
                </c:pt>
                <c:pt idx="277">
                  <c:v>42425</c:v>
                </c:pt>
                <c:pt idx="278">
                  <c:v>42424</c:v>
                </c:pt>
                <c:pt idx="279">
                  <c:v>42423</c:v>
                </c:pt>
                <c:pt idx="280">
                  <c:v>42422</c:v>
                </c:pt>
                <c:pt idx="281">
                  <c:v>42419</c:v>
                </c:pt>
                <c:pt idx="282">
                  <c:v>42418</c:v>
                </c:pt>
                <c:pt idx="283">
                  <c:v>42417</c:v>
                </c:pt>
                <c:pt idx="284">
                  <c:v>42416</c:v>
                </c:pt>
                <c:pt idx="285">
                  <c:v>42412</c:v>
                </c:pt>
                <c:pt idx="286">
                  <c:v>42411</c:v>
                </c:pt>
                <c:pt idx="287">
                  <c:v>42410</c:v>
                </c:pt>
                <c:pt idx="288">
                  <c:v>42409</c:v>
                </c:pt>
                <c:pt idx="289">
                  <c:v>42408</c:v>
                </c:pt>
                <c:pt idx="290">
                  <c:v>42405</c:v>
                </c:pt>
                <c:pt idx="291">
                  <c:v>42404</c:v>
                </c:pt>
                <c:pt idx="292">
                  <c:v>42403</c:v>
                </c:pt>
                <c:pt idx="293">
                  <c:v>42402</c:v>
                </c:pt>
                <c:pt idx="294">
                  <c:v>42401</c:v>
                </c:pt>
                <c:pt idx="295">
                  <c:v>42398</c:v>
                </c:pt>
                <c:pt idx="296">
                  <c:v>42397</c:v>
                </c:pt>
                <c:pt idx="297">
                  <c:v>42396</c:v>
                </c:pt>
                <c:pt idx="298">
                  <c:v>42395</c:v>
                </c:pt>
                <c:pt idx="299">
                  <c:v>42394</c:v>
                </c:pt>
                <c:pt idx="300">
                  <c:v>42391</c:v>
                </c:pt>
                <c:pt idx="301">
                  <c:v>42390</c:v>
                </c:pt>
                <c:pt idx="302">
                  <c:v>42389</c:v>
                </c:pt>
                <c:pt idx="303">
                  <c:v>42388</c:v>
                </c:pt>
                <c:pt idx="304">
                  <c:v>42384</c:v>
                </c:pt>
                <c:pt idx="305">
                  <c:v>42383</c:v>
                </c:pt>
                <c:pt idx="306">
                  <c:v>42382</c:v>
                </c:pt>
                <c:pt idx="307">
                  <c:v>42381</c:v>
                </c:pt>
                <c:pt idx="308">
                  <c:v>42380</c:v>
                </c:pt>
                <c:pt idx="309">
                  <c:v>42377</c:v>
                </c:pt>
                <c:pt idx="310">
                  <c:v>42376</c:v>
                </c:pt>
                <c:pt idx="311">
                  <c:v>42375</c:v>
                </c:pt>
                <c:pt idx="312">
                  <c:v>42374</c:v>
                </c:pt>
                <c:pt idx="313">
                  <c:v>42373</c:v>
                </c:pt>
                <c:pt idx="314">
                  <c:v>42369</c:v>
                </c:pt>
                <c:pt idx="315">
                  <c:v>42368</c:v>
                </c:pt>
                <c:pt idx="316">
                  <c:v>42367</c:v>
                </c:pt>
                <c:pt idx="317">
                  <c:v>42366</c:v>
                </c:pt>
                <c:pt idx="318">
                  <c:v>42362</c:v>
                </c:pt>
                <c:pt idx="319">
                  <c:v>42361</c:v>
                </c:pt>
                <c:pt idx="320">
                  <c:v>42360</c:v>
                </c:pt>
                <c:pt idx="321">
                  <c:v>42359</c:v>
                </c:pt>
                <c:pt idx="322">
                  <c:v>42356</c:v>
                </c:pt>
                <c:pt idx="323">
                  <c:v>42355</c:v>
                </c:pt>
                <c:pt idx="324">
                  <c:v>42354</c:v>
                </c:pt>
                <c:pt idx="325">
                  <c:v>42353</c:v>
                </c:pt>
                <c:pt idx="326">
                  <c:v>42352</c:v>
                </c:pt>
                <c:pt idx="327">
                  <c:v>42349</c:v>
                </c:pt>
                <c:pt idx="328">
                  <c:v>42348</c:v>
                </c:pt>
                <c:pt idx="329">
                  <c:v>42347</c:v>
                </c:pt>
                <c:pt idx="330">
                  <c:v>42346</c:v>
                </c:pt>
                <c:pt idx="331">
                  <c:v>42345</c:v>
                </c:pt>
                <c:pt idx="332">
                  <c:v>42342</c:v>
                </c:pt>
                <c:pt idx="333">
                  <c:v>42341</c:v>
                </c:pt>
                <c:pt idx="334">
                  <c:v>42340</c:v>
                </c:pt>
                <c:pt idx="335">
                  <c:v>42339</c:v>
                </c:pt>
                <c:pt idx="336">
                  <c:v>42338</c:v>
                </c:pt>
                <c:pt idx="337">
                  <c:v>42335</c:v>
                </c:pt>
                <c:pt idx="338">
                  <c:v>42333</c:v>
                </c:pt>
                <c:pt idx="339">
                  <c:v>42332</c:v>
                </c:pt>
                <c:pt idx="340">
                  <c:v>42331</c:v>
                </c:pt>
                <c:pt idx="341">
                  <c:v>42328</c:v>
                </c:pt>
                <c:pt idx="342">
                  <c:v>42327</c:v>
                </c:pt>
                <c:pt idx="343">
                  <c:v>42326</c:v>
                </c:pt>
                <c:pt idx="344">
                  <c:v>42325</c:v>
                </c:pt>
                <c:pt idx="345">
                  <c:v>42324</c:v>
                </c:pt>
                <c:pt idx="346">
                  <c:v>42321</c:v>
                </c:pt>
                <c:pt idx="347">
                  <c:v>42320</c:v>
                </c:pt>
                <c:pt idx="348">
                  <c:v>42319</c:v>
                </c:pt>
                <c:pt idx="349">
                  <c:v>42318</c:v>
                </c:pt>
                <c:pt idx="350">
                  <c:v>42317</c:v>
                </c:pt>
                <c:pt idx="351">
                  <c:v>42314</c:v>
                </c:pt>
                <c:pt idx="352">
                  <c:v>42313</c:v>
                </c:pt>
                <c:pt idx="353">
                  <c:v>42312</c:v>
                </c:pt>
                <c:pt idx="354">
                  <c:v>42311</c:v>
                </c:pt>
                <c:pt idx="355">
                  <c:v>42310</c:v>
                </c:pt>
                <c:pt idx="356">
                  <c:v>42307</c:v>
                </c:pt>
                <c:pt idx="357">
                  <c:v>42306</c:v>
                </c:pt>
                <c:pt idx="358">
                  <c:v>42305</c:v>
                </c:pt>
                <c:pt idx="359">
                  <c:v>42304</c:v>
                </c:pt>
                <c:pt idx="360">
                  <c:v>42303</c:v>
                </c:pt>
                <c:pt idx="361">
                  <c:v>42300</c:v>
                </c:pt>
                <c:pt idx="362">
                  <c:v>42299</c:v>
                </c:pt>
                <c:pt idx="363">
                  <c:v>42298</c:v>
                </c:pt>
                <c:pt idx="364">
                  <c:v>42297</c:v>
                </c:pt>
                <c:pt idx="365">
                  <c:v>42296</c:v>
                </c:pt>
                <c:pt idx="366">
                  <c:v>42293</c:v>
                </c:pt>
                <c:pt idx="367">
                  <c:v>42292</c:v>
                </c:pt>
                <c:pt idx="368">
                  <c:v>42291</c:v>
                </c:pt>
                <c:pt idx="369">
                  <c:v>42290</c:v>
                </c:pt>
                <c:pt idx="370">
                  <c:v>42289</c:v>
                </c:pt>
                <c:pt idx="371">
                  <c:v>42286</c:v>
                </c:pt>
                <c:pt idx="372">
                  <c:v>42285</c:v>
                </c:pt>
                <c:pt idx="373">
                  <c:v>42284</c:v>
                </c:pt>
                <c:pt idx="374">
                  <c:v>42283</c:v>
                </c:pt>
                <c:pt idx="375">
                  <c:v>42282</c:v>
                </c:pt>
                <c:pt idx="376">
                  <c:v>42279</c:v>
                </c:pt>
                <c:pt idx="377">
                  <c:v>42278</c:v>
                </c:pt>
                <c:pt idx="378">
                  <c:v>42277</c:v>
                </c:pt>
                <c:pt idx="379">
                  <c:v>42276</c:v>
                </c:pt>
                <c:pt idx="380">
                  <c:v>42275</c:v>
                </c:pt>
                <c:pt idx="381">
                  <c:v>42272</c:v>
                </c:pt>
                <c:pt idx="382">
                  <c:v>42271</c:v>
                </c:pt>
                <c:pt idx="383">
                  <c:v>42270</c:v>
                </c:pt>
                <c:pt idx="384">
                  <c:v>42269</c:v>
                </c:pt>
                <c:pt idx="385">
                  <c:v>42268</c:v>
                </c:pt>
                <c:pt idx="386">
                  <c:v>42265</c:v>
                </c:pt>
                <c:pt idx="387">
                  <c:v>42264</c:v>
                </c:pt>
                <c:pt idx="388">
                  <c:v>42263</c:v>
                </c:pt>
                <c:pt idx="389">
                  <c:v>42262</c:v>
                </c:pt>
                <c:pt idx="390">
                  <c:v>42261</c:v>
                </c:pt>
                <c:pt idx="391">
                  <c:v>42258</c:v>
                </c:pt>
                <c:pt idx="392">
                  <c:v>42257</c:v>
                </c:pt>
                <c:pt idx="393">
                  <c:v>42256</c:v>
                </c:pt>
                <c:pt idx="394">
                  <c:v>42255</c:v>
                </c:pt>
                <c:pt idx="395">
                  <c:v>42251</c:v>
                </c:pt>
                <c:pt idx="396">
                  <c:v>42250</c:v>
                </c:pt>
                <c:pt idx="397">
                  <c:v>42249</c:v>
                </c:pt>
                <c:pt idx="398">
                  <c:v>42248</c:v>
                </c:pt>
                <c:pt idx="399">
                  <c:v>42247</c:v>
                </c:pt>
                <c:pt idx="400">
                  <c:v>42244</c:v>
                </c:pt>
                <c:pt idx="401">
                  <c:v>42243</c:v>
                </c:pt>
                <c:pt idx="402">
                  <c:v>42242</c:v>
                </c:pt>
                <c:pt idx="403">
                  <c:v>42241</c:v>
                </c:pt>
                <c:pt idx="404">
                  <c:v>42240</c:v>
                </c:pt>
                <c:pt idx="405">
                  <c:v>42237</c:v>
                </c:pt>
                <c:pt idx="406">
                  <c:v>42236</c:v>
                </c:pt>
                <c:pt idx="407">
                  <c:v>42235</c:v>
                </c:pt>
                <c:pt idx="408">
                  <c:v>42234</c:v>
                </c:pt>
                <c:pt idx="409">
                  <c:v>42233</c:v>
                </c:pt>
                <c:pt idx="410">
                  <c:v>42230</c:v>
                </c:pt>
                <c:pt idx="411">
                  <c:v>42229</c:v>
                </c:pt>
                <c:pt idx="412">
                  <c:v>42228</c:v>
                </c:pt>
                <c:pt idx="413">
                  <c:v>42227</c:v>
                </c:pt>
                <c:pt idx="414">
                  <c:v>42226</c:v>
                </c:pt>
                <c:pt idx="415">
                  <c:v>42223</c:v>
                </c:pt>
                <c:pt idx="416">
                  <c:v>42222</c:v>
                </c:pt>
                <c:pt idx="417">
                  <c:v>42221</c:v>
                </c:pt>
                <c:pt idx="418">
                  <c:v>42220</c:v>
                </c:pt>
                <c:pt idx="419">
                  <c:v>42219</c:v>
                </c:pt>
                <c:pt idx="420">
                  <c:v>42216</c:v>
                </c:pt>
                <c:pt idx="421">
                  <c:v>42215</c:v>
                </c:pt>
                <c:pt idx="422">
                  <c:v>42214</c:v>
                </c:pt>
                <c:pt idx="423">
                  <c:v>42213</c:v>
                </c:pt>
                <c:pt idx="424">
                  <c:v>42212</c:v>
                </c:pt>
                <c:pt idx="425">
                  <c:v>42209</c:v>
                </c:pt>
                <c:pt idx="426">
                  <c:v>42208</c:v>
                </c:pt>
                <c:pt idx="427">
                  <c:v>42207</c:v>
                </c:pt>
                <c:pt idx="428">
                  <c:v>42206</c:v>
                </c:pt>
                <c:pt idx="429">
                  <c:v>42205</c:v>
                </c:pt>
                <c:pt idx="430">
                  <c:v>42202</c:v>
                </c:pt>
                <c:pt idx="431">
                  <c:v>42201</c:v>
                </c:pt>
                <c:pt idx="432">
                  <c:v>42200</c:v>
                </c:pt>
                <c:pt idx="433">
                  <c:v>42199</c:v>
                </c:pt>
                <c:pt idx="434">
                  <c:v>42198</c:v>
                </c:pt>
                <c:pt idx="435">
                  <c:v>42195</c:v>
                </c:pt>
                <c:pt idx="436">
                  <c:v>42194</c:v>
                </c:pt>
                <c:pt idx="437">
                  <c:v>42193</c:v>
                </c:pt>
                <c:pt idx="438">
                  <c:v>42192</c:v>
                </c:pt>
                <c:pt idx="439">
                  <c:v>42191</c:v>
                </c:pt>
                <c:pt idx="440">
                  <c:v>42187</c:v>
                </c:pt>
                <c:pt idx="441">
                  <c:v>42186</c:v>
                </c:pt>
                <c:pt idx="442">
                  <c:v>42185</c:v>
                </c:pt>
                <c:pt idx="443">
                  <c:v>42184</c:v>
                </c:pt>
                <c:pt idx="444">
                  <c:v>42181</c:v>
                </c:pt>
                <c:pt idx="445">
                  <c:v>42180</c:v>
                </c:pt>
                <c:pt idx="446">
                  <c:v>42179</c:v>
                </c:pt>
                <c:pt idx="447">
                  <c:v>42178</c:v>
                </c:pt>
                <c:pt idx="448">
                  <c:v>42177</c:v>
                </c:pt>
                <c:pt idx="449">
                  <c:v>42174</c:v>
                </c:pt>
                <c:pt idx="450">
                  <c:v>42173</c:v>
                </c:pt>
                <c:pt idx="451">
                  <c:v>42172</c:v>
                </c:pt>
                <c:pt idx="452">
                  <c:v>42171</c:v>
                </c:pt>
                <c:pt idx="453">
                  <c:v>42170</c:v>
                </c:pt>
                <c:pt idx="454">
                  <c:v>42167</c:v>
                </c:pt>
                <c:pt idx="455">
                  <c:v>42166</c:v>
                </c:pt>
                <c:pt idx="456">
                  <c:v>42165</c:v>
                </c:pt>
                <c:pt idx="457">
                  <c:v>42164</c:v>
                </c:pt>
                <c:pt idx="458">
                  <c:v>42163</c:v>
                </c:pt>
                <c:pt idx="459">
                  <c:v>42160</c:v>
                </c:pt>
                <c:pt idx="460">
                  <c:v>42159</c:v>
                </c:pt>
                <c:pt idx="461">
                  <c:v>42158</c:v>
                </c:pt>
                <c:pt idx="462">
                  <c:v>42157</c:v>
                </c:pt>
                <c:pt idx="463">
                  <c:v>42156</c:v>
                </c:pt>
                <c:pt idx="464">
                  <c:v>42153</c:v>
                </c:pt>
                <c:pt idx="465">
                  <c:v>42152</c:v>
                </c:pt>
                <c:pt idx="466">
                  <c:v>42151</c:v>
                </c:pt>
                <c:pt idx="467">
                  <c:v>42150</c:v>
                </c:pt>
                <c:pt idx="468">
                  <c:v>42146</c:v>
                </c:pt>
                <c:pt idx="469">
                  <c:v>42145</c:v>
                </c:pt>
                <c:pt idx="470">
                  <c:v>42144</c:v>
                </c:pt>
                <c:pt idx="471">
                  <c:v>42143</c:v>
                </c:pt>
                <c:pt idx="472">
                  <c:v>42142</c:v>
                </c:pt>
                <c:pt idx="473">
                  <c:v>42139</c:v>
                </c:pt>
                <c:pt idx="474">
                  <c:v>42138</c:v>
                </c:pt>
                <c:pt idx="475">
                  <c:v>42137</c:v>
                </c:pt>
                <c:pt idx="476">
                  <c:v>42136</c:v>
                </c:pt>
                <c:pt idx="477">
                  <c:v>42135</c:v>
                </c:pt>
                <c:pt idx="478">
                  <c:v>42132</c:v>
                </c:pt>
                <c:pt idx="479">
                  <c:v>42131</c:v>
                </c:pt>
                <c:pt idx="480">
                  <c:v>42130</c:v>
                </c:pt>
                <c:pt idx="481">
                  <c:v>42129</c:v>
                </c:pt>
                <c:pt idx="482">
                  <c:v>42128</c:v>
                </c:pt>
                <c:pt idx="483">
                  <c:v>42125</c:v>
                </c:pt>
                <c:pt idx="484">
                  <c:v>42124</c:v>
                </c:pt>
                <c:pt idx="485">
                  <c:v>42123</c:v>
                </c:pt>
                <c:pt idx="486">
                  <c:v>42122</c:v>
                </c:pt>
                <c:pt idx="487">
                  <c:v>42121</c:v>
                </c:pt>
                <c:pt idx="488">
                  <c:v>42118</c:v>
                </c:pt>
                <c:pt idx="489">
                  <c:v>42117</c:v>
                </c:pt>
                <c:pt idx="490">
                  <c:v>42116</c:v>
                </c:pt>
                <c:pt idx="491">
                  <c:v>42115</c:v>
                </c:pt>
                <c:pt idx="492">
                  <c:v>42114</c:v>
                </c:pt>
                <c:pt idx="493">
                  <c:v>42111</c:v>
                </c:pt>
                <c:pt idx="494">
                  <c:v>42110</c:v>
                </c:pt>
                <c:pt idx="495">
                  <c:v>42109</c:v>
                </c:pt>
                <c:pt idx="496">
                  <c:v>42108</c:v>
                </c:pt>
                <c:pt idx="497">
                  <c:v>42107</c:v>
                </c:pt>
                <c:pt idx="498">
                  <c:v>42104</c:v>
                </c:pt>
                <c:pt idx="499">
                  <c:v>42103</c:v>
                </c:pt>
                <c:pt idx="500">
                  <c:v>42102</c:v>
                </c:pt>
                <c:pt idx="501">
                  <c:v>42101</c:v>
                </c:pt>
                <c:pt idx="502">
                  <c:v>42100</c:v>
                </c:pt>
                <c:pt idx="503">
                  <c:v>42096</c:v>
                </c:pt>
                <c:pt idx="504">
                  <c:v>42095</c:v>
                </c:pt>
                <c:pt idx="505">
                  <c:v>42094</c:v>
                </c:pt>
                <c:pt idx="506">
                  <c:v>42093</c:v>
                </c:pt>
                <c:pt idx="507">
                  <c:v>42090</c:v>
                </c:pt>
                <c:pt idx="508">
                  <c:v>42089</c:v>
                </c:pt>
                <c:pt idx="509">
                  <c:v>42088</c:v>
                </c:pt>
                <c:pt idx="510">
                  <c:v>42087</c:v>
                </c:pt>
                <c:pt idx="511">
                  <c:v>42086</c:v>
                </c:pt>
                <c:pt idx="512">
                  <c:v>42083</c:v>
                </c:pt>
                <c:pt idx="513">
                  <c:v>42082</c:v>
                </c:pt>
                <c:pt idx="514">
                  <c:v>42081</c:v>
                </c:pt>
                <c:pt idx="515">
                  <c:v>42080</c:v>
                </c:pt>
                <c:pt idx="516">
                  <c:v>42079</c:v>
                </c:pt>
                <c:pt idx="517">
                  <c:v>42076</c:v>
                </c:pt>
                <c:pt idx="518">
                  <c:v>42075</c:v>
                </c:pt>
                <c:pt idx="519">
                  <c:v>42074</c:v>
                </c:pt>
                <c:pt idx="520">
                  <c:v>42073</c:v>
                </c:pt>
                <c:pt idx="521">
                  <c:v>42072</c:v>
                </c:pt>
                <c:pt idx="522">
                  <c:v>42069</c:v>
                </c:pt>
                <c:pt idx="523">
                  <c:v>42068</c:v>
                </c:pt>
                <c:pt idx="524">
                  <c:v>42067</c:v>
                </c:pt>
                <c:pt idx="525">
                  <c:v>42066</c:v>
                </c:pt>
                <c:pt idx="526">
                  <c:v>42065</c:v>
                </c:pt>
                <c:pt idx="527">
                  <c:v>42062</c:v>
                </c:pt>
                <c:pt idx="528">
                  <c:v>42061</c:v>
                </c:pt>
                <c:pt idx="529">
                  <c:v>42060</c:v>
                </c:pt>
                <c:pt idx="530">
                  <c:v>42059</c:v>
                </c:pt>
                <c:pt idx="531">
                  <c:v>42058</c:v>
                </c:pt>
                <c:pt idx="532">
                  <c:v>42055</c:v>
                </c:pt>
                <c:pt idx="533">
                  <c:v>42054</c:v>
                </c:pt>
                <c:pt idx="534">
                  <c:v>42053</c:v>
                </c:pt>
                <c:pt idx="535">
                  <c:v>42052</c:v>
                </c:pt>
                <c:pt idx="536">
                  <c:v>42048</c:v>
                </c:pt>
                <c:pt idx="537">
                  <c:v>42047</c:v>
                </c:pt>
                <c:pt idx="538">
                  <c:v>42046</c:v>
                </c:pt>
                <c:pt idx="539">
                  <c:v>42045</c:v>
                </c:pt>
                <c:pt idx="540">
                  <c:v>42044</c:v>
                </c:pt>
                <c:pt idx="541">
                  <c:v>42041</c:v>
                </c:pt>
                <c:pt idx="542">
                  <c:v>42040</c:v>
                </c:pt>
                <c:pt idx="543">
                  <c:v>42039</c:v>
                </c:pt>
                <c:pt idx="544">
                  <c:v>42038</c:v>
                </c:pt>
                <c:pt idx="545">
                  <c:v>42037</c:v>
                </c:pt>
                <c:pt idx="546">
                  <c:v>42034</c:v>
                </c:pt>
                <c:pt idx="547">
                  <c:v>42033</c:v>
                </c:pt>
                <c:pt idx="548">
                  <c:v>42032</c:v>
                </c:pt>
                <c:pt idx="549">
                  <c:v>42031</c:v>
                </c:pt>
                <c:pt idx="550">
                  <c:v>42030</c:v>
                </c:pt>
                <c:pt idx="551">
                  <c:v>42027</c:v>
                </c:pt>
                <c:pt idx="552">
                  <c:v>42026</c:v>
                </c:pt>
                <c:pt idx="553">
                  <c:v>42025</c:v>
                </c:pt>
                <c:pt idx="554">
                  <c:v>42024</c:v>
                </c:pt>
                <c:pt idx="555">
                  <c:v>42020</c:v>
                </c:pt>
                <c:pt idx="556">
                  <c:v>42019</c:v>
                </c:pt>
                <c:pt idx="557">
                  <c:v>42018</c:v>
                </c:pt>
                <c:pt idx="558">
                  <c:v>42017</c:v>
                </c:pt>
                <c:pt idx="559">
                  <c:v>42016</c:v>
                </c:pt>
                <c:pt idx="560">
                  <c:v>42013</c:v>
                </c:pt>
                <c:pt idx="561">
                  <c:v>42012</c:v>
                </c:pt>
                <c:pt idx="562">
                  <c:v>42011</c:v>
                </c:pt>
                <c:pt idx="563">
                  <c:v>42010</c:v>
                </c:pt>
                <c:pt idx="564">
                  <c:v>42009</c:v>
                </c:pt>
                <c:pt idx="565">
                  <c:v>42006</c:v>
                </c:pt>
                <c:pt idx="566">
                  <c:v>42004</c:v>
                </c:pt>
                <c:pt idx="567">
                  <c:v>42003</c:v>
                </c:pt>
                <c:pt idx="568">
                  <c:v>42002</c:v>
                </c:pt>
                <c:pt idx="569">
                  <c:v>41999</c:v>
                </c:pt>
                <c:pt idx="570">
                  <c:v>41997</c:v>
                </c:pt>
                <c:pt idx="571">
                  <c:v>41996</c:v>
                </c:pt>
                <c:pt idx="572">
                  <c:v>41995</c:v>
                </c:pt>
                <c:pt idx="573">
                  <c:v>41992</c:v>
                </c:pt>
                <c:pt idx="574">
                  <c:v>41991</c:v>
                </c:pt>
                <c:pt idx="575">
                  <c:v>41990</c:v>
                </c:pt>
                <c:pt idx="576">
                  <c:v>41989</c:v>
                </c:pt>
                <c:pt idx="577">
                  <c:v>41988</c:v>
                </c:pt>
                <c:pt idx="578">
                  <c:v>41985</c:v>
                </c:pt>
                <c:pt idx="579">
                  <c:v>41984</c:v>
                </c:pt>
                <c:pt idx="580">
                  <c:v>41983</c:v>
                </c:pt>
                <c:pt idx="581">
                  <c:v>41982</c:v>
                </c:pt>
                <c:pt idx="582">
                  <c:v>41981</c:v>
                </c:pt>
                <c:pt idx="583">
                  <c:v>41978</c:v>
                </c:pt>
                <c:pt idx="584">
                  <c:v>41977</c:v>
                </c:pt>
                <c:pt idx="585">
                  <c:v>41976</c:v>
                </c:pt>
                <c:pt idx="586">
                  <c:v>41975</c:v>
                </c:pt>
                <c:pt idx="587">
                  <c:v>41974</c:v>
                </c:pt>
                <c:pt idx="588">
                  <c:v>41971</c:v>
                </c:pt>
                <c:pt idx="589">
                  <c:v>41969</c:v>
                </c:pt>
                <c:pt idx="590">
                  <c:v>41968</c:v>
                </c:pt>
                <c:pt idx="591">
                  <c:v>41967</c:v>
                </c:pt>
                <c:pt idx="592">
                  <c:v>41964</c:v>
                </c:pt>
                <c:pt idx="593">
                  <c:v>41963</c:v>
                </c:pt>
                <c:pt idx="594">
                  <c:v>41962</c:v>
                </c:pt>
                <c:pt idx="595">
                  <c:v>41961</c:v>
                </c:pt>
                <c:pt idx="596">
                  <c:v>41960</c:v>
                </c:pt>
                <c:pt idx="597">
                  <c:v>41957</c:v>
                </c:pt>
                <c:pt idx="598">
                  <c:v>41956</c:v>
                </c:pt>
                <c:pt idx="599">
                  <c:v>41955</c:v>
                </c:pt>
                <c:pt idx="600">
                  <c:v>41954</c:v>
                </c:pt>
                <c:pt idx="601">
                  <c:v>41953</c:v>
                </c:pt>
                <c:pt idx="602">
                  <c:v>41950</c:v>
                </c:pt>
                <c:pt idx="603">
                  <c:v>41949</c:v>
                </c:pt>
                <c:pt idx="604">
                  <c:v>41948</c:v>
                </c:pt>
                <c:pt idx="605">
                  <c:v>41947</c:v>
                </c:pt>
                <c:pt idx="606">
                  <c:v>41946</c:v>
                </c:pt>
                <c:pt idx="607">
                  <c:v>41943</c:v>
                </c:pt>
                <c:pt idx="608">
                  <c:v>41942</c:v>
                </c:pt>
                <c:pt idx="609">
                  <c:v>41941</c:v>
                </c:pt>
                <c:pt idx="610">
                  <c:v>41940</c:v>
                </c:pt>
                <c:pt idx="611">
                  <c:v>41939</c:v>
                </c:pt>
                <c:pt idx="612">
                  <c:v>41936</c:v>
                </c:pt>
                <c:pt idx="613">
                  <c:v>41935</c:v>
                </c:pt>
                <c:pt idx="614">
                  <c:v>41934</c:v>
                </c:pt>
                <c:pt idx="615">
                  <c:v>41933</c:v>
                </c:pt>
                <c:pt idx="616">
                  <c:v>41932</c:v>
                </c:pt>
                <c:pt idx="617">
                  <c:v>41929</c:v>
                </c:pt>
                <c:pt idx="618">
                  <c:v>41928</c:v>
                </c:pt>
                <c:pt idx="619">
                  <c:v>41927</c:v>
                </c:pt>
                <c:pt idx="620">
                  <c:v>41926</c:v>
                </c:pt>
                <c:pt idx="621">
                  <c:v>41925</c:v>
                </c:pt>
                <c:pt idx="622">
                  <c:v>41922</c:v>
                </c:pt>
                <c:pt idx="623">
                  <c:v>41921</c:v>
                </c:pt>
                <c:pt idx="624">
                  <c:v>41920</c:v>
                </c:pt>
                <c:pt idx="625">
                  <c:v>41919</c:v>
                </c:pt>
                <c:pt idx="626">
                  <c:v>41918</c:v>
                </c:pt>
                <c:pt idx="627">
                  <c:v>41915</c:v>
                </c:pt>
                <c:pt idx="628">
                  <c:v>41914</c:v>
                </c:pt>
                <c:pt idx="629">
                  <c:v>41913</c:v>
                </c:pt>
                <c:pt idx="630">
                  <c:v>41912</c:v>
                </c:pt>
                <c:pt idx="631">
                  <c:v>41911</c:v>
                </c:pt>
                <c:pt idx="632">
                  <c:v>41908</c:v>
                </c:pt>
                <c:pt idx="633">
                  <c:v>41907</c:v>
                </c:pt>
                <c:pt idx="634">
                  <c:v>41906</c:v>
                </c:pt>
                <c:pt idx="635">
                  <c:v>41905</c:v>
                </c:pt>
                <c:pt idx="636">
                  <c:v>41904</c:v>
                </c:pt>
                <c:pt idx="637">
                  <c:v>41901</c:v>
                </c:pt>
                <c:pt idx="638">
                  <c:v>41900</c:v>
                </c:pt>
                <c:pt idx="639">
                  <c:v>41899</c:v>
                </c:pt>
                <c:pt idx="640">
                  <c:v>41898</c:v>
                </c:pt>
                <c:pt idx="641">
                  <c:v>41897</c:v>
                </c:pt>
                <c:pt idx="642">
                  <c:v>41894</c:v>
                </c:pt>
                <c:pt idx="643">
                  <c:v>41893</c:v>
                </c:pt>
                <c:pt idx="644">
                  <c:v>41892</c:v>
                </c:pt>
                <c:pt idx="645">
                  <c:v>41891</c:v>
                </c:pt>
                <c:pt idx="646">
                  <c:v>41890</c:v>
                </c:pt>
                <c:pt idx="647">
                  <c:v>41887</c:v>
                </c:pt>
                <c:pt idx="648">
                  <c:v>41886</c:v>
                </c:pt>
                <c:pt idx="649">
                  <c:v>41885</c:v>
                </c:pt>
                <c:pt idx="650">
                  <c:v>41884</c:v>
                </c:pt>
                <c:pt idx="651">
                  <c:v>41880</c:v>
                </c:pt>
                <c:pt idx="652">
                  <c:v>41879</c:v>
                </c:pt>
                <c:pt idx="653">
                  <c:v>41878</c:v>
                </c:pt>
                <c:pt idx="654">
                  <c:v>41877</c:v>
                </c:pt>
                <c:pt idx="655">
                  <c:v>41876</c:v>
                </c:pt>
                <c:pt idx="656">
                  <c:v>41873</c:v>
                </c:pt>
                <c:pt idx="657">
                  <c:v>41872</c:v>
                </c:pt>
                <c:pt idx="658">
                  <c:v>41871</c:v>
                </c:pt>
                <c:pt idx="659">
                  <c:v>41870</c:v>
                </c:pt>
                <c:pt idx="660">
                  <c:v>41869</c:v>
                </c:pt>
                <c:pt idx="661">
                  <c:v>41866</c:v>
                </c:pt>
                <c:pt idx="662">
                  <c:v>41865</c:v>
                </c:pt>
                <c:pt idx="663">
                  <c:v>41864</c:v>
                </c:pt>
                <c:pt idx="664">
                  <c:v>41863</c:v>
                </c:pt>
                <c:pt idx="665">
                  <c:v>41862</c:v>
                </c:pt>
                <c:pt idx="666">
                  <c:v>41859</c:v>
                </c:pt>
                <c:pt idx="667">
                  <c:v>41858</c:v>
                </c:pt>
                <c:pt idx="668">
                  <c:v>41857</c:v>
                </c:pt>
                <c:pt idx="669">
                  <c:v>41856</c:v>
                </c:pt>
                <c:pt idx="670">
                  <c:v>41855</c:v>
                </c:pt>
                <c:pt idx="671">
                  <c:v>41852</c:v>
                </c:pt>
                <c:pt idx="672">
                  <c:v>41851</c:v>
                </c:pt>
                <c:pt idx="673">
                  <c:v>41850</c:v>
                </c:pt>
                <c:pt idx="674">
                  <c:v>41849</c:v>
                </c:pt>
                <c:pt idx="675">
                  <c:v>41848</c:v>
                </c:pt>
                <c:pt idx="676">
                  <c:v>41845</c:v>
                </c:pt>
                <c:pt idx="677">
                  <c:v>41844</c:v>
                </c:pt>
                <c:pt idx="678">
                  <c:v>41843</c:v>
                </c:pt>
                <c:pt idx="679">
                  <c:v>41842</c:v>
                </c:pt>
                <c:pt idx="680">
                  <c:v>41841</c:v>
                </c:pt>
                <c:pt idx="681">
                  <c:v>41838</c:v>
                </c:pt>
                <c:pt idx="682">
                  <c:v>41837</c:v>
                </c:pt>
                <c:pt idx="683">
                  <c:v>41836</c:v>
                </c:pt>
                <c:pt idx="684">
                  <c:v>41835</c:v>
                </c:pt>
                <c:pt idx="685">
                  <c:v>41834</c:v>
                </c:pt>
                <c:pt idx="686">
                  <c:v>41831</c:v>
                </c:pt>
                <c:pt idx="687">
                  <c:v>41830</c:v>
                </c:pt>
                <c:pt idx="688">
                  <c:v>41829</c:v>
                </c:pt>
                <c:pt idx="689">
                  <c:v>41828</c:v>
                </c:pt>
                <c:pt idx="690">
                  <c:v>41827</c:v>
                </c:pt>
                <c:pt idx="691">
                  <c:v>41823</c:v>
                </c:pt>
                <c:pt idx="692">
                  <c:v>41822</c:v>
                </c:pt>
                <c:pt idx="693">
                  <c:v>41821</c:v>
                </c:pt>
                <c:pt idx="694">
                  <c:v>41820</c:v>
                </c:pt>
                <c:pt idx="695">
                  <c:v>41817</c:v>
                </c:pt>
                <c:pt idx="696">
                  <c:v>41816</c:v>
                </c:pt>
                <c:pt idx="697">
                  <c:v>41815</c:v>
                </c:pt>
                <c:pt idx="698">
                  <c:v>41814</c:v>
                </c:pt>
                <c:pt idx="699">
                  <c:v>41813</c:v>
                </c:pt>
                <c:pt idx="700">
                  <c:v>41810</c:v>
                </c:pt>
                <c:pt idx="701">
                  <c:v>41809</c:v>
                </c:pt>
                <c:pt idx="702">
                  <c:v>41808</c:v>
                </c:pt>
                <c:pt idx="703">
                  <c:v>41807</c:v>
                </c:pt>
                <c:pt idx="704">
                  <c:v>41806</c:v>
                </c:pt>
                <c:pt idx="705">
                  <c:v>41803</c:v>
                </c:pt>
                <c:pt idx="706">
                  <c:v>41802</c:v>
                </c:pt>
                <c:pt idx="707">
                  <c:v>41801</c:v>
                </c:pt>
                <c:pt idx="708">
                  <c:v>41800</c:v>
                </c:pt>
                <c:pt idx="709">
                  <c:v>41799</c:v>
                </c:pt>
                <c:pt idx="710">
                  <c:v>41796</c:v>
                </c:pt>
                <c:pt idx="711">
                  <c:v>41795</c:v>
                </c:pt>
                <c:pt idx="712">
                  <c:v>41794</c:v>
                </c:pt>
                <c:pt idx="713">
                  <c:v>41793</c:v>
                </c:pt>
                <c:pt idx="714">
                  <c:v>41792</c:v>
                </c:pt>
                <c:pt idx="715">
                  <c:v>41789</c:v>
                </c:pt>
                <c:pt idx="716">
                  <c:v>41788</c:v>
                </c:pt>
                <c:pt idx="717">
                  <c:v>41787</c:v>
                </c:pt>
                <c:pt idx="718">
                  <c:v>41786</c:v>
                </c:pt>
                <c:pt idx="719">
                  <c:v>41782</c:v>
                </c:pt>
                <c:pt idx="720">
                  <c:v>41781</c:v>
                </c:pt>
                <c:pt idx="721">
                  <c:v>41780</c:v>
                </c:pt>
                <c:pt idx="722">
                  <c:v>41779</c:v>
                </c:pt>
                <c:pt idx="723">
                  <c:v>41778</c:v>
                </c:pt>
                <c:pt idx="724">
                  <c:v>41775</c:v>
                </c:pt>
                <c:pt idx="725">
                  <c:v>41774</c:v>
                </c:pt>
                <c:pt idx="726">
                  <c:v>41773</c:v>
                </c:pt>
                <c:pt idx="727">
                  <c:v>41772</c:v>
                </c:pt>
                <c:pt idx="728">
                  <c:v>41771</c:v>
                </c:pt>
                <c:pt idx="729">
                  <c:v>41768</c:v>
                </c:pt>
                <c:pt idx="730">
                  <c:v>41767</c:v>
                </c:pt>
                <c:pt idx="731">
                  <c:v>41766</c:v>
                </c:pt>
                <c:pt idx="732">
                  <c:v>41765</c:v>
                </c:pt>
                <c:pt idx="733">
                  <c:v>41764</c:v>
                </c:pt>
                <c:pt idx="734">
                  <c:v>41761</c:v>
                </c:pt>
                <c:pt idx="735">
                  <c:v>41760</c:v>
                </c:pt>
                <c:pt idx="736">
                  <c:v>41759</c:v>
                </c:pt>
                <c:pt idx="737">
                  <c:v>41758</c:v>
                </c:pt>
                <c:pt idx="738">
                  <c:v>41757</c:v>
                </c:pt>
                <c:pt idx="739">
                  <c:v>41754</c:v>
                </c:pt>
                <c:pt idx="740">
                  <c:v>41753</c:v>
                </c:pt>
                <c:pt idx="741">
                  <c:v>41752</c:v>
                </c:pt>
                <c:pt idx="742">
                  <c:v>41751</c:v>
                </c:pt>
                <c:pt idx="743">
                  <c:v>41750</c:v>
                </c:pt>
                <c:pt idx="744">
                  <c:v>41746</c:v>
                </c:pt>
                <c:pt idx="745">
                  <c:v>41745</c:v>
                </c:pt>
                <c:pt idx="746">
                  <c:v>41744</c:v>
                </c:pt>
                <c:pt idx="747">
                  <c:v>41743</c:v>
                </c:pt>
                <c:pt idx="748">
                  <c:v>41740</c:v>
                </c:pt>
                <c:pt idx="749">
                  <c:v>41739</c:v>
                </c:pt>
                <c:pt idx="750">
                  <c:v>41738</c:v>
                </c:pt>
                <c:pt idx="751">
                  <c:v>41737</c:v>
                </c:pt>
                <c:pt idx="752">
                  <c:v>41736</c:v>
                </c:pt>
                <c:pt idx="753">
                  <c:v>41733</c:v>
                </c:pt>
                <c:pt idx="754">
                  <c:v>41732</c:v>
                </c:pt>
                <c:pt idx="755">
                  <c:v>41731</c:v>
                </c:pt>
                <c:pt idx="756">
                  <c:v>41730</c:v>
                </c:pt>
                <c:pt idx="757">
                  <c:v>41729</c:v>
                </c:pt>
              </c:numCache>
            </c:numRef>
          </c:cat>
          <c:val>
            <c:numRef>
              <c:f>Exhibits!$FS$113:$FS$870</c:f>
              <c:numCache>
                <c:formatCode>"$"#,##0.00</c:formatCode>
                <c:ptCount val="758"/>
                <c:pt idx="0">
                  <c:v>261.87</c:v>
                </c:pt>
                <c:pt idx="1">
                  <c:v>255.45</c:v>
                </c:pt>
                <c:pt idx="2">
                  <c:v>255.24</c:v>
                </c:pt>
                <c:pt idx="3">
                  <c:v>256.97000000000003</c:v>
                </c:pt>
                <c:pt idx="4">
                  <c:v>253.26</c:v>
                </c:pt>
                <c:pt idx="5">
                  <c:v>249.48</c:v>
                </c:pt>
                <c:pt idx="6">
                  <c:v>246.48</c:v>
                </c:pt>
                <c:pt idx="7">
                  <c:v>245.03</c:v>
                </c:pt>
                <c:pt idx="8">
                  <c:v>240.77</c:v>
                </c:pt>
                <c:pt idx="9">
                  <c:v>238.61</c:v>
                </c:pt>
                <c:pt idx="10">
                  <c:v>238.39</c:v>
                </c:pt>
                <c:pt idx="11">
                  <c:v>235.73</c:v>
                </c:pt>
                <c:pt idx="12">
                  <c:v>236.49</c:v>
                </c:pt>
                <c:pt idx="13">
                  <c:v>234.27</c:v>
                </c:pt>
                <c:pt idx="14">
                  <c:v>234.47</c:v>
                </c:pt>
                <c:pt idx="15">
                  <c:v>234.91</c:v>
                </c:pt>
                <c:pt idx="16">
                  <c:v>235.86</c:v>
                </c:pt>
                <c:pt idx="17">
                  <c:v>233.77</c:v>
                </c:pt>
                <c:pt idx="18">
                  <c:v>230.38</c:v>
                </c:pt>
                <c:pt idx="19">
                  <c:v>230.08</c:v>
                </c:pt>
                <c:pt idx="20">
                  <c:v>229.04</c:v>
                </c:pt>
                <c:pt idx="21">
                  <c:v>230.13</c:v>
                </c:pt>
                <c:pt idx="22">
                  <c:v>231.63</c:v>
                </c:pt>
                <c:pt idx="23">
                  <c:v>230.8</c:v>
                </c:pt>
                <c:pt idx="24">
                  <c:v>230.91</c:v>
                </c:pt>
                <c:pt idx="25">
                  <c:v>231.39</c:v>
                </c:pt>
                <c:pt idx="26">
                  <c:v>228.95</c:v>
                </c:pt>
                <c:pt idx="27">
                  <c:v>228.57</c:v>
                </c:pt>
                <c:pt idx="28">
                  <c:v>232.1</c:v>
                </c:pt>
                <c:pt idx="29">
                  <c:v>231.42</c:v>
                </c:pt>
                <c:pt idx="30">
                  <c:v>230.28</c:v>
                </c:pt>
                <c:pt idx="31">
                  <c:v>232.05</c:v>
                </c:pt>
                <c:pt idx="32">
                  <c:v>233.05</c:v>
                </c:pt>
                <c:pt idx="33">
                  <c:v>232.46</c:v>
                </c:pt>
                <c:pt idx="34">
                  <c:v>233.21</c:v>
                </c:pt>
                <c:pt idx="35">
                  <c:v>231.18</c:v>
                </c:pt>
                <c:pt idx="36">
                  <c:v>232.9</c:v>
                </c:pt>
                <c:pt idx="37">
                  <c:v>214.27</c:v>
                </c:pt>
                <c:pt idx="38">
                  <c:v>215.48</c:v>
                </c:pt>
                <c:pt idx="39">
                  <c:v>213.17</c:v>
                </c:pt>
                <c:pt idx="40">
                  <c:v>211.22</c:v>
                </c:pt>
                <c:pt idx="41">
                  <c:v>208.67</c:v>
                </c:pt>
                <c:pt idx="42">
                  <c:v>209.06</c:v>
                </c:pt>
                <c:pt idx="43">
                  <c:v>210.53</c:v>
                </c:pt>
                <c:pt idx="44">
                  <c:v>209.83</c:v>
                </c:pt>
                <c:pt idx="45">
                  <c:v>210</c:v>
                </c:pt>
                <c:pt idx="46">
                  <c:v>212.22</c:v>
                </c:pt>
                <c:pt idx="47">
                  <c:v>213.55</c:v>
                </c:pt>
                <c:pt idx="48">
                  <c:v>216.06</c:v>
                </c:pt>
                <c:pt idx="49">
                  <c:v>216.65</c:v>
                </c:pt>
                <c:pt idx="50">
                  <c:v>214.53</c:v>
                </c:pt>
                <c:pt idx="51">
                  <c:v>213.15</c:v>
                </c:pt>
                <c:pt idx="52">
                  <c:v>211.51</c:v>
                </c:pt>
                <c:pt idx="53">
                  <c:v>213.34</c:v>
                </c:pt>
                <c:pt idx="54">
                  <c:v>213.82</c:v>
                </c:pt>
                <c:pt idx="55">
                  <c:v>214.86</c:v>
                </c:pt>
                <c:pt idx="56">
                  <c:v>214.03</c:v>
                </c:pt>
                <c:pt idx="57">
                  <c:v>212.43</c:v>
                </c:pt>
                <c:pt idx="58">
                  <c:v>208.09</c:v>
                </c:pt>
                <c:pt idx="59">
                  <c:v>208.53</c:v>
                </c:pt>
                <c:pt idx="60">
                  <c:v>207.39</c:v>
                </c:pt>
                <c:pt idx="61">
                  <c:v>203.55</c:v>
                </c:pt>
                <c:pt idx="62">
                  <c:v>205.09</c:v>
                </c:pt>
                <c:pt idx="63">
                  <c:v>207.93</c:v>
                </c:pt>
                <c:pt idx="64">
                  <c:v>208.06</c:v>
                </c:pt>
                <c:pt idx="65">
                  <c:v>210.4</c:v>
                </c:pt>
                <c:pt idx="66">
                  <c:v>209.6</c:v>
                </c:pt>
                <c:pt idx="67">
                  <c:v>210.72</c:v>
                </c:pt>
                <c:pt idx="68">
                  <c:v>210.74</c:v>
                </c:pt>
                <c:pt idx="69">
                  <c:v>210.22</c:v>
                </c:pt>
                <c:pt idx="70">
                  <c:v>212.12</c:v>
                </c:pt>
                <c:pt idx="71">
                  <c:v>212.21</c:v>
                </c:pt>
                <c:pt idx="72">
                  <c:v>212.04</c:v>
                </c:pt>
                <c:pt idx="73">
                  <c:v>210.32</c:v>
                </c:pt>
                <c:pt idx="74">
                  <c:v>212.84</c:v>
                </c:pt>
                <c:pt idx="75">
                  <c:v>210.31</c:v>
                </c:pt>
                <c:pt idx="76">
                  <c:v>213.58</c:v>
                </c:pt>
                <c:pt idx="77">
                  <c:v>215.54</c:v>
                </c:pt>
                <c:pt idx="78">
                  <c:v>215.95</c:v>
                </c:pt>
                <c:pt idx="79">
                  <c:v>215.02</c:v>
                </c:pt>
                <c:pt idx="80">
                  <c:v>213.51</c:v>
                </c:pt>
                <c:pt idx="81">
                  <c:v>213.67</c:v>
                </c:pt>
                <c:pt idx="82">
                  <c:v>213.69</c:v>
                </c:pt>
                <c:pt idx="83">
                  <c:v>212.11</c:v>
                </c:pt>
                <c:pt idx="84">
                  <c:v>211.84</c:v>
                </c:pt>
                <c:pt idx="85">
                  <c:v>212.19</c:v>
                </c:pt>
                <c:pt idx="86">
                  <c:v>217.16</c:v>
                </c:pt>
                <c:pt idx="87">
                  <c:v>217.9</c:v>
                </c:pt>
                <c:pt idx="88">
                  <c:v>215.19</c:v>
                </c:pt>
                <c:pt idx="89">
                  <c:v>212.83</c:v>
                </c:pt>
                <c:pt idx="90">
                  <c:v>209.47</c:v>
                </c:pt>
                <c:pt idx="91">
                  <c:v>210.52</c:v>
                </c:pt>
                <c:pt idx="92">
                  <c:v>206.96</c:v>
                </c:pt>
                <c:pt idx="93">
                  <c:v>208.76</c:v>
                </c:pt>
                <c:pt idx="94">
                  <c:v>209.38</c:v>
                </c:pt>
                <c:pt idx="95">
                  <c:v>202.12</c:v>
                </c:pt>
                <c:pt idx="96">
                  <c:v>196.67</c:v>
                </c:pt>
                <c:pt idx="97">
                  <c:v>196.62</c:v>
                </c:pt>
                <c:pt idx="98">
                  <c:v>188.28</c:v>
                </c:pt>
                <c:pt idx="99">
                  <c:v>190.03</c:v>
                </c:pt>
                <c:pt idx="100">
                  <c:v>186.74</c:v>
                </c:pt>
                <c:pt idx="101">
                  <c:v>190.91</c:v>
                </c:pt>
                <c:pt idx="102">
                  <c:v>192.69</c:v>
                </c:pt>
                <c:pt idx="103">
                  <c:v>192.42</c:v>
                </c:pt>
                <c:pt idx="104">
                  <c:v>190.76</c:v>
                </c:pt>
                <c:pt idx="105">
                  <c:v>194.26</c:v>
                </c:pt>
                <c:pt idx="106">
                  <c:v>189.42</c:v>
                </c:pt>
                <c:pt idx="107">
                  <c:v>191.11</c:v>
                </c:pt>
                <c:pt idx="108">
                  <c:v>194.56</c:v>
                </c:pt>
                <c:pt idx="109">
                  <c:v>198.62</c:v>
                </c:pt>
                <c:pt idx="110">
                  <c:v>196.86</c:v>
                </c:pt>
                <c:pt idx="111">
                  <c:v>195.32</c:v>
                </c:pt>
                <c:pt idx="112">
                  <c:v>196.34</c:v>
                </c:pt>
                <c:pt idx="113">
                  <c:v>192.21</c:v>
                </c:pt>
                <c:pt idx="114">
                  <c:v>191.19</c:v>
                </c:pt>
                <c:pt idx="115">
                  <c:v>191.31</c:v>
                </c:pt>
                <c:pt idx="116">
                  <c:v>190.82</c:v>
                </c:pt>
                <c:pt idx="117">
                  <c:v>190.43</c:v>
                </c:pt>
                <c:pt idx="118">
                  <c:v>188.79</c:v>
                </c:pt>
                <c:pt idx="119">
                  <c:v>192.73</c:v>
                </c:pt>
                <c:pt idx="120">
                  <c:v>189.28</c:v>
                </c:pt>
                <c:pt idx="121">
                  <c:v>190.13</c:v>
                </c:pt>
                <c:pt idx="122">
                  <c:v>192.2</c:v>
                </c:pt>
                <c:pt idx="123">
                  <c:v>192.67</c:v>
                </c:pt>
                <c:pt idx="124">
                  <c:v>191.85</c:v>
                </c:pt>
                <c:pt idx="125">
                  <c:v>194.72</c:v>
                </c:pt>
                <c:pt idx="126">
                  <c:v>192.3</c:v>
                </c:pt>
                <c:pt idx="127">
                  <c:v>192.18</c:v>
                </c:pt>
                <c:pt idx="128">
                  <c:v>193.51</c:v>
                </c:pt>
                <c:pt idx="129">
                  <c:v>195.39</c:v>
                </c:pt>
                <c:pt idx="130">
                  <c:v>199.02</c:v>
                </c:pt>
                <c:pt idx="131">
                  <c:v>198.34</c:v>
                </c:pt>
                <c:pt idx="132">
                  <c:v>197.68</c:v>
                </c:pt>
                <c:pt idx="133">
                  <c:v>197.58</c:v>
                </c:pt>
                <c:pt idx="134">
                  <c:v>201.08</c:v>
                </c:pt>
                <c:pt idx="135">
                  <c:v>200.12</c:v>
                </c:pt>
                <c:pt idx="136">
                  <c:v>204.36</c:v>
                </c:pt>
                <c:pt idx="137">
                  <c:v>203.33</c:v>
                </c:pt>
                <c:pt idx="138">
                  <c:v>207.92</c:v>
                </c:pt>
                <c:pt idx="139">
                  <c:v>210.26</c:v>
                </c:pt>
                <c:pt idx="140">
                  <c:v>207.92</c:v>
                </c:pt>
                <c:pt idx="141">
                  <c:v>211.02</c:v>
                </c:pt>
                <c:pt idx="142">
                  <c:v>216.39</c:v>
                </c:pt>
                <c:pt idx="143">
                  <c:v>216.28</c:v>
                </c:pt>
                <c:pt idx="144">
                  <c:v>217.26</c:v>
                </c:pt>
                <c:pt idx="145">
                  <c:v>215.59</c:v>
                </c:pt>
                <c:pt idx="146">
                  <c:v>217.15</c:v>
                </c:pt>
                <c:pt idx="147">
                  <c:v>217.71</c:v>
                </c:pt>
                <c:pt idx="148">
                  <c:v>220.28</c:v>
                </c:pt>
                <c:pt idx="149">
                  <c:v>217.44</c:v>
                </c:pt>
                <c:pt idx="150">
                  <c:v>218.42</c:v>
                </c:pt>
                <c:pt idx="151">
                  <c:v>215.9</c:v>
                </c:pt>
                <c:pt idx="152">
                  <c:v>217.99</c:v>
                </c:pt>
                <c:pt idx="153">
                  <c:v>218.41</c:v>
                </c:pt>
                <c:pt idx="154">
                  <c:v>216.07</c:v>
                </c:pt>
                <c:pt idx="155">
                  <c:v>218.57</c:v>
                </c:pt>
                <c:pt idx="156">
                  <c:v>216.24</c:v>
                </c:pt>
                <c:pt idx="157">
                  <c:v>218.73</c:v>
                </c:pt>
                <c:pt idx="158">
                  <c:v>220.79</c:v>
                </c:pt>
                <c:pt idx="159">
                  <c:v>221.24</c:v>
                </c:pt>
                <c:pt idx="160">
                  <c:v>221.7</c:v>
                </c:pt>
                <c:pt idx="161">
                  <c:v>219</c:v>
                </c:pt>
                <c:pt idx="162">
                  <c:v>219.2</c:v>
                </c:pt>
                <c:pt idx="163">
                  <c:v>218.23</c:v>
                </c:pt>
                <c:pt idx="164">
                  <c:v>219.07</c:v>
                </c:pt>
                <c:pt idx="165">
                  <c:v>214.68</c:v>
                </c:pt>
                <c:pt idx="166">
                  <c:v>214.83</c:v>
                </c:pt>
                <c:pt idx="167">
                  <c:v>215.78</c:v>
                </c:pt>
                <c:pt idx="168">
                  <c:v>221.38</c:v>
                </c:pt>
                <c:pt idx="169">
                  <c:v>219.32</c:v>
                </c:pt>
                <c:pt idx="170">
                  <c:v>221.63</c:v>
                </c:pt>
                <c:pt idx="171">
                  <c:v>214.54</c:v>
                </c:pt>
                <c:pt idx="172">
                  <c:v>207.61</c:v>
                </c:pt>
                <c:pt idx="173">
                  <c:v>216.99</c:v>
                </c:pt>
                <c:pt idx="174">
                  <c:v>215.54</c:v>
                </c:pt>
                <c:pt idx="175">
                  <c:v>209.95</c:v>
                </c:pt>
                <c:pt idx="176">
                  <c:v>210.04</c:v>
                </c:pt>
                <c:pt idx="177">
                  <c:v>206.7</c:v>
                </c:pt>
                <c:pt idx="178">
                  <c:v>208.71</c:v>
                </c:pt>
                <c:pt idx="179">
                  <c:v>208.59</c:v>
                </c:pt>
                <c:pt idx="180">
                  <c:v>215.32</c:v>
                </c:pt>
                <c:pt idx="181">
                  <c:v>211</c:v>
                </c:pt>
                <c:pt idx="182">
                  <c:v>212.88</c:v>
                </c:pt>
                <c:pt idx="183">
                  <c:v>212.33</c:v>
                </c:pt>
                <c:pt idx="184">
                  <c:v>210.26</c:v>
                </c:pt>
                <c:pt idx="185">
                  <c:v>207.42</c:v>
                </c:pt>
                <c:pt idx="186">
                  <c:v>210.22</c:v>
                </c:pt>
                <c:pt idx="187">
                  <c:v>208.26</c:v>
                </c:pt>
                <c:pt idx="188">
                  <c:v>207.85</c:v>
                </c:pt>
                <c:pt idx="189">
                  <c:v>211.94</c:v>
                </c:pt>
                <c:pt idx="190">
                  <c:v>212.47</c:v>
                </c:pt>
                <c:pt idx="191">
                  <c:v>209.53</c:v>
                </c:pt>
                <c:pt idx="192">
                  <c:v>207.46</c:v>
                </c:pt>
                <c:pt idx="193">
                  <c:v>211.64</c:v>
                </c:pt>
                <c:pt idx="194">
                  <c:v>213.17</c:v>
                </c:pt>
                <c:pt idx="195">
                  <c:v>212.22</c:v>
                </c:pt>
                <c:pt idx="196">
                  <c:v>213.56</c:v>
                </c:pt>
                <c:pt idx="197">
                  <c:v>214.81</c:v>
                </c:pt>
                <c:pt idx="198">
                  <c:v>211.87</c:v>
                </c:pt>
                <c:pt idx="199">
                  <c:v>212.91</c:v>
                </c:pt>
                <c:pt idx="200">
                  <c:v>214.37</c:v>
                </c:pt>
                <c:pt idx="201">
                  <c:v>215.32</c:v>
                </c:pt>
                <c:pt idx="202">
                  <c:v>211.92</c:v>
                </c:pt>
                <c:pt idx="203">
                  <c:v>213.23</c:v>
                </c:pt>
                <c:pt idx="204">
                  <c:v>218.69</c:v>
                </c:pt>
                <c:pt idx="205">
                  <c:v>218.82</c:v>
                </c:pt>
                <c:pt idx="206">
                  <c:v>216.49</c:v>
                </c:pt>
                <c:pt idx="207">
                  <c:v>218.7</c:v>
                </c:pt>
                <c:pt idx="208">
                  <c:v>218.83</c:v>
                </c:pt>
                <c:pt idx="209">
                  <c:v>221.25</c:v>
                </c:pt>
                <c:pt idx="210">
                  <c:v>219.43</c:v>
                </c:pt>
                <c:pt idx="211">
                  <c:v>219.15</c:v>
                </c:pt>
                <c:pt idx="212">
                  <c:v>218.52</c:v>
                </c:pt>
                <c:pt idx="213">
                  <c:v>217.49</c:v>
                </c:pt>
                <c:pt idx="214">
                  <c:v>215.19</c:v>
                </c:pt>
                <c:pt idx="215">
                  <c:v>214.49</c:v>
                </c:pt>
                <c:pt idx="216">
                  <c:v>212.13</c:v>
                </c:pt>
                <c:pt idx="217">
                  <c:v>211.13</c:v>
                </c:pt>
                <c:pt idx="218">
                  <c:v>207.18</c:v>
                </c:pt>
                <c:pt idx="219">
                  <c:v>206.65</c:v>
                </c:pt>
                <c:pt idx="220">
                  <c:v>207.67</c:v>
                </c:pt>
                <c:pt idx="221">
                  <c:v>212.01</c:v>
                </c:pt>
                <c:pt idx="222">
                  <c:v>210.13</c:v>
                </c:pt>
                <c:pt idx="223">
                  <c:v>210.74</c:v>
                </c:pt>
                <c:pt idx="224">
                  <c:v>210.66</c:v>
                </c:pt>
                <c:pt idx="225">
                  <c:v>215.02</c:v>
                </c:pt>
                <c:pt idx="226">
                  <c:v>217.33</c:v>
                </c:pt>
                <c:pt idx="227">
                  <c:v>210.63</c:v>
                </c:pt>
                <c:pt idx="228">
                  <c:v>213.46</c:v>
                </c:pt>
                <c:pt idx="229">
                  <c:v>214.13</c:v>
                </c:pt>
                <c:pt idx="230">
                  <c:v>211.81</c:v>
                </c:pt>
                <c:pt idx="231">
                  <c:v>214.58</c:v>
                </c:pt>
                <c:pt idx="232">
                  <c:v>214.49</c:v>
                </c:pt>
                <c:pt idx="233">
                  <c:v>212.58</c:v>
                </c:pt>
                <c:pt idx="234">
                  <c:v>213.27</c:v>
                </c:pt>
                <c:pt idx="235">
                  <c:v>212.47</c:v>
                </c:pt>
                <c:pt idx="236">
                  <c:v>215.7</c:v>
                </c:pt>
                <c:pt idx="237">
                  <c:v>215</c:v>
                </c:pt>
                <c:pt idx="238">
                  <c:v>216.65</c:v>
                </c:pt>
                <c:pt idx="239">
                  <c:v>216.62</c:v>
                </c:pt>
                <c:pt idx="240">
                  <c:v>217.25</c:v>
                </c:pt>
                <c:pt idx="241">
                  <c:v>211.36</c:v>
                </c:pt>
                <c:pt idx="242">
                  <c:v>210.11</c:v>
                </c:pt>
                <c:pt idx="243">
                  <c:v>206</c:v>
                </c:pt>
                <c:pt idx="244">
                  <c:v>208.62</c:v>
                </c:pt>
                <c:pt idx="245">
                  <c:v>206.27</c:v>
                </c:pt>
                <c:pt idx="246">
                  <c:v>207.39</c:v>
                </c:pt>
                <c:pt idx="247">
                  <c:v>209.64</c:v>
                </c:pt>
                <c:pt idx="248">
                  <c:v>210.3</c:v>
                </c:pt>
                <c:pt idx="249">
                  <c:v>211.11</c:v>
                </c:pt>
                <c:pt idx="250">
                  <c:v>208.08</c:v>
                </c:pt>
                <c:pt idx="251">
                  <c:v>211.02</c:v>
                </c:pt>
                <c:pt idx="252">
                  <c:v>212.93</c:v>
                </c:pt>
                <c:pt idx="253">
                  <c:v>204.83</c:v>
                </c:pt>
                <c:pt idx="254">
                  <c:v>207.13</c:v>
                </c:pt>
                <c:pt idx="255">
                  <c:v>207.73</c:v>
                </c:pt>
                <c:pt idx="256">
                  <c:v>205.79</c:v>
                </c:pt>
                <c:pt idx="257">
                  <c:v>204.6</c:v>
                </c:pt>
                <c:pt idx="258">
                  <c:v>206.16</c:v>
                </c:pt>
                <c:pt idx="259">
                  <c:v>204.43</c:v>
                </c:pt>
                <c:pt idx="260">
                  <c:v>208.32</c:v>
                </c:pt>
                <c:pt idx="261">
                  <c:v>209.94</c:v>
                </c:pt>
                <c:pt idx="262">
                  <c:v>209.71</c:v>
                </c:pt>
                <c:pt idx="263">
                  <c:v>212.16</c:v>
                </c:pt>
                <c:pt idx="264">
                  <c:v>210</c:v>
                </c:pt>
                <c:pt idx="265">
                  <c:v>210.95</c:v>
                </c:pt>
                <c:pt idx="266">
                  <c:v>208.83</c:v>
                </c:pt>
                <c:pt idx="267">
                  <c:v>207.14</c:v>
                </c:pt>
                <c:pt idx="268">
                  <c:v>209.52</c:v>
                </c:pt>
                <c:pt idx="269">
                  <c:v>210.93</c:v>
                </c:pt>
                <c:pt idx="270">
                  <c:v>215.32</c:v>
                </c:pt>
                <c:pt idx="271">
                  <c:v>214.69</c:v>
                </c:pt>
                <c:pt idx="272">
                  <c:v>215.12</c:v>
                </c:pt>
                <c:pt idx="273">
                  <c:v>210.65</c:v>
                </c:pt>
                <c:pt idx="274">
                  <c:v>210.74</c:v>
                </c:pt>
                <c:pt idx="275">
                  <c:v>207.2</c:v>
                </c:pt>
                <c:pt idx="276">
                  <c:v>205.99</c:v>
                </c:pt>
                <c:pt idx="277">
                  <c:v>205.02</c:v>
                </c:pt>
                <c:pt idx="278">
                  <c:v>205.64</c:v>
                </c:pt>
                <c:pt idx="279">
                  <c:v>204.46</c:v>
                </c:pt>
                <c:pt idx="280">
                  <c:v>205.71</c:v>
                </c:pt>
                <c:pt idx="281">
                  <c:v>203.51</c:v>
                </c:pt>
                <c:pt idx="282">
                  <c:v>201.06</c:v>
                </c:pt>
                <c:pt idx="283">
                  <c:v>207.03</c:v>
                </c:pt>
                <c:pt idx="284">
                  <c:v>203.42</c:v>
                </c:pt>
                <c:pt idx="285">
                  <c:v>199.36</c:v>
                </c:pt>
                <c:pt idx="286">
                  <c:v>191.22</c:v>
                </c:pt>
                <c:pt idx="287">
                  <c:v>193.86</c:v>
                </c:pt>
                <c:pt idx="288">
                  <c:v>184.72</c:v>
                </c:pt>
                <c:pt idx="289">
                  <c:v>186.67</c:v>
                </c:pt>
                <c:pt idx="290">
                  <c:v>191.53</c:v>
                </c:pt>
                <c:pt idx="291">
                  <c:v>198.19</c:v>
                </c:pt>
                <c:pt idx="292">
                  <c:v>193.35</c:v>
                </c:pt>
                <c:pt idx="293">
                  <c:v>195.09</c:v>
                </c:pt>
                <c:pt idx="294">
                  <c:v>194.31</c:v>
                </c:pt>
                <c:pt idx="295">
                  <c:v>194</c:v>
                </c:pt>
                <c:pt idx="296">
                  <c:v>190.5</c:v>
                </c:pt>
                <c:pt idx="297">
                  <c:v>189.16</c:v>
                </c:pt>
                <c:pt idx="298">
                  <c:v>187.29</c:v>
                </c:pt>
                <c:pt idx="299">
                  <c:v>184.38</c:v>
                </c:pt>
                <c:pt idx="300">
                  <c:v>183.76</c:v>
                </c:pt>
                <c:pt idx="301">
                  <c:v>179.07</c:v>
                </c:pt>
                <c:pt idx="302">
                  <c:v>180.25</c:v>
                </c:pt>
                <c:pt idx="303">
                  <c:v>189.27</c:v>
                </c:pt>
                <c:pt idx="304">
                  <c:v>188.54</c:v>
                </c:pt>
                <c:pt idx="305">
                  <c:v>192.15</c:v>
                </c:pt>
                <c:pt idx="306">
                  <c:v>189.36</c:v>
                </c:pt>
                <c:pt idx="307">
                  <c:v>190.49</c:v>
                </c:pt>
                <c:pt idx="308">
                  <c:v>186.76</c:v>
                </c:pt>
                <c:pt idx="309">
                  <c:v>187.5</c:v>
                </c:pt>
                <c:pt idx="310">
                  <c:v>188.94</c:v>
                </c:pt>
                <c:pt idx="311">
                  <c:v>187.79</c:v>
                </c:pt>
                <c:pt idx="312">
                  <c:v>188.84</c:v>
                </c:pt>
                <c:pt idx="313">
                  <c:v>190.88</c:v>
                </c:pt>
                <c:pt idx="314">
                  <c:v>194.78</c:v>
                </c:pt>
                <c:pt idx="315">
                  <c:v>195.19</c:v>
                </c:pt>
                <c:pt idx="316">
                  <c:v>197.08</c:v>
                </c:pt>
                <c:pt idx="317">
                  <c:v>196.39</c:v>
                </c:pt>
                <c:pt idx="318">
                  <c:v>194.83</c:v>
                </c:pt>
                <c:pt idx="319">
                  <c:v>193.87</c:v>
                </c:pt>
                <c:pt idx="320">
                  <c:v>194.37</c:v>
                </c:pt>
                <c:pt idx="321">
                  <c:v>191.43</c:v>
                </c:pt>
                <c:pt idx="322">
                  <c:v>194.89</c:v>
                </c:pt>
                <c:pt idx="323">
                  <c:v>193.35</c:v>
                </c:pt>
                <c:pt idx="324">
                  <c:v>194.16</c:v>
                </c:pt>
                <c:pt idx="325">
                  <c:v>194.06</c:v>
                </c:pt>
                <c:pt idx="326">
                  <c:v>191.94</c:v>
                </c:pt>
                <c:pt idx="327">
                  <c:v>190.35</c:v>
                </c:pt>
                <c:pt idx="328">
                  <c:v>189.98</c:v>
                </c:pt>
                <c:pt idx="329">
                  <c:v>190.31</c:v>
                </c:pt>
                <c:pt idx="330">
                  <c:v>190.32</c:v>
                </c:pt>
                <c:pt idx="331">
                  <c:v>189.77</c:v>
                </c:pt>
                <c:pt idx="332">
                  <c:v>185.68</c:v>
                </c:pt>
                <c:pt idx="333">
                  <c:v>182.7</c:v>
                </c:pt>
                <c:pt idx="334">
                  <c:v>182.12</c:v>
                </c:pt>
                <c:pt idx="335">
                  <c:v>181.6</c:v>
                </c:pt>
                <c:pt idx="336">
                  <c:v>181.8</c:v>
                </c:pt>
                <c:pt idx="337">
                  <c:v>182.13</c:v>
                </c:pt>
                <c:pt idx="338">
                  <c:v>182.03</c:v>
                </c:pt>
                <c:pt idx="339">
                  <c:v>180.99</c:v>
                </c:pt>
                <c:pt idx="340">
                  <c:v>177.7</c:v>
                </c:pt>
                <c:pt idx="341">
                  <c:v>172.68</c:v>
                </c:pt>
                <c:pt idx="342">
                  <c:v>172.34</c:v>
                </c:pt>
                <c:pt idx="343">
                  <c:v>170.48</c:v>
                </c:pt>
                <c:pt idx="344">
                  <c:v>166.26</c:v>
                </c:pt>
                <c:pt idx="345">
                  <c:v>168.41</c:v>
                </c:pt>
                <c:pt idx="346">
                  <c:v>168.12</c:v>
                </c:pt>
                <c:pt idx="347">
                  <c:v>172.28</c:v>
                </c:pt>
                <c:pt idx="348">
                  <c:v>174.39</c:v>
                </c:pt>
                <c:pt idx="349">
                  <c:v>175.81</c:v>
                </c:pt>
                <c:pt idx="350">
                  <c:v>175.24</c:v>
                </c:pt>
                <c:pt idx="351">
                  <c:v>176.95</c:v>
                </c:pt>
                <c:pt idx="352">
                  <c:v>177.73</c:v>
                </c:pt>
                <c:pt idx="353">
                  <c:v>177.01</c:v>
                </c:pt>
                <c:pt idx="354">
                  <c:v>178.43</c:v>
                </c:pt>
                <c:pt idx="355">
                  <c:v>180.41</c:v>
                </c:pt>
                <c:pt idx="356">
                  <c:v>177.37</c:v>
                </c:pt>
                <c:pt idx="357">
                  <c:v>179.69</c:v>
                </c:pt>
                <c:pt idx="358">
                  <c:v>183.88</c:v>
                </c:pt>
                <c:pt idx="359">
                  <c:v>186.07</c:v>
                </c:pt>
                <c:pt idx="360">
                  <c:v>189.15</c:v>
                </c:pt>
                <c:pt idx="361">
                  <c:v>187.05</c:v>
                </c:pt>
                <c:pt idx="362">
                  <c:v>181.08</c:v>
                </c:pt>
                <c:pt idx="363">
                  <c:v>183.31</c:v>
                </c:pt>
                <c:pt idx="364">
                  <c:v>190.18</c:v>
                </c:pt>
                <c:pt idx="365">
                  <c:v>190.9</c:v>
                </c:pt>
                <c:pt idx="366">
                  <c:v>187.93</c:v>
                </c:pt>
                <c:pt idx="367">
                  <c:v>187.79</c:v>
                </c:pt>
                <c:pt idx="368">
                  <c:v>185.59</c:v>
                </c:pt>
                <c:pt idx="369">
                  <c:v>188.11</c:v>
                </c:pt>
                <c:pt idx="370">
                  <c:v>190.75</c:v>
                </c:pt>
                <c:pt idx="371">
                  <c:v>191.92</c:v>
                </c:pt>
                <c:pt idx="372">
                  <c:v>196.58</c:v>
                </c:pt>
                <c:pt idx="373">
                  <c:v>197.68</c:v>
                </c:pt>
                <c:pt idx="374">
                  <c:v>195.85</c:v>
                </c:pt>
                <c:pt idx="375">
                  <c:v>196.22</c:v>
                </c:pt>
                <c:pt idx="376">
                  <c:v>194.73</c:v>
                </c:pt>
                <c:pt idx="377">
                  <c:v>193.02</c:v>
                </c:pt>
                <c:pt idx="378">
                  <c:v>193.41</c:v>
                </c:pt>
                <c:pt idx="379">
                  <c:v>191.93</c:v>
                </c:pt>
                <c:pt idx="380">
                  <c:v>189.27</c:v>
                </c:pt>
                <c:pt idx="381">
                  <c:v>190.71</c:v>
                </c:pt>
                <c:pt idx="382">
                  <c:v>189.95</c:v>
                </c:pt>
                <c:pt idx="383">
                  <c:v>188.02</c:v>
                </c:pt>
                <c:pt idx="384">
                  <c:v>186.57</c:v>
                </c:pt>
                <c:pt idx="385">
                  <c:v>186.04</c:v>
                </c:pt>
                <c:pt idx="386">
                  <c:v>184.49</c:v>
                </c:pt>
                <c:pt idx="387">
                  <c:v>185.28</c:v>
                </c:pt>
                <c:pt idx="388">
                  <c:v>183.75</c:v>
                </c:pt>
                <c:pt idx="389">
                  <c:v>184.08</c:v>
                </c:pt>
                <c:pt idx="390">
                  <c:v>183.41</c:v>
                </c:pt>
                <c:pt idx="391">
                  <c:v>182.62</c:v>
                </c:pt>
                <c:pt idx="392">
                  <c:v>179.86</c:v>
                </c:pt>
                <c:pt idx="393">
                  <c:v>179.19</c:v>
                </c:pt>
                <c:pt idx="394">
                  <c:v>181.45</c:v>
                </c:pt>
                <c:pt idx="395">
                  <c:v>178.3</c:v>
                </c:pt>
                <c:pt idx="396">
                  <c:v>178.66</c:v>
                </c:pt>
                <c:pt idx="397">
                  <c:v>176.59</c:v>
                </c:pt>
                <c:pt idx="398">
                  <c:v>175.69</c:v>
                </c:pt>
                <c:pt idx="399">
                  <c:v>178.3</c:v>
                </c:pt>
                <c:pt idx="400">
                  <c:v>180.56</c:v>
                </c:pt>
                <c:pt idx="401">
                  <c:v>180.5</c:v>
                </c:pt>
                <c:pt idx="402">
                  <c:v>177.2</c:v>
                </c:pt>
                <c:pt idx="403">
                  <c:v>175.41</c:v>
                </c:pt>
                <c:pt idx="404">
                  <c:v>177.86</c:v>
                </c:pt>
                <c:pt idx="405">
                  <c:v>185.52</c:v>
                </c:pt>
                <c:pt idx="406">
                  <c:v>187.85</c:v>
                </c:pt>
                <c:pt idx="407">
                  <c:v>191</c:v>
                </c:pt>
                <c:pt idx="408">
                  <c:v>191.5</c:v>
                </c:pt>
                <c:pt idx="409">
                  <c:v>198.53</c:v>
                </c:pt>
                <c:pt idx="410">
                  <c:v>195.6</c:v>
                </c:pt>
                <c:pt idx="411">
                  <c:v>196.12</c:v>
                </c:pt>
                <c:pt idx="412">
                  <c:v>197.73</c:v>
                </c:pt>
                <c:pt idx="413">
                  <c:v>201.66</c:v>
                </c:pt>
                <c:pt idx="414">
                  <c:v>202.14</c:v>
                </c:pt>
                <c:pt idx="415">
                  <c:v>202.05</c:v>
                </c:pt>
                <c:pt idx="416">
                  <c:v>200.7</c:v>
                </c:pt>
                <c:pt idx="417">
                  <c:v>202.52</c:v>
                </c:pt>
                <c:pt idx="418">
                  <c:v>202</c:v>
                </c:pt>
                <c:pt idx="419">
                  <c:v>202.5</c:v>
                </c:pt>
                <c:pt idx="420">
                  <c:v>204.12</c:v>
                </c:pt>
                <c:pt idx="421">
                  <c:v>204.48</c:v>
                </c:pt>
                <c:pt idx="422">
                  <c:v>202.27</c:v>
                </c:pt>
                <c:pt idx="423">
                  <c:v>186.99</c:v>
                </c:pt>
                <c:pt idx="424">
                  <c:v>184.01</c:v>
                </c:pt>
                <c:pt idx="425">
                  <c:v>183.21</c:v>
                </c:pt>
                <c:pt idx="426">
                  <c:v>184.62</c:v>
                </c:pt>
                <c:pt idx="427">
                  <c:v>183.91</c:v>
                </c:pt>
                <c:pt idx="428">
                  <c:v>181.44</c:v>
                </c:pt>
                <c:pt idx="429">
                  <c:v>182.27</c:v>
                </c:pt>
                <c:pt idx="430">
                  <c:v>181.09</c:v>
                </c:pt>
                <c:pt idx="431">
                  <c:v>181.32</c:v>
                </c:pt>
                <c:pt idx="432">
                  <c:v>181.09</c:v>
                </c:pt>
                <c:pt idx="433">
                  <c:v>180.5</c:v>
                </c:pt>
                <c:pt idx="434">
                  <c:v>182.86</c:v>
                </c:pt>
                <c:pt idx="435">
                  <c:v>179.25</c:v>
                </c:pt>
                <c:pt idx="436">
                  <c:v>177.14</c:v>
                </c:pt>
                <c:pt idx="437">
                  <c:v>174.73</c:v>
                </c:pt>
                <c:pt idx="438">
                  <c:v>175.56</c:v>
                </c:pt>
                <c:pt idx="439">
                  <c:v>174.86</c:v>
                </c:pt>
                <c:pt idx="440">
                  <c:v>174.95</c:v>
                </c:pt>
                <c:pt idx="441">
                  <c:v>174.51</c:v>
                </c:pt>
                <c:pt idx="442">
                  <c:v>174.77</c:v>
                </c:pt>
                <c:pt idx="443">
                  <c:v>172.25</c:v>
                </c:pt>
                <c:pt idx="444">
                  <c:v>175.87</c:v>
                </c:pt>
                <c:pt idx="445">
                  <c:v>176.89</c:v>
                </c:pt>
                <c:pt idx="446">
                  <c:v>178.14</c:v>
                </c:pt>
                <c:pt idx="447">
                  <c:v>179.91</c:v>
                </c:pt>
                <c:pt idx="448">
                  <c:v>182.73</c:v>
                </c:pt>
                <c:pt idx="449">
                  <c:v>181.64</c:v>
                </c:pt>
                <c:pt idx="450">
                  <c:v>182.04</c:v>
                </c:pt>
                <c:pt idx="451">
                  <c:v>182.61</c:v>
                </c:pt>
                <c:pt idx="452">
                  <c:v>182.38</c:v>
                </c:pt>
                <c:pt idx="453">
                  <c:v>183.74</c:v>
                </c:pt>
                <c:pt idx="454">
                  <c:v>184.45</c:v>
                </c:pt>
                <c:pt idx="455">
                  <c:v>184.84</c:v>
                </c:pt>
                <c:pt idx="456">
                  <c:v>183.04</c:v>
                </c:pt>
                <c:pt idx="457">
                  <c:v>181.79</c:v>
                </c:pt>
                <c:pt idx="458">
                  <c:v>182.38</c:v>
                </c:pt>
                <c:pt idx="459">
                  <c:v>183.63</c:v>
                </c:pt>
                <c:pt idx="460">
                  <c:v>182.01</c:v>
                </c:pt>
                <c:pt idx="461">
                  <c:v>181.78</c:v>
                </c:pt>
                <c:pt idx="462">
                  <c:v>181.85</c:v>
                </c:pt>
                <c:pt idx="463">
                  <c:v>181.315</c:v>
                </c:pt>
                <c:pt idx="464">
                  <c:v>182</c:v>
                </c:pt>
                <c:pt idx="465">
                  <c:v>183.29</c:v>
                </c:pt>
                <c:pt idx="466">
                  <c:v>183.21</c:v>
                </c:pt>
                <c:pt idx="467">
                  <c:v>184.44</c:v>
                </c:pt>
                <c:pt idx="468">
                  <c:v>185.21</c:v>
                </c:pt>
                <c:pt idx="469">
                  <c:v>185.71</c:v>
                </c:pt>
                <c:pt idx="470">
                  <c:v>186.14</c:v>
                </c:pt>
                <c:pt idx="471">
                  <c:v>186.8</c:v>
                </c:pt>
                <c:pt idx="472">
                  <c:v>183.2</c:v>
                </c:pt>
                <c:pt idx="473">
                  <c:v>183.32</c:v>
                </c:pt>
                <c:pt idx="474">
                  <c:v>183.5</c:v>
                </c:pt>
                <c:pt idx="475">
                  <c:v>182.04</c:v>
                </c:pt>
                <c:pt idx="476">
                  <c:v>183.11</c:v>
                </c:pt>
                <c:pt idx="477">
                  <c:v>182.87</c:v>
                </c:pt>
                <c:pt idx="478">
                  <c:v>184.36</c:v>
                </c:pt>
                <c:pt idx="479">
                  <c:v>183.13</c:v>
                </c:pt>
                <c:pt idx="480">
                  <c:v>182.24</c:v>
                </c:pt>
                <c:pt idx="481">
                  <c:v>182.83</c:v>
                </c:pt>
                <c:pt idx="482">
                  <c:v>183.02</c:v>
                </c:pt>
                <c:pt idx="483">
                  <c:v>183.19</c:v>
                </c:pt>
                <c:pt idx="484">
                  <c:v>182.48</c:v>
                </c:pt>
                <c:pt idx="485">
                  <c:v>184.39</c:v>
                </c:pt>
                <c:pt idx="486">
                  <c:v>185.57</c:v>
                </c:pt>
                <c:pt idx="487">
                  <c:v>184.8</c:v>
                </c:pt>
                <c:pt idx="488">
                  <c:v>184.36</c:v>
                </c:pt>
                <c:pt idx="489">
                  <c:v>182.69</c:v>
                </c:pt>
                <c:pt idx="490">
                  <c:v>181.59</c:v>
                </c:pt>
                <c:pt idx="491">
                  <c:v>183.85</c:v>
                </c:pt>
                <c:pt idx="492">
                  <c:v>182</c:v>
                </c:pt>
                <c:pt idx="493">
                  <c:v>182.77</c:v>
                </c:pt>
                <c:pt idx="494">
                  <c:v>182.89</c:v>
                </c:pt>
                <c:pt idx="495">
                  <c:v>163.92</c:v>
                </c:pt>
                <c:pt idx="496">
                  <c:v>162.52000000000001</c:v>
                </c:pt>
                <c:pt idx="497">
                  <c:v>165.3</c:v>
                </c:pt>
                <c:pt idx="498">
                  <c:v>166.3</c:v>
                </c:pt>
                <c:pt idx="499">
                  <c:v>164.46</c:v>
                </c:pt>
                <c:pt idx="500">
                  <c:v>165.97</c:v>
                </c:pt>
                <c:pt idx="501">
                  <c:v>164.92</c:v>
                </c:pt>
                <c:pt idx="502">
                  <c:v>164.69</c:v>
                </c:pt>
                <c:pt idx="503">
                  <c:v>166.04</c:v>
                </c:pt>
                <c:pt idx="504">
                  <c:v>164.49</c:v>
                </c:pt>
                <c:pt idx="505">
                  <c:v>159.995</c:v>
                </c:pt>
                <c:pt idx="506">
                  <c:v>159.53</c:v>
                </c:pt>
                <c:pt idx="507">
                  <c:v>159.22</c:v>
                </c:pt>
                <c:pt idx="508">
                  <c:v>157.27000000000001</c:v>
                </c:pt>
                <c:pt idx="509">
                  <c:v>157.41999999999999</c:v>
                </c:pt>
                <c:pt idx="510">
                  <c:v>159.47499999999999</c:v>
                </c:pt>
                <c:pt idx="511">
                  <c:v>160.54</c:v>
                </c:pt>
                <c:pt idx="512">
                  <c:v>161.66999999999999</c:v>
                </c:pt>
                <c:pt idx="513">
                  <c:v>160.91999999999999</c:v>
                </c:pt>
                <c:pt idx="514">
                  <c:v>161.56</c:v>
                </c:pt>
                <c:pt idx="515">
                  <c:v>163.67500000000001</c:v>
                </c:pt>
                <c:pt idx="516">
                  <c:v>164.08</c:v>
                </c:pt>
                <c:pt idx="517">
                  <c:v>163.44999999999999</c:v>
                </c:pt>
                <c:pt idx="518">
                  <c:v>163.76</c:v>
                </c:pt>
                <c:pt idx="519">
                  <c:v>158.59</c:v>
                </c:pt>
                <c:pt idx="520">
                  <c:v>157.15</c:v>
                </c:pt>
                <c:pt idx="521">
                  <c:v>159</c:v>
                </c:pt>
                <c:pt idx="522">
                  <c:v>159.41999999999999</c:v>
                </c:pt>
                <c:pt idx="523">
                  <c:v>161.54</c:v>
                </c:pt>
                <c:pt idx="524">
                  <c:v>161.52000000000001</c:v>
                </c:pt>
                <c:pt idx="525">
                  <c:v>162.78</c:v>
                </c:pt>
                <c:pt idx="526">
                  <c:v>163.19999999999999</c:v>
                </c:pt>
                <c:pt idx="527">
                  <c:v>161.43</c:v>
                </c:pt>
                <c:pt idx="528">
                  <c:v>161.54</c:v>
                </c:pt>
                <c:pt idx="529">
                  <c:v>158.97999999999999</c:v>
                </c:pt>
                <c:pt idx="530">
                  <c:v>159.63</c:v>
                </c:pt>
                <c:pt idx="531">
                  <c:v>158.13</c:v>
                </c:pt>
                <c:pt idx="532">
                  <c:v>157.47999999999999</c:v>
                </c:pt>
                <c:pt idx="533">
                  <c:v>158.97999999999999</c:v>
                </c:pt>
                <c:pt idx="534">
                  <c:v>155.27000000000001</c:v>
                </c:pt>
                <c:pt idx="535">
                  <c:v>153.68</c:v>
                </c:pt>
                <c:pt idx="536">
                  <c:v>155.02000000000001</c:v>
                </c:pt>
                <c:pt idx="537">
                  <c:v>157.33000000000001</c:v>
                </c:pt>
                <c:pt idx="538">
                  <c:v>176.48</c:v>
                </c:pt>
                <c:pt idx="539">
                  <c:v>176.62</c:v>
                </c:pt>
                <c:pt idx="540">
                  <c:v>173.76</c:v>
                </c:pt>
                <c:pt idx="541">
                  <c:v>172.88</c:v>
                </c:pt>
                <c:pt idx="542">
                  <c:v>172.4</c:v>
                </c:pt>
                <c:pt idx="543">
                  <c:v>171.78</c:v>
                </c:pt>
                <c:pt idx="544">
                  <c:v>172.71</c:v>
                </c:pt>
                <c:pt idx="545">
                  <c:v>172.85</c:v>
                </c:pt>
                <c:pt idx="546">
                  <c:v>171.86</c:v>
                </c:pt>
                <c:pt idx="547">
                  <c:v>173.32</c:v>
                </c:pt>
                <c:pt idx="548">
                  <c:v>171.12</c:v>
                </c:pt>
                <c:pt idx="549">
                  <c:v>171.22</c:v>
                </c:pt>
                <c:pt idx="550">
                  <c:v>170.09</c:v>
                </c:pt>
                <c:pt idx="551">
                  <c:v>170.35</c:v>
                </c:pt>
                <c:pt idx="552">
                  <c:v>171.08</c:v>
                </c:pt>
                <c:pt idx="553">
                  <c:v>170.05</c:v>
                </c:pt>
                <c:pt idx="554">
                  <c:v>168.37</c:v>
                </c:pt>
                <c:pt idx="555">
                  <c:v>171.39500000000001</c:v>
                </c:pt>
                <c:pt idx="556">
                  <c:v>171.22</c:v>
                </c:pt>
                <c:pt idx="557">
                  <c:v>175.23</c:v>
                </c:pt>
                <c:pt idx="558">
                  <c:v>176.52</c:v>
                </c:pt>
                <c:pt idx="559">
                  <c:v>175.8</c:v>
                </c:pt>
                <c:pt idx="560">
                  <c:v>175.64</c:v>
                </c:pt>
                <c:pt idx="561">
                  <c:v>174.23</c:v>
                </c:pt>
                <c:pt idx="562">
                  <c:v>172.87</c:v>
                </c:pt>
                <c:pt idx="563">
                  <c:v>169.39</c:v>
                </c:pt>
                <c:pt idx="564">
                  <c:v>172.26</c:v>
                </c:pt>
                <c:pt idx="565">
                  <c:v>173.1</c:v>
                </c:pt>
                <c:pt idx="566">
                  <c:v>174.8</c:v>
                </c:pt>
                <c:pt idx="567">
                  <c:v>174.89</c:v>
                </c:pt>
                <c:pt idx="568">
                  <c:v>176.185</c:v>
                </c:pt>
                <c:pt idx="569">
                  <c:v>173.25</c:v>
                </c:pt>
                <c:pt idx="570">
                  <c:v>171.31</c:v>
                </c:pt>
                <c:pt idx="571">
                  <c:v>171.91</c:v>
                </c:pt>
                <c:pt idx="572">
                  <c:v>168.76</c:v>
                </c:pt>
                <c:pt idx="573">
                  <c:v>165.6</c:v>
                </c:pt>
                <c:pt idx="574">
                  <c:v>168.68</c:v>
                </c:pt>
                <c:pt idx="575">
                  <c:v>167.07499999999999</c:v>
                </c:pt>
                <c:pt idx="576">
                  <c:v>164.37</c:v>
                </c:pt>
                <c:pt idx="577">
                  <c:v>166.01</c:v>
                </c:pt>
                <c:pt idx="578">
                  <c:v>164.89</c:v>
                </c:pt>
                <c:pt idx="579">
                  <c:v>164.34</c:v>
                </c:pt>
                <c:pt idx="580">
                  <c:v>161.62</c:v>
                </c:pt>
                <c:pt idx="581">
                  <c:v>163.08000000000001</c:v>
                </c:pt>
                <c:pt idx="582">
                  <c:v>162.52000000000001</c:v>
                </c:pt>
                <c:pt idx="583">
                  <c:v>162.35</c:v>
                </c:pt>
                <c:pt idx="584">
                  <c:v>163.13</c:v>
                </c:pt>
                <c:pt idx="585">
                  <c:v>165.27</c:v>
                </c:pt>
                <c:pt idx="586">
                  <c:v>164.63</c:v>
                </c:pt>
                <c:pt idx="587">
                  <c:v>165.84</c:v>
                </c:pt>
                <c:pt idx="588">
                  <c:v>167.4</c:v>
                </c:pt>
                <c:pt idx="589">
                  <c:v>165.36</c:v>
                </c:pt>
                <c:pt idx="590">
                  <c:v>165.13</c:v>
                </c:pt>
                <c:pt idx="591">
                  <c:v>168</c:v>
                </c:pt>
                <c:pt idx="592">
                  <c:v>166.41</c:v>
                </c:pt>
                <c:pt idx="593">
                  <c:v>167.58</c:v>
                </c:pt>
                <c:pt idx="594">
                  <c:v>168.15</c:v>
                </c:pt>
                <c:pt idx="595">
                  <c:v>167.95</c:v>
                </c:pt>
                <c:pt idx="596">
                  <c:v>168.56</c:v>
                </c:pt>
                <c:pt idx="597">
                  <c:v>169.76</c:v>
                </c:pt>
                <c:pt idx="598">
                  <c:v>170.23</c:v>
                </c:pt>
                <c:pt idx="599">
                  <c:v>169.83</c:v>
                </c:pt>
                <c:pt idx="600">
                  <c:v>168.42</c:v>
                </c:pt>
                <c:pt idx="601">
                  <c:v>169.31</c:v>
                </c:pt>
                <c:pt idx="602">
                  <c:v>168.29</c:v>
                </c:pt>
                <c:pt idx="603">
                  <c:v>167.29</c:v>
                </c:pt>
                <c:pt idx="604">
                  <c:v>165.29</c:v>
                </c:pt>
                <c:pt idx="605">
                  <c:v>165.5</c:v>
                </c:pt>
                <c:pt idx="606">
                  <c:v>161.30000000000001</c:v>
                </c:pt>
                <c:pt idx="607">
                  <c:v>161.63999999999999</c:v>
                </c:pt>
                <c:pt idx="608">
                  <c:v>162.35</c:v>
                </c:pt>
                <c:pt idx="609">
                  <c:v>165.42</c:v>
                </c:pt>
                <c:pt idx="610">
                  <c:v>171</c:v>
                </c:pt>
                <c:pt idx="611">
                  <c:v>169.59</c:v>
                </c:pt>
                <c:pt idx="612">
                  <c:v>169.2</c:v>
                </c:pt>
                <c:pt idx="613">
                  <c:v>166.74</c:v>
                </c:pt>
                <c:pt idx="614">
                  <c:v>167.29</c:v>
                </c:pt>
                <c:pt idx="615">
                  <c:v>169.06</c:v>
                </c:pt>
                <c:pt idx="616">
                  <c:v>171.49</c:v>
                </c:pt>
                <c:pt idx="617">
                  <c:v>167.46</c:v>
                </c:pt>
                <c:pt idx="618">
                  <c:v>166.01</c:v>
                </c:pt>
                <c:pt idx="619">
                  <c:v>164.61</c:v>
                </c:pt>
                <c:pt idx="620">
                  <c:v>164.41</c:v>
                </c:pt>
                <c:pt idx="621">
                  <c:v>159.88999999999999</c:v>
                </c:pt>
                <c:pt idx="622">
                  <c:v>161.27000000000001</c:v>
                </c:pt>
                <c:pt idx="623">
                  <c:v>163.66999999999999</c:v>
                </c:pt>
                <c:pt idx="624">
                  <c:v>165.39</c:v>
                </c:pt>
                <c:pt idx="625">
                  <c:v>164.38</c:v>
                </c:pt>
                <c:pt idx="626">
                  <c:v>164.5</c:v>
                </c:pt>
                <c:pt idx="627">
                  <c:v>167.89</c:v>
                </c:pt>
                <c:pt idx="628">
                  <c:v>164.97</c:v>
                </c:pt>
                <c:pt idx="629">
                  <c:v>164.44499999999999</c:v>
                </c:pt>
                <c:pt idx="630">
                  <c:v>162.72</c:v>
                </c:pt>
                <c:pt idx="631">
                  <c:v>158.72999999999999</c:v>
                </c:pt>
                <c:pt idx="632">
                  <c:v>156.75</c:v>
                </c:pt>
                <c:pt idx="633">
                  <c:v>156.495</c:v>
                </c:pt>
                <c:pt idx="634">
                  <c:v>158.68</c:v>
                </c:pt>
                <c:pt idx="635">
                  <c:v>156.47</c:v>
                </c:pt>
                <c:pt idx="636">
                  <c:v>157.47999999999999</c:v>
                </c:pt>
                <c:pt idx="637">
                  <c:v>160.22999999999999</c:v>
                </c:pt>
                <c:pt idx="638">
                  <c:v>161.22999999999999</c:v>
                </c:pt>
                <c:pt idx="639">
                  <c:v>158.94</c:v>
                </c:pt>
                <c:pt idx="640">
                  <c:v>155.65</c:v>
                </c:pt>
                <c:pt idx="641">
                  <c:v>154.84</c:v>
                </c:pt>
                <c:pt idx="642">
                  <c:v>154.74</c:v>
                </c:pt>
                <c:pt idx="643">
                  <c:v>155.86000000000001</c:v>
                </c:pt>
                <c:pt idx="644">
                  <c:v>155.36000000000001</c:v>
                </c:pt>
                <c:pt idx="645">
                  <c:v>155.09</c:v>
                </c:pt>
                <c:pt idx="646">
                  <c:v>155.74</c:v>
                </c:pt>
                <c:pt idx="647">
                  <c:v>155.44</c:v>
                </c:pt>
                <c:pt idx="648">
                  <c:v>153.15</c:v>
                </c:pt>
                <c:pt idx="649">
                  <c:v>149.56</c:v>
                </c:pt>
                <c:pt idx="650">
                  <c:v>149.85</c:v>
                </c:pt>
                <c:pt idx="651">
                  <c:v>149.94</c:v>
                </c:pt>
                <c:pt idx="652">
                  <c:v>149.58000000000001</c:v>
                </c:pt>
                <c:pt idx="653">
                  <c:v>149.93</c:v>
                </c:pt>
                <c:pt idx="654">
                  <c:v>151.72999999999999</c:v>
                </c:pt>
                <c:pt idx="655">
                  <c:v>152.36000000000001</c:v>
                </c:pt>
                <c:pt idx="656">
                  <c:v>152.22999999999999</c:v>
                </c:pt>
                <c:pt idx="657">
                  <c:v>152.01</c:v>
                </c:pt>
                <c:pt idx="658">
                  <c:v>152.58000000000001</c:v>
                </c:pt>
                <c:pt idx="659">
                  <c:v>151.74</c:v>
                </c:pt>
                <c:pt idx="660">
                  <c:v>148.91999999999999</c:v>
                </c:pt>
                <c:pt idx="661">
                  <c:v>147.19999999999999</c:v>
                </c:pt>
                <c:pt idx="662">
                  <c:v>147.71</c:v>
                </c:pt>
                <c:pt idx="663">
                  <c:v>147.22</c:v>
                </c:pt>
                <c:pt idx="664">
                  <c:v>147.27500000000001</c:v>
                </c:pt>
                <c:pt idx="665">
                  <c:v>147.75</c:v>
                </c:pt>
                <c:pt idx="666">
                  <c:v>145.38999999999999</c:v>
                </c:pt>
                <c:pt idx="667">
                  <c:v>145.63</c:v>
                </c:pt>
                <c:pt idx="668">
                  <c:v>147.9</c:v>
                </c:pt>
                <c:pt idx="669">
                  <c:v>149.26</c:v>
                </c:pt>
                <c:pt idx="670">
                  <c:v>151.03</c:v>
                </c:pt>
                <c:pt idx="671">
                  <c:v>149.19999999999999</c:v>
                </c:pt>
                <c:pt idx="672">
                  <c:v>147.30000000000001</c:v>
                </c:pt>
                <c:pt idx="673">
                  <c:v>151.76</c:v>
                </c:pt>
                <c:pt idx="674">
                  <c:v>146.62</c:v>
                </c:pt>
                <c:pt idx="675">
                  <c:v>143.81</c:v>
                </c:pt>
                <c:pt idx="676">
                  <c:v>143.35</c:v>
                </c:pt>
                <c:pt idx="677">
                  <c:v>145.63</c:v>
                </c:pt>
                <c:pt idx="678">
                  <c:v>144.41</c:v>
                </c:pt>
                <c:pt idx="679">
                  <c:v>145.25</c:v>
                </c:pt>
                <c:pt idx="680">
                  <c:v>144.55000000000001</c:v>
                </c:pt>
                <c:pt idx="681">
                  <c:v>146.33000000000001</c:v>
                </c:pt>
                <c:pt idx="682">
                  <c:v>144.56</c:v>
                </c:pt>
                <c:pt idx="683">
                  <c:v>147.82</c:v>
                </c:pt>
                <c:pt idx="684">
                  <c:v>147.72999999999999</c:v>
                </c:pt>
                <c:pt idx="685">
                  <c:v>148.08000000000001</c:v>
                </c:pt>
                <c:pt idx="686">
                  <c:v>147.15</c:v>
                </c:pt>
                <c:pt idx="687">
                  <c:v>147.38</c:v>
                </c:pt>
                <c:pt idx="688">
                  <c:v>149.51</c:v>
                </c:pt>
                <c:pt idx="689">
                  <c:v>148.81</c:v>
                </c:pt>
                <c:pt idx="690">
                  <c:v>149.46</c:v>
                </c:pt>
                <c:pt idx="691">
                  <c:v>149.16999999999999</c:v>
                </c:pt>
                <c:pt idx="692">
                  <c:v>147.58000000000001</c:v>
                </c:pt>
                <c:pt idx="693">
                  <c:v>149.80000000000001</c:v>
                </c:pt>
                <c:pt idx="694">
                  <c:v>149.83000000000001</c:v>
                </c:pt>
                <c:pt idx="695">
                  <c:v>149.56</c:v>
                </c:pt>
                <c:pt idx="696">
                  <c:v>149.02000000000001</c:v>
                </c:pt>
                <c:pt idx="697">
                  <c:v>149.96</c:v>
                </c:pt>
                <c:pt idx="698">
                  <c:v>149.94</c:v>
                </c:pt>
                <c:pt idx="699">
                  <c:v>150.55000000000001</c:v>
                </c:pt>
                <c:pt idx="700">
                  <c:v>149.02000000000001</c:v>
                </c:pt>
                <c:pt idx="701">
                  <c:v>148.97999999999999</c:v>
                </c:pt>
                <c:pt idx="702">
                  <c:v>149.41</c:v>
                </c:pt>
                <c:pt idx="703">
                  <c:v>147.94</c:v>
                </c:pt>
                <c:pt idx="704">
                  <c:v>149.5</c:v>
                </c:pt>
                <c:pt idx="705">
                  <c:v>151.4</c:v>
                </c:pt>
                <c:pt idx="706">
                  <c:v>150.59</c:v>
                </c:pt>
                <c:pt idx="707">
                  <c:v>152.06</c:v>
                </c:pt>
                <c:pt idx="708">
                  <c:v>151.9</c:v>
                </c:pt>
                <c:pt idx="709">
                  <c:v>157.11000000000001</c:v>
                </c:pt>
                <c:pt idx="710">
                  <c:v>159.11000000000001</c:v>
                </c:pt>
                <c:pt idx="711">
                  <c:v>155.69</c:v>
                </c:pt>
                <c:pt idx="712">
                  <c:v>154.46</c:v>
                </c:pt>
                <c:pt idx="713">
                  <c:v>154.02000000000001</c:v>
                </c:pt>
                <c:pt idx="714">
                  <c:v>154.65</c:v>
                </c:pt>
                <c:pt idx="715">
                  <c:v>153.61000000000001</c:v>
                </c:pt>
                <c:pt idx="716">
                  <c:v>152.32</c:v>
                </c:pt>
                <c:pt idx="717">
                  <c:v>154.78</c:v>
                </c:pt>
                <c:pt idx="718">
                  <c:v>153.59</c:v>
                </c:pt>
                <c:pt idx="719">
                  <c:v>154.88999999999999</c:v>
                </c:pt>
                <c:pt idx="720">
                  <c:v>154.94999999999999</c:v>
                </c:pt>
                <c:pt idx="721">
                  <c:v>152.49</c:v>
                </c:pt>
                <c:pt idx="722">
                  <c:v>153.15</c:v>
                </c:pt>
                <c:pt idx="723">
                  <c:v>153.5</c:v>
                </c:pt>
                <c:pt idx="724">
                  <c:v>152.88999999999999</c:v>
                </c:pt>
                <c:pt idx="725">
                  <c:v>152.66</c:v>
                </c:pt>
                <c:pt idx="726">
                  <c:v>153.16999999999999</c:v>
                </c:pt>
                <c:pt idx="727">
                  <c:v>155.75</c:v>
                </c:pt>
                <c:pt idx="728">
                  <c:v>157.56</c:v>
                </c:pt>
                <c:pt idx="729">
                  <c:v>157.75</c:v>
                </c:pt>
                <c:pt idx="730">
                  <c:v>158.5</c:v>
                </c:pt>
                <c:pt idx="731">
                  <c:v>156.59</c:v>
                </c:pt>
                <c:pt idx="732">
                  <c:v>155.66</c:v>
                </c:pt>
                <c:pt idx="733">
                  <c:v>157.35</c:v>
                </c:pt>
                <c:pt idx="734">
                  <c:v>159.17500000000001</c:v>
                </c:pt>
                <c:pt idx="735">
                  <c:v>156.93</c:v>
                </c:pt>
                <c:pt idx="736">
                  <c:v>152.97</c:v>
                </c:pt>
                <c:pt idx="737">
                  <c:v>163.18</c:v>
                </c:pt>
                <c:pt idx="738">
                  <c:v>163.33000000000001</c:v>
                </c:pt>
                <c:pt idx="739">
                  <c:v>168.16</c:v>
                </c:pt>
                <c:pt idx="740">
                  <c:v>170.72</c:v>
                </c:pt>
                <c:pt idx="741">
                  <c:v>169.63</c:v>
                </c:pt>
                <c:pt idx="742">
                  <c:v>172.12</c:v>
                </c:pt>
                <c:pt idx="743">
                  <c:v>168.41</c:v>
                </c:pt>
                <c:pt idx="744">
                  <c:v>168</c:v>
                </c:pt>
                <c:pt idx="745">
                  <c:v>169.89</c:v>
                </c:pt>
                <c:pt idx="746">
                  <c:v>170.71</c:v>
                </c:pt>
                <c:pt idx="747">
                  <c:v>170.8</c:v>
                </c:pt>
                <c:pt idx="748">
                  <c:v>166.46</c:v>
                </c:pt>
                <c:pt idx="749">
                  <c:v>167.74</c:v>
                </c:pt>
                <c:pt idx="750">
                  <c:v>170.59</c:v>
                </c:pt>
                <c:pt idx="751">
                  <c:v>169.4</c:v>
                </c:pt>
                <c:pt idx="752">
                  <c:v>166.19</c:v>
                </c:pt>
                <c:pt idx="753">
                  <c:v>168.91</c:v>
                </c:pt>
                <c:pt idx="754">
                  <c:v>171.62</c:v>
                </c:pt>
                <c:pt idx="755">
                  <c:v>173.67</c:v>
                </c:pt>
                <c:pt idx="756">
                  <c:v>174.97</c:v>
                </c:pt>
                <c:pt idx="757">
                  <c:v>176.47</c:v>
                </c:pt>
              </c:numCache>
            </c:numRef>
          </c:val>
          <c:smooth val="0"/>
          <c:extLst>
            <c:ext xmlns:c16="http://schemas.microsoft.com/office/drawing/2014/chart" uri="{C3380CC4-5D6E-409C-BE32-E72D297353CC}">
              <c16:uniqueId val="{00000000-7358-48C5-BD2F-EEB1249E300C}"/>
            </c:ext>
          </c:extLst>
        </c:ser>
        <c:dLbls>
          <c:showLegendKey val="0"/>
          <c:showVal val="0"/>
          <c:showCatName val="0"/>
          <c:showSerName val="0"/>
          <c:showPercent val="0"/>
          <c:showBubbleSize val="0"/>
        </c:dLbls>
        <c:marker val="1"/>
        <c:smooth val="0"/>
        <c:axId val="530230320"/>
        <c:axId val="530230976"/>
      </c:lineChart>
      <c:scatterChart>
        <c:scatterStyle val="lineMarker"/>
        <c:varyColors val="0"/>
        <c:ser>
          <c:idx val="1"/>
          <c:order val="1"/>
          <c:tx>
            <c:strRef>
              <c:f>Exhibits!$FT$39</c:f>
              <c:strCache>
                <c:ptCount val="1"/>
                <c:pt idx="0">
                  <c:v>Price Target</c:v>
                </c:pt>
              </c:strCache>
            </c:strRef>
          </c:tx>
          <c:spPr>
            <a:ln w="25400" cap="rnd">
              <a:noFill/>
              <a:round/>
            </a:ln>
            <a:effectLst/>
          </c:spPr>
          <c:marker>
            <c:symbol val="diamond"/>
            <c:size val="5"/>
            <c:spPr>
              <a:solidFill>
                <a:schemeClr val="accent2"/>
              </a:solidFill>
              <a:ln w="9525">
                <a:solidFill>
                  <a:schemeClr val="accent2"/>
                </a:solidFill>
              </a:ln>
              <a:effectLst/>
            </c:spPr>
          </c:marker>
          <c:dLbls>
            <c:dLbl>
              <c:idx val="127"/>
              <c:layout>
                <c:manualLayout>
                  <c:x val="-5.4108221848151519E-2"/>
                  <c:y val="-0.183856820644019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0D2-43F1-96FD-6C0A1AC5ECE5}"/>
                </c:ext>
              </c:extLst>
            </c:dLbl>
            <c:dLbl>
              <c:idx val="191"/>
              <c:layout>
                <c:manualLayout>
                  <c:x val="-5.0008267127351583E-2"/>
                  <c:y val="-6.61728346362403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D2-43F1-96FD-6C0A1AC5ECE5}"/>
                </c:ext>
              </c:extLst>
            </c:dLbl>
            <c:dLbl>
              <c:idx val="255"/>
              <c:layout>
                <c:manualLayout>
                  <c:x val="-5.0008267127351423E-2"/>
                  <c:y val="-6.61728346362402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0D2-43F1-96FD-6C0A1AC5ECE5}"/>
                </c:ext>
              </c:extLst>
            </c:dLbl>
            <c:dLbl>
              <c:idx val="380"/>
              <c:layout>
                <c:manualLayout>
                  <c:x val="-5.0008267127351423E-2"/>
                  <c:y val="-0.1126914737899448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358-48C5-BD2F-EEB1249E300C}"/>
                </c:ext>
              </c:extLst>
            </c:dLbl>
            <c:dLbl>
              <c:idx val="443"/>
              <c:layout>
                <c:manualLayout>
                  <c:x val="-5.5180583954747148E-2"/>
                  <c:y val="-8.364535947694003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8.2567237754307049E-2"/>
                      <c:h val="5.6926867683915569E-2"/>
                    </c:manualLayout>
                  </c15:layout>
                </c:ext>
                <c:ext xmlns:c16="http://schemas.microsoft.com/office/drawing/2014/chart" uri="{C3380CC4-5D6E-409C-BE32-E72D297353CC}">
                  <c16:uniqueId val="{00000003-B0D2-43F1-96FD-6C0A1AC5ECE5}"/>
                </c:ext>
              </c:extLst>
            </c:dLbl>
            <c:dLbl>
              <c:idx val="444"/>
              <c:layout>
                <c:manualLayout>
                  <c:x val="-4.981846019247594E-2"/>
                  <c:y val="-6.94178051461516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0D2-43F1-96FD-6C0A1AC5ECE5}"/>
                </c:ext>
              </c:extLst>
            </c:dLbl>
            <c:dLbl>
              <c:idx val="568"/>
              <c:layout>
                <c:manualLayout>
                  <c:x val="-4.9818435643326948E-2"/>
                  <c:y val="-5.14917099051453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0D2-43F1-96FD-6C0A1AC5ECE5}"/>
                </c:ext>
              </c:extLst>
            </c:dLbl>
            <c:dLbl>
              <c:idx val="62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2B5-4F51-9A64-961141CFED84}"/>
                </c:ext>
              </c:extLst>
            </c:dLbl>
            <c:dLbl>
              <c:idx val="632"/>
              <c:layout>
                <c:manualLayout>
                  <c:x val="-6.6508575096845305E-4"/>
                  <c:y val="4.81035413053675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0D2-43F1-96FD-6C0A1AC5ECE5}"/>
                </c:ext>
              </c:extLst>
            </c:dLbl>
            <c:dLbl>
              <c:idx val="74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0D2-43F1-96FD-6C0A1AC5ECE5}"/>
                </c:ext>
              </c:extLst>
            </c:dLbl>
            <c:dLbl>
              <c:idx val="755"/>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0D2-43F1-96FD-6C0A1AC5ECE5}"/>
                </c:ext>
              </c:extLst>
            </c:dLbl>
            <c:dLbl>
              <c:idx val="756"/>
              <c:layout>
                <c:manualLayout>
                  <c:x val="-1.7767178141193888E-2"/>
                  <c:y val="-4.71820715562783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358-48C5-BD2F-EEB1249E30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Exhibits!$FR$113:$FR$870</c:f>
              <c:numCache>
                <c:formatCode>m/d/yyyy</c:formatCode>
                <c:ptCount val="758"/>
                <c:pt idx="0">
                  <c:v>42825</c:v>
                </c:pt>
                <c:pt idx="1">
                  <c:v>42824</c:v>
                </c:pt>
                <c:pt idx="2">
                  <c:v>42823</c:v>
                </c:pt>
                <c:pt idx="3">
                  <c:v>42822</c:v>
                </c:pt>
                <c:pt idx="4">
                  <c:v>42821</c:v>
                </c:pt>
                <c:pt idx="5">
                  <c:v>42818</c:v>
                </c:pt>
                <c:pt idx="6">
                  <c:v>42817</c:v>
                </c:pt>
                <c:pt idx="7">
                  <c:v>42816</c:v>
                </c:pt>
                <c:pt idx="8">
                  <c:v>42815</c:v>
                </c:pt>
                <c:pt idx="9">
                  <c:v>42814</c:v>
                </c:pt>
                <c:pt idx="10">
                  <c:v>42811</c:v>
                </c:pt>
                <c:pt idx="11">
                  <c:v>42810</c:v>
                </c:pt>
                <c:pt idx="12">
                  <c:v>42809</c:v>
                </c:pt>
                <c:pt idx="13">
                  <c:v>42808</c:v>
                </c:pt>
                <c:pt idx="14">
                  <c:v>42807</c:v>
                </c:pt>
                <c:pt idx="15">
                  <c:v>42804</c:v>
                </c:pt>
                <c:pt idx="16">
                  <c:v>42803</c:v>
                </c:pt>
                <c:pt idx="17">
                  <c:v>42802</c:v>
                </c:pt>
                <c:pt idx="18">
                  <c:v>42801</c:v>
                </c:pt>
                <c:pt idx="19">
                  <c:v>42800</c:v>
                </c:pt>
                <c:pt idx="20">
                  <c:v>42797</c:v>
                </c:pt>
                <c:pt idx="21">
                  <c:v>42796</c:v>
                </c:pt>
                <c:pt idx="22">
                  <c:v>42795</c:v>
                </c:pt>
                <c:pt idx="23">
                  <c:v>42794</c:v>
                </c:pt>
                <c:pt idx="24">
                  <c:v>42793</c:v>
                </c:pt>
                <c:pt idx="25">
                  <c:v>42790</c:v>
                </c:pt>
                <c:pt idx="26">
                  <c:v>42789</c:v>
                </c:pt>
                <c:pt idx="27">
                  <c:v>42788</c:v>
                </c:pt>
                <c:pt idx="28">
                  <c:v>42787</c:v>
                </c:pt>
                <c:pt idx="29">
                  <c:v>42783</c:v>
                </c:pt>
                <c:pt idx="30">
                  <c:v>42782</c:v>
                </c:pt>
                <c:pt idx="31">
                  <c:v>42781</c:v>
                </c:pt>
                <c:pt idx="32">
                  <c:v>42780</c:v>
                </c:pt>
                <c:pt idx="33">
                  <c:v>42779</c:v>
                </c:pt>
                <c:pt idx="34">
                  <c:v>42776</c:v>
                </c:pt>
                <c:pt idx="35">
                  <c:v>42775</c:v>
                </c:pt>
                <c:pt idx="36">
                  <c:v>42774</c:v>
                </c:pt>
                <c:pt idx="37">
                  <c:v>42773</c:v>
                </c:pt>
                <c:pt idx="38">
                  <c:v>42772</c:v>
                </c:pt>
                <c:pt idx="39">
                  <c:v>42769</c:v>
                </c:pt>
                <c:pt idx="40">
                  <c:v>42768</c:v>
                </c:pt>
                <c:pt idx="41">
                  <c:v>42767</c:v>
                </c:pt>
                <c:pt idx="42">
                  <c:v>42766</c:v>
                </c:pt>
                <c:pt idx="43">
                  <c:v>42765</c:v>
                </c:pt>
                <c:pt idx="44">
                  <c:v>42762</c:v>
                </c:pt>
                <c:pt idx="45">
                  <c:v>42761</c:v>
                </c:pt>
                <c:pt idx="46">
                  <c:v>42760</c:v>
                </c:pt>
                <c:pt idx="47">
                  <c:v>42759</c:v>
                </c:pt>
                <c:pt idx="48">
                  <c:v>42758</c:v>
                </c:pt>
                <c:pt idx="49">
                  <c:v>42755</c:v>
                </c:pt>
                <c:pt idx="50">
                  <c:v>42754</c:v>
                </c:pt>
                <c:pt idx="51">
                  <c:v>42753</c:v>
                </c:pt>
                <c:pt idx="52">
                  <c:v>42752</c:v>
                </c:pt>
                <c:pt idx="53">
                  <c:v>42748</c:v>
                </c:pt>
                <c:pt idx="54">
                  <c:v>42747</c:v>
                </c:pt>
                <c:pt idx="55">
                  <c:v>42746</c:v>
                </c:pt>
                <c:pt idx="56">
                  <c:v>42745</c:v>
                </c:pt>
                <c:pt idx="57">
                  <c:v>42744</c:v>
                </c:pt>
                <c:pt idx="58">
                  <c:v>42741</c:v>
                </c:pt>
                <c:pt idx="59">
                  <c:v>42740</c:v>
                </c:pt>
                <c:pt idx="60">
                  <c:v>42739</c:v>
                </c:pt>
                <c:pt idx="61">
                  <c:v>42738</c:v>
                </c:pt>
                <c:pt idx="62">
                  <c:v>42734</c:v>
                </c:pt>
                <c:pt idx="63">
                  <c:v>42733</c:v>
                </c:pt>
                <c:pt idx="64">
                  <c:v>42732</c:v>
                </c:pt>
                <c:pt idx="65">
                  <c:v>42731</c:v>
                </c:pt>
                <c:pt idx="66">
                  <c:v>42727</c:v>
                </c:pt>
                <c:pt idx="67">
                  <c:v>42726</c:v>
                </c:pt>
                <c:pt idx="68">
                  <c:v>42725</c:v>
                </c:pt>
                <c:pt idx="69">
                  <c:v>42724</c:v>
                </c:pt>
                <c:pt idx="70">
                  <c:v>42723</c:v>
                </c:pt>
                <c:pt idx="71">
                  <c:v>42720</c:v>
                </c:pt>
                <c:pt idx="72">
                  <c:v>42719</c:v>
                </c:pt>
                <c:pt idx="73">
                  <c:v>42718</c:v>
                </c:pt>
                <c:pt idx="74">
                  <c:v>42717</c:v>
                </c:pt>
                <c:pt idx="75">
                  <c:v>42716</c:v>
                </c:pt>
                <c:pt idx="76">
                  <c:v>42713</c:v>
                </c:pt>
                <c:pt idx="77">
                  <c:v>42712</c:v>
                </c:pt>
                <c:pt idx="78">
                  <c:v>42711</c:v>
                </c:pt>
                <c:pt idx="79">
                  <c:v>42710</c:v>
                </c:pt>
                <c:pt idx="80">
                  <c:v>42709</c:v>
                </c:pt>
                <c:pt idx="81">
                  <c:v>42706</c:v>
                </c:pt>
                <c:pt idx="82">
                  <c:v>42705</c:v>
                </c:pt>
                <c:pt idx="83">
                  <c:v>42704</c:v>
                </c:pt>
                <c:pt idx="84">
                  <c:v>42703</c:v>
                </c:pt>
                <c:pt idx="85">
                  <c:v>42702</c:v>
                </c:pt>
                <c:pt idx="86">
                  <c:v>42699</c:v>
                </c:pt>
                <c:pt idx="87">
                  <c:v>42697</c:v>
                </c:pt>
                <c:pt idx="88">
                  <c:v>42696</c:v>
                </c:pt>
                <c:pt idx="89">
                  <c:v>42695</c:v>
                </c:pt>
                <c:pt idx="90">
                  <c:v>42692</c:v>
                </c:pt>
                <c:pt idx="91">
                  <c:v>42691</c:v>
                </c:pt>
                <c:pt idx="92">
                  <c:v>42690</c:v>
                </c:pt>
                <c:pt idx="93">
                  <c:v>42689</c:v>
                </c:pt>
                <c:pt idx="94">
                  <c:v>42688</c:v>
                </c:pt>
                <c:pt idx="95">
                  <c:v>42685</c:v>
                </c:pt>
                <c:pt idx="96">
                  <c:v>42684</c:v>
                </c:pt>
                <c:pt idx="97">
                  <c:v>42683</c:v>
                </c:pt>
                <c:pt idx="98">
                  <c:v>42682</c:v>
                </c:pt>
                <c:pt idx="99">
                  <c:v>42681</c:v>
                </c:pt>
                <c:pt idx="100">
                  <c:v>42678</c:v>
                </c:pt>
                <c:pt idx="101">
                  <c:v>42677</c:v>
                </c:pt>
                <c:pt idx="102">
                  <c:v>42676</c:v>
                </c:pt>
                <c:pt idx="103">
                  <c:v>42675</c:v>
                </c:pt>
                <c:pt idx="104">
                  <c:v>42674</c:v>
                </c:pt>
                <c:pt idx="105">
                  <c:v>42671</c:v>
                </c:pt>
                <c:pt idx="106">
                  <c:v>42670</c:v>
                </c:pt>
                <c:pt idx="107">
                  <c:v>42669</c:v>
                </c:pt>
                <c:pt idx="108">
                  <c:v>42668</c:v>
                </c:pt>
                <c:pt idx="109">
                  <c:v>42667</c:v>
                </c:pt>
                <c:pt idx="110">
                  <c:v>42664</c:v>
                </c:pt>
                <c:pt idx="111">
                  <c:v>42663</c:v>
                </c:pt>
                <c:pt idx="112">
                  <c:v>42662</c:v>
                </c:pt>
                <c:pt idx="113">
                  <c:v>42661</c:v>
                </c:pt>
                <c:pt idx="114">
                  <c:v>42660</c:v>
                </c:pt>
                <c:pt idx="115">
                  <c:v>42657</c:v>
                </c:pt>
                <c:pt idx="116">
                  <c:v>42656</c:v>
                </c:pt>
                <c:pt idx="117">
                  <c:v>42655</c:v>
                </c:pt>
                <c:pt idx="118">
                  <c:v>42654</c:v>
                </c:pt>
                <c:pt idx="119">
                  <c:v>42653</c:v>
                </c:pt>
                <c:pt idx="120">
                  <c:v>42650</c:v>
                </c:pt>
                <c:pt idx="121">
                  <c:v>42649</c:v>
                </c:pt>
                <c:pt idx="122">
                  <c:v>42648</c:v>
                </c:pt>
                <c:pt idx="123">
                  <c:v>42647</c:v>
                </c:pt>
                <c:pt idx="124">
                  <c:v>42646</c:v>
                </c:pt>
                <c:pt idx="125">
                  <c:v>42643</c:v>
                </c:pt>
                <c:pt idx="126">
                  <c:v>42642</c:v>
                </c:pt>
                <c:pt idx="127">
                  <c:v>42641</c:v>
                </c:pt>
                <c:pt idx="128">
                  <c:v>42640</c:v>
                </c:pt>
                <c:pt idx="129">
                  <c:v>42639</c:v>
                </c:pt>
                <c:pt idx="130">
                  <c:v>42636</c:v>
                </c:pt>
                <c:pt idx="131">
                  <c:v>42635</c:v>
                </c:pt>
                <c:pt idx="132">
                  <c:v>42634</c:v>
                </c:pt>
                <c:pt idx="133">
                  <c:v>42633</c:v>
                </c:pt>
                <c:pt idx="134">
                  <c:v>42632</c:v>
                </c:pt>
                <c:pt idx="135">
                  <c:v>42629</c:v>
                </c:pt>
                <c:pt idx="136">
                  <c:v>42628</c:v>
                </c:pt>
                <c:pt idx="137">
                  <c:v>42627</c:v>
                </c:pt>
                <c:pt idx="138">
                  <c:v>42626</c:v>
                </c:pt>
                <c:pt idx="139">
                  <c:v>42625</c:v>
                </c:pt>
                <c:pt idx="140">
                  <c:v>42622</c:v>
                </c:pt>
                <c:pt idx="141">
                  <c:v>42621</c:v>
                </c:pt>
                <c:pt idx="142">
                  <c:v>42620</c:v>
                </c:pt>
                <c:pt idx="143">
                  <c:v>42619</c:v>
                </c:pt>
                <c:pt idx="144">
                  <c:v>42615</c:v>
                </c:pt>
                <c:pt idx="145">
                  <c:v>42614</c:v>
                </c:pt>
                <c:pt idx="146">
                  <c:v>42613</c:v>
                </c:pt>
                <c:pt idx="147">
                  <c:v>42612</c:v>
                </c:pt>
                <c:pt idx="148">
                  <c:v>42611</c:v>
                </c:pt>
                <c:pt idx="149">
                  <c:v>42608</c:v>
                </c:pt>
                <c:pt idx="150">
                  <c:v>42607</c:v>
                </c:pt>
                <c:pt idx="151">
                  <c:v>42606</c:v>
                </c:pt>
                <c:pt idx="152">
                  <c:v>42605</c:v>
                </c:pt>
                <c:pt idx="153">
                  <c:v>42604</c:v>
                </c:pt>
                <c:pt idx="154">
                  <c:v>42601</c:v>
                </c:pt>
                <c:pt idx="155">
                  <c:v>42600</c:v>
                </c:pt>
                <c:pt idx="156">
                  <c:v>42599</c:v>
                </c:pt>
                <c:pt idx="157">
                  <c:v>42598</c:v>
                </c:pt>
                <c:pt idx="158">
                  <c:v>42597</c:v>
                </c:pt>
                <c:pt idx="159">
                  <c:v>42594</c:v>
                </c:pt>
                <c:pt idx="160">
                  <c:v>42593</c:v>
                </c:pt>
                <c:pt idx="161">
                  <c:v>42592</c:v>
                </c:pt>
                <c:pt idx="162">
                  <c:v>42591</c:v>
                </c:pt>
                <c:pt idx="163">
                  <c:v>42590</c:v>
                </c:pt>
                <c:pt idx="164">
                  <c:v>42587</c:v>
                </c:pt>
                <c:pt idx="165">
                  <c:v>42586</c:v>
                </c:pt>
                <c:pt idx="166">
                  <c:v>42585</c:v>
                </c:pt>
                <c:pt idx="167">
                  <c:v>42584</c:v>
                </c:pt>
                <c:pt idx="168">
                  <c:v>42583</c:v>
                </c:pt>
                <c:pt idx="169">
                  <c:v>42580</c:v>
                </c:pt>
                <c:pt idx="170">
                  <c:v>42579</c:v>
                </c:pt>
                <c:pt idx="171">
                  <c:v>42578</c:v>
                </c:pt>
                <c:pt idx="172">
                  <c:v>42577</c:v>
                </c:pt>
                <c:pt idx="173">
                  <c:v>42576</c:v>
                </c:pt>
                <c:pt idx="174">
                  <c:v>42573</c:v>
                </c:pt>
                <c:pt idx="175">
                  <c:v>42572</c:v>
                </c:pt>
                <c:pt idx="176">
                  <c:v>42571</c:v>
                </c:pt>
                <c:pt idx="177">
                  <c:v>42570</c:v>
                </c:pt>
                <c:pt idx="178">
                  <c:v>42569</c:v>
                </c:pt>
                <c:pt idx="179">
                  <c:v>42566</c:v>
                </c:pt>
                <c:pt idx="180">
                  <c:v>42565</c:v>
                </c:pt>
                <c:pt idx="181">
                  <c:v>42564</c:v>
                </c:pt>
                <c:pt idx="182">
                  <c:v>42563</c:v>
                </c:pt>
                <c:pt idx="183">
                  <c:v>42562</c:v>
                </c:pt>
                <c:pt idx="184">
                  <c:v>42559</c:v>
                </c:pt>
                <c:pt idx="185">
                  <c:v>42558</c:v>
                </c:pt>
                <c:pt idx="186">
                  <c:v>42557</c:v>
                </c:pt>
                <c:pt idx="187">
                  <c:v>42556</c:v>
                </c:pt>
                <c:pt idx="188">
                  <c:v>42552</c:v>
                </c:pt>
                <c:pt idx="189">
                  <c:v>42551</c:v>
                </c:pt>
                <c:pt idx="190">
                  <c:v>42550</c:v>
                </c:pt>
                <c:pt idx="191">
                  <c:v>42549</c:v>
                </c:pt>
                <c:pt idx="192">
                  <c:v>42548</c:v>
                </c:pt>
                <c:pt idx="193">
                  <c:v>42545</c:v>
                </c:pt>
                <c:pt idx="194">
                  <c:v>42544</c:v>
                </c:pt>
                <c:pt idx="195">
                  <c:v>42543</c:v>
                </c:pt>
                <c:pt idx="196">
                  <c:v>42542</c:v>
                </c:pt>
                <c:pt idx="197">
                  <c:v>42541</c:v>
                </c:pt>
                <c:pt idx="198">
                  <c:v>42538</c:v>
                </c:pt>
                <c:pt idx="199">
                  <c:v>42537</c:v>
                </c:pt>
                <c:pt idx="200">
                  <c:v>42536</c:v>
                </c:pt>
                <c:pt idx="201">
                  <c:v>42535</c:v>
                </c:pt>
                <c:pt idx="202">
                  <c:v>42534</c:v>
                </c:pt>
                <c:pt idx="203">
                  <c:v>42531</c:v>
                </c:pt>
                <c:pt idx="204">
                  <c:v>42530</c:v>
                </c:pt>
                <c:pt idx="205">
                  <c:v>42529</c:v>
                </c:pt>
                <c:pt idx="206">
                  <c:v>42528</c:v>
                </c:pt>
                <c:pt idx="207">
                  <c:v>42527</c:v>
                </c:pt>
                <c:pt idx="208">
                  <c:v>42524</c:v>
                </c:pt>
                <c:pt idx="209">
                  <c:v>42523</c:v>
                </c:pt>
                <c:pt idx="210">
                  <c:v>42522</c:v>
                </c:pt>
                <c:pt idx="211">
                  <c:v>42521</c:v>
                </c:pt>
                <c:pt idx="212">
                  <c:v>42517</c:v>
                </c:pt>
                <c:pt idx="213">
                  <c:v>42516</c:v>
                </c:pt>
                <c:pt idx="214">
                  <c:v>42515</c:v>
                </c:pt>
                <c:pt idx="215">
                  <c:v>42514</c:v>
                </c:pt>
                <c:pt idx="216">
                  <c:v>42513</c:v>
                </c:pt>
                <c:pt idx="217">
                  <c:v>42510</c:v>
                </c:pt>
                <c:pt idx="218">
                  <c:v>42509</c:v>
                </c:pt>
                <c:pt idx="219">
                  <c:v>42508</c:v>
                </c:pt>
                <c:pt idx="220">
                  <c:v>42507</c:v>
                </c:pt>
                <c:pt idx="221">
                  <c:v>42506</c:v>
                </c:pt>
                <c:pt idx="222">
                  <c:v>42503</c:v>
                </c:pt>
                <c:pt idx="223">
                  <c:v>42502</c:v>
                </c:pt>
                <c:pt idx="224">
                  <c:v>42501</c:v>
                </c:pt>
                <c:pt idx="225">
                  <c:v>42500</c:v>
                </c:pt>
                <c:pt idx="226">
                  <c:v>42499</c:v>
                </c:pt>
                <c:pt idx="227">
                  <c:v>42496</c:v>
                </c:pt>
                <c:pt idx="228">
                  <c:v>42495</c:v>
                </c:pt>
                <c:pt idx="229">
                  <c:v>42494</c:v>
                </c:pt>
                <c:pt idx="230">
                  <c:v>42493</c:v>
                </c:pt>
                <c:pt idx="231">
                  <c:v>42492</c:v>
                </c:pt>
                <c:pt idx="232">
                  <c:v>42489</c:v>
                </c:pt>
                <c:pt idx="233">
                  <c:v>42488</c:v>
                </c:pt>
                <c:pt idx="234">
                  <c:v>42487</c:v>
                </c:pt>
                <c:pt idx="235">
                  <c:v>42486</c:v>
                </c:pt>
                <c:pt idx="236">
                  <c:v>42485</c:v>
                </c:pt>
                <c:pt idx="237">
                  <c:v>42482</c:v>
                </c:pt>
                <c:pt idx="238">
                  <c:v>42481</c:v>
                </c:pt>
                <c:pt idx="239">
                  <c:v>42480</c:v>
                </c:pt>
                <c:pt idx="240">
                  <c:v>42479</c:v>
                </c:pt>
                <c:pt idx="241">
                  <c:v>42478</c:v>
                </c:pt>
                <c:pt idx="242">
                  <c:v>42475</c:v>
                </c:pt>
                <c:pt idx="243">
                  <c:v>42474</c:v>
                </c:pt>
                <c:pt idx="244">
                  <c:v>42473</c:v>
                </c:pt>
                <c:pt idx="245">
                  <c:v>42472</c:v>
                </c:pt>
                <c:pt idx="246">
                  <c:v>42471</c:v>
                </c:pt>
                <c:pt idx="247">
                  <c:v>42468</c:v>
                </c:pt>
                <c:pt idx="248">
                  <c:v>42467</c:v>
                </c:pt>
                <c:pt idx="249">
                  <c:v>42466</c:v>
                </c:pt>
                <c:pt idx="250">
                  <c:v>42465</c:v>
                </c:pt>
                <c:pt idx="251">
                  <c:v>42464</c:v>
                </c:pt>
                <c:pt idx="252">
                  <c:v>42461</c:v>
                </c:pt>
                <c:pt idx="253">
                  <c:v>42460</c:v>
                </c:pt>
                <c:pt idx="254">
                  <c:v>42459</c:v>
                </c:pt>
                <c:pt idx="255">
                  <c:v>42458</c:v>
                </c:pt>
                <c:pt idx="256">
                  <c:v>42457</c:v>
                </c:pt>
                <c:pt idx="257">
                  <c:v>42453</c:v>
                </c:pt>
                <c:pt idx="258">
                  <c:v>42452</c:v>
                </c:pt>
                <c:pt idx="259">
                  <c:v>42451</c:v>
                </c:pt>
                <c:pt idx="260">
                  <c:v>42450</c:v>
                </c:pt>
                <c:pt idx="261">
                  <c:v>42447</c:v>
                </c:pt>
                <c:pt idx="262">
                  <c:v>42446</c:v>
                </c:pt>
                <c:pt idx="263">
                  <c:v>42445</c:v>
                </c:pt>
                <c:pt idx="264">
                  <c:v>42444</c:v>
                </c:pt>
                <c:pt idx="265">
                  <c:v>42443</c:v>
                </c:pt>
                <c:pt idx="266">
                  <c:v>42440</c:v>
                </c:pt>
                <c:pt idx="267">
                  <c:v>42439</c:v>
                </c:pt>
                <c:pt idx="268">
                  <c:v>42438</c:v>
                </c:pt>
                <c:pt idx="269">
                  <c:v>42437</c:v>
                </c:pt>
                <c:pt idx="270">
                  <c:v>42436</c:v>
                </c:pt>
                <c:pt idx="271">
                  <c:v>42433</c:v>
                </c:pt>
                <c:pt idx="272">
                  <c:v>42432</c:v>
                </c:pt>
                <c:pt idx="273">
                  <c:v>42431</c:v>
                </c:pt>
                <c:pt idx="274">
                  <c:v>42430</c:v>
                </c:pt>
                <c:pt idx="275">
                  <c:v>42429</c:v>
                </c:pt>
                <c:pt idx="276">
                  <c:v>42426</c:v>
                </c:pt>
                <c:pt idx="277">
                  <c:v>42425</c:v>
                </c:pt>
                <c:pt idx="278">
                  <c:v>42424</c:v>
                </c:pt>
                <c:pt idx="279">
                  <c:v>42423</c:v>
                </c:pt>
                <c:pt idx="280">
                  <c:v>42422</c:v>
                </c:pt>
                <c:pt idx="281">
                  <c:v>42419</c:v>
                </c:pt>
                <c:pt idx="282">
                  <c:v>42418</c:v>
                </c:pt>
                <c:pt idx="283">
                  <c:v>42417</c:v>
                </c:pt>
                <c:pt idx="284">
                  <c:v>42416</c:v>
                </c:pt>
                <c:pt idx="285">
                  <c:v>42412</c:v>
                </c:pt>
                <c:pt idx="286">
                  <c:v>42411</c:v>
                </c:pt>
                <c:pt idx="287">
                  <c:v>42410</c:v>
                </c:pt>
                <c:pt idx="288">
                  <c:v>42409</c:v>
                </c:pt>
                <c:pt idx="289">
                  <c:v>42408</c:v>
                </c:pt>
                <c:pt idx="290">
                  <c:v>42405</c:v>
                </c:pt>
                <c:pt idx="291">
                  <c:v>42404</c:v>
                </c:pt>
                <c:pt idx="292">
                  <c:v>42403</c:v>
                </c:pt>
                <c:pt idx="293">
                  <c:v>42402</c:v>
                </c:pt>
                <c:pt idx="294">
                  <c:v>42401</c:v>
                </c:pt>
                <c:pt idx="295">
                  <c:v>42398</c:v>
                </c:pt>
                <c:pt idx="296">
                  <c:v>42397</c:v>
                </c:pt>
                <c:pt idx="297">
                  <c:v>42396</c:v>
                </c:pt>
                <c:pt idx="298">
                  <c:v>42395</c:v>
                </c:pt>
                <c:pt idx="299">
                  <c:v>42394</c:v>
                </c:pt>
                <c:pt idx="300">
                  <c:v>42391</c:v>
                </c:pt>
                <c:pt idx="301">
                  <c:v>42390</c:v>
                </c:pt>
                <c:pt idx="302">
                  <c:v>42389</c:v>
                </c:pt>
                <c:pt idx="303">
                  <c:v>42388</c:v>
                </c:pt>
                <c:pt idx="304">
                  <c:v>42384</c:v>
                </c:pt>
                <c:pt idx="305">
                  <c:v>42383</c:v>
                </c:pt>
                <c:pt idx="306">
                  <c:v>42382</c:v>
                </c:pt>
                <c:pt idx="307">
                  <c:v>42381</c:v>
                </c:pt>
                <c:pt idx="308">
                  <c:v>42380</c:v>
                </c:pt>
                <c:pt idx="309">
                  <c:v>42377</c:v>
                </c:pt>
                <c:pt idx="310">
                  <c:v>42376</c:v>
                </c:pt>
                <c:pt idx="311">
                  <c:v>42375</c:v>
                </c:pt>
                <c:pt idx="312">
                  <c:v>42374</c:v>
                </c:pt>
                <c:pt idx="313">
                  <c:v>42373</c:v>
                </c:pt>
                <c:pt idx="314">
                  <c:v>42369</c:v>
                </c:pt>
                <c:pt idx="315">
                  <c:v>42368</c:v>
                </c:pt>
                <c:pt idx="316">
                  <c:v>42367</c:v>
                </c:pt>
                <c:pt idx="317">
                  <c:v>42366</c:v>
                </c:pt>
                <c:pt idx="318">
                  <c:v>42362</c:v>
                </c:pt>
                <c:pt idx="319">
                  <c:v>42361</c:v>
                </c:pt>
                <c:pt idx="320">
                  <c:v>42360</c:v>
                </c:pt>
                <c:pt idx="321">
                  <c:v>42359</c:v>
                </c:pt>
                <c:pt idx="322">
                  <c:v>42356</c:v>
                </c:pt>
                <c:pt idx="323">
                  <c:v>42355</c:v>
                </c:pt>
                <c:pt idx="324">
                  <c:v>42354</c:v>
                </c:pt>
                <c:pt idx="325">
                  <c:v>42353</c:v>
                </c:pt>
                <c:pt idx="326">
                  <c:v>42352</c:v>
                </c:pt>
                <c:pt idx="327">
                  <c:v>42349</c:v>
                </c:pt>
                <c:pt idx="328">
                  <c:v>42348</c:v>
                </c:pt>
                <c:pt idx="329">
                  <c:v>42347</c:v>
                </c:pt>
                <c:pt idx="330">
                  <c:v>42346</c:v>
                </c:pt>
                <c:pt idx="331">
                  <c:v>42345</c:v>
                </c:pt>
                <c:pt idx="332">
                  <c:v>42342</c:v>
                </c:pt>
                <c:pt idx="333">
                  <c:v>42341</c:v>
                </c:pt>
                <c:pt idx="334">
                  <c:v>42340</c:v>
                </c:pt>
                <c:pt idx="335">
                  <c:v>42339</c:v>
                </c:pt>
                <c:pt idx="336">
                  <c:v>42338</c:v>
                </c:pt>
                <c:pt idx="337">
                  <c:v>42335</c:v>
                </c:pt>
                <c:pt idx="338">
                  <c:v>42333</c:v>
                </c:pt>
                <c:pt idx="339">
                  <c:v>42332</c:v>
                </c:pt>
                <c:pt idx="340">
                  <c:v>42331</c:v>
                </c:pt>
                <c:pt idx="341">
                  <c:v>42328</c:v>
                </c:pt>
                <c:pt idx="342">
                  <c:v>42327</c:v>
                </c:pt>
                <c:pt idx="343">
                  <c:v>42326</c:v>
                </c:pt>
                <c:pt idx="344">
                  <c:v>42325</c:v>
                </c:pt>
                <c:pt idx="345">
                  <c:v>42324</c:v>
                </c:pt>
                <c:pt idx="346">
                  <c:v>42321</c:v>
                </c:pt>
                <c:pt idx="347">
                  <c:v>42320</c:v>
                </c:pt>
                <c:pt idx="348">
                  <c:v>42319</c:v>
                </c:pt>
                <c:pt idx="349">
                  <c:v>42318</c:v>
                </c:pt>
                <c:pt idx="350">
                  <c:v>42317</c:v>
                </c:pt>
                <c:pt idx="351">
                  <c:v>42314</c:v>
                </c:pt>
                <c:pt idx="352">
                  <c:v>42313</c:v>
                </c:pt>
                <c:pt idx="353">
                  <c:v>42312</c:v>
                </c:pt>
                <c:pt idx="354">
                  <c:v>42311</c:v>
                </c:pt>
                <c:pt idx="355">
                  <c:v>42310</c:v>
                </c:pt>
                <c:pt idx="356">
                  <c:v>42307</c:v>
                </c:pt>
                <c:pt idx="357">
                  <c:v>42306</c:v>
                </c:pt>
                <c:pt idx="358">
                  <c:v>42305</c:v>
                </c:pt>
                <c:pt idx="359">
                  <c:v>42304</c:v>
                </c:pt>
                <c:pt idx="360">
                  <c:v>42303</c:v>
                </c:pt>
                <c:pt idx="361">
                  <c:v>42300</c:v>
                </c:pt>
                <c:pt idx="362">
                  <c:v>42299</c:v>
                </c:pt>
                <c:pt idx="363">
                  <c:v>42298</c:v>
                </c:pt>
                <c:pt idx="364">
                  <c:v>42297</c:v>
                </c:pt>
                <c:pt idx="365">
                  <c:v>42296</c:v>
                </c:pt>
                <c:pt idx="366">
                  <c:v>42293</c:v>
                </c:pt>
                <c:pt idx="367">
                  <c:v>42292</c:v>
                </c:pt>
                <c:pt idx="368">
                  <c:v>42291</c:v>
                </c:pt>
                <c:pt idx="369">
                  <c:v>42290</c:v>
                </c:pt>
                <c:pt idx="370">
                  <c:v>42289</c:v>
                </c:pt>
                <c:pt idx="371">
                  <c:v>42286</c:v>
                </c:pt>
                <c:pt idx="372">
                  <c:v>42285</c:v>
                </c:pt>
                <c:pt idx="373">
                  <c:v>42284</c:v>
                </c:pt>
                <c:pt idx="374">
                  <c:v>42283</c:v>
                </c:pt>
                <c:pt idx="375">
                  <c:v>42282</c:v>
                </c:pt>
                <c:pt idx="376">
                  <c:v>42279</c:v>
                </c:pt>
                <c:pt idx="377">
                  <c:v>42278</c:v>
                </c:pt>
                <c:pt idx="378">
                  <c:v>42277</c:v>
                </c:pt>
                <c:pt idx="379">
                  <c:v>42276</c:v>
                </c:pt>
                <c:pt idx="380">
                  <c:v>42275</c:v>
                </c:pt>
                <c:pt idx="381">
                  <c:v>42272</c:v>
                </c:pt>
                <c:pt idx="382">
                  <c:v>42271</c:v>
                </c:pt>
                <c:pt idx="383">
                  <c:v>42270</c:v>
                </c:pt>
                <c:pt idx="384">
                  <c:v>42269</c:v>
                </c:pt>
                <c:pt idx="385">
                  <c:v>42268</c:v>
                </c:pt>
                <c:pt idx="386">
                  <c:v>42265</c:v>
                </c:pt>
                <c:pt idx="387">
                  <c:v>42264</c:v>
                </c:pt>
                <c:pt idx="388">
                  <c:v>42263</c:v>
                </c:pt>
                <c:pt idx="389">
                  <c:v>42262</c:v>
                </c:pt>
                <c:pt idx="390">
                  <c:v>42261</c:v>
                </c:pt>
                <c:pt idx="391">
                  <c:v>42258</c:v>
                </c:pt>
                <c:pt idx="392">
                  <c:v>42257</c:v>
                </c:pt>
                <c:pt idx="393">
                  <c:v>42256</c:v>
                </c:pt>
                <c:pt idx="394">
                  <c:v>42255</c:v>
                </c:pt>
                <c:pt idx="395">
                  <c:v>42251</c:v>
                </c:pt>
                <c:pt idx="396">
                  <c:v>42250</c:v>
                </c:pt>
                <c:pt idx="397">
                  <c:v>42249</c:v>
                </c:pt>
                <c:pt idx="398">
                  <c:v>42248</c:v>
                </c:pt>
                <c:pt idx="399">
                  <c:v>42247</c:v>
                </c:pt>
                <c:pt idx="400">
                  <c:v>42244</c:v>
                </c:pt>
                <c:pt idx="401">
                  <c:v>42243</c:v>
                </c:pt>
                <c:pt idx="402">
                  <c:v>42242</c:v>
                </c:pt>
                <c:pt idx="403">
                  <c:v>42241</c:v>
                </c:pt>
                <c:pt idx="404">
                  <c:v>42240</c:v>
                </c:pt>
                <c:pt idx="405">
                  <c:v>42237</c:v>
                </c:pt>
                <c:pt idx="406">
                  <c:v>42236</c:v>
                </c:pt>
                <c:pt idx="407">
                  <c:v>42235</c:v>
                </c:pt>
                <c:pt idx="408">
                  <c:v>42234</c:v>
                </c:pt>
                <c:pt idx="409">
                  <c:v>42233</c:v>
                </c:pt>
                <c:pt idx="410">
                  <c:v>42230</c:v>
                </c:pt>
                <c:pt idx="411">
                  <c:v>42229</c:v>
                </c:pt>
                <c:pt idx="412">
                  <c:v>42228</c:v>
                </c:pt>
                <c:pt idx="413">
                  <c:v>42227</c:v>
                </c:pt>
                <c:pt idx="414">
                  <c:v>42226</c:v>
                </c:pt>
                <c:pt idx="415">
                  <c:v>42223</c:v>
                </c:pt>
                <c:pt idx="416">
                  <c:v>42222</c:v>
                </c:pt>
                <c:pt idx="417">
                  <c:v>42221</c:v>
                </c:pt>
                <c:pt idx="418">
                  <c:v>42220</c:v>
                </c:pt>
                <c:pt idx="419">
                  <c:v>42219</c:v>
                </c:pt>
                <c:pt idx="420">
                  <c:v>42216</c:v>
                </c:pt>
                <c:pt idx="421">
                  <c:v>42215</c:v>
                </c:pt>
                <c:pt idx="422">
                  <c:v>42214</c:v>
                </c:pt>
                <c:pt idx="423">
                  <c:v>42213</c:v>
                </c:pt>
                <c:pt idx="424">
                  <c:v>42212</c:v>
                </c:pt>
                <c:pt idx="425">
                  <c:v>42209</c:v>
                </c:pt>
                <c:pt idx="426">
                  <c:v>42208</c:v>
                </c:pt>
                <c:pt idx="427">
                  <c:v>42207</c:v>
                </c:pt>
                <c:pt idx="428">
                  <c:v>42206</c:v>
                </c:pt>
                <c:pt idx="429">
                  <c:v>42205</c:v>
                </c:pt>
                <c:pt idx="430">
                  <c:v>42202</c:v>
                </c:pt>
                <c:pt idx="431">
                  <c:v>42201</c:v>
                </c:pt>
                <c:pt idx="432">
                  <c:v>42200</c:v>
                </c:pt>
                <c:pt idx="433">
                  <c:v>42199</c:v>
                </c:pt>
                <c:pt idx="434">
                  <c:v>42198</c:v>
                </c:pt>
                <c:pt idx="435">
                  <c:v>42195</c:v>
                </c:pt>
                <c:pt idx="436">
                  <c:v>42194</c:v>
                </c:pt>
                <c:pt idx="437">
                  <c:v>42193</c:v>
                </c:pt>
                <c:pt idx="438">
                  <c:v>42192</c:v>
                </c:pt>
                <c:pt idx="439">
                  <c:v>42191</c:v>
                </c:pt>
                <c:pt idx="440">
                  <c:v>42187</c:v>
                </c:pt>
                <c:pt idx="441">
                  <c:v>42186</c:v>
                </c:pt>
                <c:pt idx="442">
                  <c:v>42185</c:v>
                </c:pt>
                <c:pt idx="443">
                  <c:v>42184</c:v>
                </c:pt>
                <c:pt idx="444">
                  <c:v>42181</c:v>
                </c:pt>
                <c:pt idx="445">
                  <c:v>42180</c:v>
                </c:pt>
                <c:pt idx="446">
                  <c:v>42179</c:v>
                </c:pt>
                <c:pt idx="447">
                  <c:v>42178</c:v>
                </c:pt>
                <c:pt idx="448">
                  <c:v>42177</c:v>
                </c:pt>
                <c:pt idx="449">
                  <c:v>42174</c:v>
                </c:pt>
                <c:pt idx="450">
                  <c:v>42173</c:v>
                </c:pt>
                <c:pt idx="451">
                  <c:v>42172</c:v>
                </c:pt>
                <c:pt idx="452">
                  <c:v>42171</c:v>
                </c:pt>
                <c:pt idx="453">
                  <c:v>42170</c:v>
                </c:pt>
                <c:pt idx="454">
                  <c:v>42167</c:v>
                </c:pt>
                <c:pt idx="455">
                  <c:v>42166</c:v>
                </c:pt>
                <c:pt idx="456">
                  <c:v>42165</c:v>
                </c:pt>
                <c:pt idx="457">
                  <c:v>42164</c:v>
                </c:pt>
                <c:pt idx="458">
                  <c:v>42163</c:v>
                </c:pt>
                <c:pt idx="459">
                  <c:v>42160</c:v>
                </c:pt>
                <c:pt idx="460">
                  <c:v>42159</c:v>
                </c:pt>
                <c:pt idx="461">
                  <c:v>42158</c:v>
                </c:pt>
                <c:pt idx="462">
                  <c:v>42157</c:v>
                </c:pt>
                <c:pt idx="463">
                  <c:v>42156</c:v>
                </c:pt>
                <c:pt idx="464">
                  <c:v>42153</c:v>
                </c:pt>
                <c:pt idx="465">
                  <c:v>42152</c:v>
                </c:pt>
                <c:pt idx="466">
                  <c:v>42151</c:v>
                </c:pt>
                <c:pt idx="467">
                  <c:v>42150</c:v>
                </c:pt>
                <c:pt idx="468">
                  <c:v>42146</c:v>
                </c:pt>
                <c:pt idx="469">
                  <c:v>42145</c:v>
                </c:pt>
                <c:pt idx="470">
                  <c:v>42144</c:v>
                </c:pt>
                <c:pt idx="471">
                  <c:v>42143</c:v>
                </c:pt>
                <c:pt idx="472">
                  <c:v>42142</c:v>
                </c:pt>
                <c:pt idx="473">
                  <c:v>42139</c:v>
                </c:pt>
                <c:pt idx="474">
                  <c:v>42138</c:v>
                </c:pt>
                <c:pt idx="475">
                  <c:v>42137</c:v>
                </c:pt>
                <c:pt idx="476">
                  <c:v>42136</c:v>
                </c:pt>
                <c:pt idx="477">
                  <c:v>42135</c:v>
                </c:pt>
                <c:pt idx="478">
                  <c:v>42132</c:v>
                </c:pt>
                <c:pt idx="479">
                  <c:v>42131</c:v>
                </c:pt>
                <c:pt idx="480">
                  <c:v>42130</c:v>
                </c:pt>
                <c:pt idx="481">
                  <c:v>42129</c:v>
                </c:pt>
                <c:pt idx="482">
                  <c:v>42128</c:v>
                </c:pt>
                <c:pt idx="483">
                  <c:v>42125</c:v>
                </c:pt>
                <c:pt idx="484">
                  <c:v>42124</c:v>
                </c:pt>
                <c:pt idx="485">
                  <c:v>42123</c:v>
                </c:pt>
                <c:pt idx="486">
                  <c:v>42122</c:v>
                </c:pt>
                <c:pt idx="487">
                  <c:v>42121</c:v>
                </c:pt>
                <c:pt idx="488">
                  <c:v>42118</c:v>
                </c:pt>
                <c:pt idx="489">
                  <c:v>42117</c:v>
                </c:pt>
                <c:pt idx="490">
                  <c:v>42116</c:v>
                </c:pt>
                <c:pt idx="491">
                  <c:v>42115</c:v>
                </c:pt>
                <c:pt idx="492">
                  <c:v>42114</c:v>
                </c:pt>
                <c:pt idx="493">
                  <c:v>42111</c:v>
                </c:pt>
                <c:pt idx="494">
                  <c:v>42110</c:v>
                </c:pt>
                <c:pt idx="495">
                  <c:v>42109</c:v>
                </c:pt>
                <c:pt idx="496">
                  <c:v>42108</c:v>
                </c:pt>
                <c:pt idx="497">
                  <c:v>42107</c:v>
                </c:pt>
                <c:pt idx="498">
                  <c:v>42104</c:v>
                </c:pt>
                <c:pt idx="499">
                  <c:v>42103</c:v>
                </c:pt>
                <c:pt idx="500">
                  <c:v>42102</c:v>
                </c:pt>
                <c:pt idx="501">
                  <c:v>42101</c:v>
                </c:pt>
                <c:pt idx="502">
                  <c:v>42100</c:v>
                </c:pt>
                <c:pt idx="503">
                  <c:v>42096</c:v>
                </c:pt>
                <c:pt idx="504">
                  <c:v>42095</c:v>
                </c:pt>
                <c:pt idx="505">
                  <c:v>42094</c:v>
                </c:pt>
                <c:pt idx="506">
                  <c:v>42093</c:v>
                </c:pt>
                <c:pt idx="507">
                  <c:v>42090</c:v>
                </c:pt>
                <c:pt idx="508">
                  <c:v>42089</c:v>
                </c:pt>
                <c:pt idx="509">
                  <c:v>42088</c:v>
                </c:pt>
                <c:pt idx="510">
                  <c:v>42087</c:v>
                </c:pt>
                <c:pt idx="511">
                  <c:v>42086</c:v>
                </c:pt>
                <c:pt idx="512">
                  <c:v>42083</c:v>
                </c:pt>
                <c:pt idx="513">
                  <c:v>42082</c:v>
                </c:pt>
                <c:pt idx="514">
                  <c:v>42081</c:v>
                </c:pt>
                <c:pt idx="515">
                  <c:v>42080</c:v>
                </c:pt>
                <c:pt idx="516">
                  <c:v>42079</c:v>
                </c:pt>
                <c:pt idx="517">
                  <c:v>42076</c:v>
                </c:pt>
                <c:pt idx="518">
                  <c:v>42075</c:v>
                </c:pt>
                <c:pt idx="519">
                  <c:v>42074</c:v>
                </c:pt>
                <c:pt idx="520">
                  <c:v>42073</c:v>
                </c:pt>
                <c:pt idx="521">
                  <c:v>42072</c:v>
                </c:pt>
                <c:pt idx="522">
                  <c:v>42069</c:v>
                </c:pt>
                <c:pt idx="523">
                  <c:v>42068</c:v>
                </c:pt>
                <c:pt idx="524">
                  <c:v>42067</c:v>
                </c:pt>
                <c:pt idx="525">
                  <c:v>42066</c:v>
                </c:pt>
                <c:pt idx="526">
                  <c:v>42065</c:v>
                </c:pt>
                <c:pt idx="527">
                  <c:v>42062</c:v>
                </c:pt>
                <c:pt idx="528">
                  <c:v>42061</c:v>
                </c:pt>
                <c:pt idx="529">
                  <c:v>42060</c:v>
                </c:pt>
                <c:pt idx="530">
                  <c:v>42059</c:v>
                </c:pt>
                <c:pt idx="531">
                  <c:v>42058</c:v>
                </c:pt>
                <c:pt idx="532">
                  <c:v>42055</c:v>
                </c:pt>
                <c:pt idx="533">
                  <c:v>42054</c:v>
                </c:pt>
                <c:pt idx="534">
                  <c:v>42053</c:v>
                </c:pt>
                <c:pt idx="535">
                  <c:v>42052</c:v>
                </c:pt>
                <c:pt idx="536">
                  <c:v>42048</c:v>
                </c:pt>
                <c:pt idx="537">
                  <c:v>42047</c:v>
                </c:pt>
                <c:pt idx="538">
                  <c:v>42046</c:v>
                </c:pt>
                <c:pt idx="539">
                  <c:v>42045</c:v>
                </c:pt>
                <c:pt idx="540">
                  <c:v>42044</c:v>
                </c:pt>
                <c:pt idx="541">
                  <c:v>42041</c:v>
                </c:pt>
                <c:pt idx="542">
                  <c:v>42040</c:v>
                </c:pt>
                <c:pt idx="543">
                  <c:v>42039</c:v>
                </c:pt>
                <c:pt idx="544">
                  <c:v>42038</c:v>
                </c:pt>
                <c:pt idx="545">
                  <c:v>42037</c:v>
                </c:pt>
                <c:pt idx="546">
                  <c:v>42034</c:v>
                </c:pt>
                <c:pt idx="547">
                  <c:v>42033</c:v>
                </c:pt>
                <c:pt idx="548">
                  <c:v>42032</c:v>
                </c:pt>
                <c:pt idx="549">
                  <c:v>42031</c:v>
                </c:pt>
                <c:pt idx="550">
                  <c:v>42030</c:v>
                </c:pt>
                <c:pt idx="551">
                  <c:v>42027</c:v>
                </c:pt>
                <c:pt idx="552">
                  <c:v>42026</c:v>
                </c:pt>
                <c:pt idx="553">
                  <c:v>42025</c:v>
                </c:pt>
                <c:pt idx="554">
                  <c:v>42024</c:v>
                </c:pt>
                <c:pt idx="555">
                  <c:v>42020</c:v>
                </c:pt>
                <c:pt idx="556">
                  <c:v>42019</c:v>
                </c:pt>
                <c:pt idx="557">
                  <c:v>42018</c:v>
                </c:pt>
                <c:pt idx="558">
                  <c:v>42017</c:v>
                </c:pt>
                <c:pt idx="559">
                  <c:v>42016</c:v>
                </c:pt>
                <c:pt idx="560">
                  <c:v>42013</c:v>
                </c:pt>
                <c:pt idx="561">
                  <c:v>42012</c:v>
                </c:pt>
                <c:pt idx="562">
                  <c:v>42011</c:v>
                </c:pt>
                <c:pt idx="563">
                  <c:v>42010</c:v>
                </c:pt>
                <c:pt idx="564">
                  <c:v>42009</c:v>
                </c:pt>
                <c:pt idx="565">
                  <c:v>42006</c:v>
                </c:pt>
                <c:pt idx="566">
                  <c:v>42004</c:v>
                </c:pt>
                <c:pt idx="567">
                  <c:v>42003</c:v>
                </c:pt>
                <c:pt idx="568">
                  <c:v>42002</c:v>
                </c:pt>
                <c:pt idx="569">
                  <c:v>41999</c:v>
                </c:pt>
                <c:pt idx="570">
                  <c:v>41997</c:v>
                </c:pt>
                <c:pt idx="571">
                  <c:v>41996</c:v>
                </c:pt>
                <c:pt idx="572">
                  <c:v>41995</c:v>
                </c:pt>
                <c:pt idx="573">
                  <c:v>41992</c:v>
                </c:pt>
                <c:pt idx="574">
                  <c:v>41991</c:v>
                </c:pt>
                <c:pt idx="575">
                  <c:v>41990</c:v>
                </c:pt>
                <c:pt idx="576">
                  <c:v>41989</c:v>
                </c:pt>
                <c:pt idx="577">
                  <c:v>41988</c:v>
                </c:pt>
                <c:pt idx="578">
                  <c:v>41985</c:v>
                </c:pt>
                <c:pt idx="579">
                  <c:v>41984</c:v>
                </c:pt>
                <c:pt idx="580">
                  <c:v>41983</c:v>
                </c:pt>
                <c:pt idx="581">
                  <c:v>41982</c:v>
                </c:pt>
                <c:pt idx="582">
                  <c:v>41981</c:v>
                </c:pt>
                <c:pt idx="583">
                  <c:v>41978</c:v>
                </c:pt>
                <c:pt idx="584">
                  <c:v>41977</c:v>
                </c:pt>
                <c:pt idx="585">
                  <c:v>41976</c:v>
                </c:pt>
                <c:pt idx="586">
                  <c:v>41975</c:v>
                </c:pt>
                <c:pt idx="587">
                  <c:v>41974</c:v>
                </c:pt>
                <c:pt idx="588">
                  <c:v>41971</c:v>
                </c:pt>
                <c:pt idx="589">
                  <c:v>41969</c:v>
                </c:pt>
                <c:pt idx="590">
                  <c:v>41968</c:v>
                </c:pt>
                <c:pt idx="591">
                  <c:v>41967</c:v>
                </c:pt>
                <c:pt idx="592">
                  <c:v>41964</c:v>
                </c:pt>
                <c:pt idx="593">
                  <c:v>41963</c:v>
                </c:pt>
                <c:pt idx="594">
                  <c:v>41962</c:v>
                </c:pt>
                <c:pt idx="595">
                  <c:v>41961</c:v>
                </c:pt>
                <c:pt idx="596">
                  <c:v>41960</c:v>
                </c:pt>
                <c:pt idx="597">
                  <c:v>41957</c:v>
                </c:pt>
                <c:pt idx="598">
                  <c:v>41956</c:v>
                </c:pt>
                <c:pt idx="599">
                  <c:v>41955</c:v>
                </c:pt>
                <c:pt idx="600">
                  <c:v>41954</c:v>
                </c:pt>
                <c:pt idx="601">
                  <c:v>41953</c:v>
                </c:pt>
                <c:pt idx="602">
                  <c:v>41950</c:v>
                </c:pt>
                <c:pt idx="603">
                  <c:v>41949</c:v>
                </c:pt>
                <c:pt idx="604">
                  <c:v>41948</c:v>
                </c:pt>
                <c:pt idx="605">
                  <c:v>41947</c:v>
                </c:pt>
                <c:pt idx="606">
                  <c:v>41946</c:v>
                </c:pt>
                <c:pt idx="607">
                  <c:v>41943</c:v>
                </c:pt>
                <c:pt idx="608">
                  <c:v>41942</c:v>
                </c:pt>
                <c:pt idx="609">
                  <c:v>41941</c:v>
                </c:pt>
                <c:pt idx="610">
                  <c:v>41940</c:v>
                </c:pt>
                <c:pt idx="611">
                  <c:v>41939</c:v>
                </c:pt>
                <c:pt idx="612">
                  <c:v>41936</c:v>
                </c:pt>
                <c:pt idx="613">
                  <c:v>41935</c:v>
                </c:pt>
                <c:pt idx="614">
                  <c:v>41934</c:v>
                </c:pt>
                <c:pt idx="615">
                  <c:v>41933</c:v>
                </c:pt>
                <c:pt idx="616">
                  <c:v>41932</c:v>
                </c:pt>
                <c:pt idx="617">
                  <c:v>41929</c:v>
                </c:pt>
                <c:pt idx="618">
                  <c:v>41928</c:v>
                </c:pt>
                <c:pt idx="619">
                  <c:v>41927</c:v>
                </c:pt>
                <c:pt idx="620">
                  <c:v>41926</c:v>
                </c:pt>
                <c:pt idx="621">
                  <c:v>41925</c:v>
                </c:pt>
                <c:pt idx="622">
                  <c:v>41922</c:v>
                </c:pt>
                <c:pt idx="623">
                  <c:v>41921</c:v>
                </c:pt>
                <c:pt idx="624">
                  <c:v>41920</c:v>
                </c:pt>
                <c:pt idx="625">
                  <c:v>41919</c:v>
                </c:pt>
                <c:pt idx="626">
                  <c:v>41918</c:v>
                </c:pt>
                <c:pt idx="627">
                  <c:v>41915</c:v>
                </c:pt>
                <c:pt idx="628">
                  <c:v>41914</c:v>
                </c:pt>
                <c:pt idx="629">
                  <c:v>41913</c:v>
                </c:pt>
                <c:pt idx="630">
                  <c:v>41912</c:v>
                </c:pt>
                <c:pt idx="631">
                  <c:v>41911</c:v>
                </c:pt>
                <c:pt idx="632">
                  <c:v>41908</c:v>
                </c:pt>
                <c:pt idx="633">
                  <c:v>41907</c:v>
                </c:pt>
                <c:pt idx="634">
                  <c:v>41906</c:v>
                </c:pt>
                <c:pt idx="635">
                  <c:v>41905</c:v>
                </c:pt>
                <c:pt idx="636">
                  <c:v>41904</c:v>
                </c:pt>
                <c:pt idx="637">
                  <c:v>41901</c:v>
                </c:pt>
                <c:pt idx="638">
                  <c:v>41900</c:v>
                </c:pt>
                <c:pt idx="639">
                  <c:v>41899</c:v>
                </c:pt>
                <c:pt idx="640">
                  <c:v>41898</c:v>
                </c:pt>
                <c:pt idx="641">
                  <c:v>41897</c:v>
                </c:pt>
                <c:pt idx="642">
                  <c:v>41894</c:v>
                </c:pt>
                <c:pt idx="643">
                  <c:v>41893</c:v>
                </c:pt>
                <c:pt idx="644">
                  <c:v>41892</c:v>
                </c:pt>
                <c:pt idx="645">
                  <c:v>41891</c:v>
                </c:pt>
                <c:pt idx="646">
                  <c:v>41890</c:v>
                </c:pt>
                <c:pt idx="647">
                  <c:v>41887</c:v>
                </c:pt>
                <c:pt idx="648">
                  <c:v>41886</c:v>
                </c:pt>
                <c:pt idx="649">
                  <c:v>41885</c:v>
                </c:pt>
                <c:pt idx="650">
                  <c:v>41884</c:v>
                </c:pt>
                <c:pt idx="651">
                  <c:v>41880</c:v>
                </c:pt>
                <c:pt idx="652">
                  <c:v>41879</c:v>
                </c:pt>
                <c:pt idx="653">
                  <c:v>41878</c:v>
                </c:pt>
                <c:pt idx="654">
                  <c:v>41877</c:v>
                </c:pt>
                <c:pt idx="655">
                  <c:v>41876</c:v>
                </c:pt>
                <c:pt idx="656">
                  <c:v>41873</c:v>
                </c:pt>
                <c:pt idx="657">
                  <c:v>41872</c:v>
                </c:pt>
                <c:pt idx="658">
                  <c:v>41871</c:v>
                </c:pt>
                <c:pt idx="659">
                  <c:v>41870</c:v>
                </c:pt>
                <c:pt idx="660">
                  <c:v>41869</c:v>
                </c:pt>
                <c:pt idx="661">
                  <c:v>41866</c:v>
                </c:pt>
                <c:pt idx="662">
                  <c:v>41865</c:v>
                </c:pt>
                <c:pt idx="663">
                  <c:v>41864</c:v>
                </c:pt>
                <c:pt idx="664">
                  <c:v>41863</c:v>
                </c:pt>
                <c:pt idx="665">
                  <c:v>41862</c:v>
                </c:pt>
                <c:pt idx="666">
                  <c:v>41859</c:v>
                </c:pt>
                <c:pt idx="667">
                  <c:v>41858</c:v>
                </c:pt>
                <c:pt idx="668">
                  <c:v>41857</c:v>
                </c:pt>
                <c:pt idx="669">
                  <c:v>41856</c:v>
                </c:pt>
                <c:pt idx="670">
                  <c:v>41855</c:v>
                </c:pt>
                <c:pt idx="671">
                  <c:v>41852</c:v>
                </c:pt>
                <c:pt idx="672">
                  <c:v>41851</c:v>
                </c:pt>
                <c:pt idx="673">
                  <c:v>41850</c:v>
                </c:pt>
                <c:pt idx="674">
                  <c:v>41849</c:v>
                </c:pt>
                <c:pt idx="675">
                  <c:v>41848</c:v>
                </c:pt>
                <c:pt idx="676">
                  <c:v>41845</c:v>
                </c:pt>
                <c:pt idx="677">
                  <c:v>41844</c:v>
                </c:pt>
                <c:pt idx="678">
                  <c:v>41843</c:v>
                </c:pt>
                <c:pt idx="679">
                  <c:v>41842</c:v>
                </c:pt>
                <c:pt idx="680">
                  <c:v>41841</c:v>
                </c:pt>
                <c:pt idx="681">
                  <c:v>41838</c:v>
                </c:pt>
                <c:pt idx="682">
                  <c:v>41837</c:v>
                </c:pt>
                <c:pt idx="683">
                  <c:v>41836</c:v>
                </c:pt>
                <c:pt idx="684">
                  <c:v>41835</c:v>
                </c:pt>
                <c:pt idx="685">
                  <c:v>41834</c:v>
                </c:pt>
                <c:pt idx="686">
                  <c:v>41831</c:v>
                </c:pt>
                <c:pt idx="687">
                  <c:v>41830</c:v>
                </c:pt>
                <c:pt idx="688">
                  <c:v>41829</c:v>
                </c:pt>
                <c:pt idx="689">
                  <c:v>41828</c:v>
                </c:pt>
                <c:pt idx="690">
                  <c:v>41827</c:v>
                </c:pt>
                <c:pt idx="691">
                  <c:v>41823</c:v>
                </c:pt>
                <c:pt idx="692">
                  <c:v>41822</c:v>
                </c:pt>
                <c:pt idx="693">
                  <c:v>41821</c:v>
                </c:pt>
                <c:pt idx="694">
                  <c:v>41820</c:v>
                </c:pt>
                <c:pt idx="695">
                  <c:v>41817</c:v>
                </c:pt>
                <c:pt idx="696">
                  <c:v>41816</c:v>
                </c:pt>
                <c:pt idx="697">
                  <c:v>41815</c:v>
                </c:pt>
                <c:pt idx="698">
                  <c:v>41814</c:v>
                </c:pt>
                <c:pt idx="699">
                  <c:v>41813</c:v>
                </c:pt>
                <c:pt idx="700">
                  <c:v>41810</c:v>
                </c:pt>
                <c:pt idx="701">
                  <c:v>41809</c:v>
                </c:pt>
                <c:pt idx="702">
                  <c:v>41808</c:v>
                </c:pt>
                <c:pt idx="703">
                  <c:v>41807</c:v>
                </c:pt>
                <c:pt idx="704">
                  <c:v>41806</c:v>
                </c:pt>
                <c:pt idx="705">
                  <c:v>41803</c:v>
                </c:pt>
                <c:pt idx="706">
                  <c:v>41802</c:v>
                </c:pt>
                <c:pt idx="707">
                  <c:v>41801</c:v>
                </c:pt>
                <c:pt idx="708">
                  <c:v>41800</c:v>
                </c:pt>
                <c:pt idx="709">
                  <c:v>41799</c:v>
                </c:pt>
                <c:pt idx="710">
                  <c:v>41796</c:v>
                </c:pt>
                <c:pt idx="711">
                  <c:v>41795</c:v>
                </c:pt>
                <c:pt idx="712">
                  <c:v>41794</c:v>
                </c:pt>
                <c:pt idx="713">
                  <c:v>41793</c:v>
                </c:pt>
                <c:pt idx="714">
                  <c:v>41792</c:v>
                </c:pt>
                <c:pt idx="715">
                  <c:v>41789</c:v>
                </c:pt>
                <c:pt idx="716">
                  <c:v>41788</c:v>
                </c:pt>
                <c:pt idx="717">
                  <c:v>41787</c:v>
                </c:pt>
                <c:pt idx="718">
                  <c:v>41786</c:v>
                </c:pt>
                <c:pt idx="719">
                  <c:v>41782</c:v>
                </c:pt>
                <c:pt idx="720">
                  <c:v>41781</c:v>
                </c:pt>
                <c:pt idx="721">
                  <c:v>41780</c:v>
                </c:pt>
                <c:pt idx="722">
                  <c:v>41779</c:v>
                </c:pt>
                <c:pt idx="723">
                  <c:v>41778</c:v>
                </c:pt>
                <c:pt idx="724">
                  <c:v>41775</c:v>
                </c:pt>
                <c:pt idx="725">
                  <c:v>41774</c:v>
                </c:pt>
                <c:pt idx="726">
                  <c:v>41773</c:v>
                </c:pt>
                <c:pt idx="727">
                  <c:v>41772</c:v>
                </c:pt>
                <c:pt idx="728">
                  <c:v>41771</c:v>
                </c:pt>
                <c:pt idx="729">
                  <c:v>41768</c:v>
                </c:pt>
                <c:pt idx="730">
                  <c:v>41767</c:v>
                </c:pt>
                <c:pt idx="731">
                  <c:v>41766</c:v>
                </c:pt>
                <c:pt idx="732">
                  <c:v>41765</c:v>
                </c:pt>
                <c:pt idx="733">
                  <c:v>41764</c:v>
                </c:pt>
                <c:pt idx="734">
                  <c:v>41761</c:v>
                </c:pt>
                <c:pt idx="735">
                  <c:v>41760</c:v>
                </c:pt>
                <c:pt idx="736">
                  <c:v>41759</c:v>
                </c:pt>
                <c:pt idx="737">
                  <c:v>41758</c:v>
                </c:pt>
                <c:pt idx="738">
                  <c:v>41757</c:v>
                </c:pt>
                <c:pt idx="739">
                  <c:v>41754</c:v>
                </c:pt>
                <c:pt idx="740">
                  <c:v>41753</c:v>
                </c:pt>
                <c:pt idx="741">
                  <c:v>41752</c:v>
                </c:pt>
                <c:pt idx="742">
                  <c:v>41751</c:v>
                </c:pt>
                <c:pt idx="743">
                  <c:v>41750</c:v>
                </c:pt>
                <c:pt idx="744">
                  <c:v>41746</c:v>
                </c:pt>
                <c:pt idx="745">
                  <c:v>41745</c:v>
                </c:pt>
                <c:pt idx="746">
                  <c:v>41744</c:v>
                </c:pt>
                <c:pt idx="747">
                  <c:v>41743</c:v>
                </c:pt>
                <c:pt idx="748">
                  <c:v>41740</c:v>
                </c:pt>
                <c:pt idx="749">
                  <c:v>41739</c:v>
                </c:pt>
                <c:pt idx="750">
                  <c:v>41738</c:v>
                </c:pt>
                <c:pt idx="751">
                  <c:v>41737</c:v>
                </c:pt>
                <c:pt idx="752">
                  <c:v>41736</c:v>
                </c:pt>
                <c:pt idx="753">
                  <c:v>41733</c:v>
                </c:pt>
                <c:pt idx="754">
                  <c:v>41732</c:v>
                </c:pt>
                <c:pt idx="755">
                  <c:v>41731</c:v>
                </c:pt>
                <c:pt idx="756">
                  <c:v>41730</c:v>
                </c:pt>
                <c:pt idx="757">
                  <c:v>41729</c:v>
                </c:pt>
              </c:numCache>
            </c:numRef>
          </c:xVal>
          <c:yVal>
            <c:numRef>
              <c:f>Exhibits!$FT$113:$FT$870</c:f>
              <c:numCache>
                <c:formatCode>"$"#,##0.00</c:formatCode>
                <c:ptCount val="758"/>
                <c:pt idx="61">
                  <c:v>249.83333333333334</c:v>
                </c:pt>
                <c:pt idx="124">
                  <c:v>231.5</c:v>
                </c:pt>
                <c:pt idx="188">
                  <c:v>248.33333333333334</c:v>
                </c:pt>
                <c:pt idx="252">
                  <c:v>227</c:v>
                </c:pt>
                <c:pt idx="313">
                  <c:v>225.5</c:v>
                </c:pt>
                <c:pt idx="377">
                  <c:v>214</c:v>
                </c:pt>
                <c:pt idx="441">
                  <c:v>212.5</c:v>
                </c:pt>
                <c:pt idx="504">
                  <c:v>205.83333333333334</c:v>
                </c:pt>
                <c:pt idx="565">
                  <c:v>178.75</c:v>
                </c:pt>
                <c:pt idx="629">
                  <c:v>154</c:v>
                </c:pt>
                <c:pt idx="693">
                  <c:v>167</c:v>
                </c:pt>
                <c:pt idx="756">
                  <c:v>186</c:v>
                </c:pt>
              </c:numCache>
            </c:numRef>
          </c:yVal>
          <c:smooth val="0"/>
          <c:extLst>
            <c:ext xmlns:c16="http://schemas.microsoft.com/office/drawing/2014/chart" uri="{C3380CC4-5D6E-409C-BE32-E72D297353CC}">
              <c16:uniqueId val="{0000000D-7358-48C5-BD2F-EEB1249E300C}"/>
            </c:ext>
          </c:extLst>
        </c:ser>
        <c:dLbls>
          <c:showLegendKey val="0"/>
          <c:showVal val="0"/>
          <c:showCatName val="0"/>
          <c:showSerName val="0"/>
          <c:showPercent val="0"/>
          <c:showBubbleSize val="0"/>
        </c:dLbls>
        <c:axId val="530230320"/>
        <c:axId val="530230976"/>
      </c:scatterChart>
      <c:dateAx>
        <c:axId val="530230320"/>
        <c:scaling>
          <c:orientation val="minMax"/>
          <c:min val="41729"/>
        </c:scaling>
        <c:delete val="0"/>
        <c:axPos val="b"/>
        <c:numFmt formatCode="m/d/yyyy" sourceLinked="1"/>
        <c:majorTickMark val="cross"/>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30976"/>
        <c:crosses val="autoZero"/>
        <c:auto val="1"/>
        <c:lblOffset val="100"/>
        <c:baseTimeUnit val="days"/>
        <c:majorUnit val="12"/>
        <c:majorTimeUnit val="months"/>
        <c:minorUnit val="4"/>
        <c:minorTimeUnit val="months"/>
      </c:dateAx>
      <c:valAx>
        <c:axId val="530230976"/>
        <c:scaling>
          <c:orientation val="minMax"/>
          <c:min val="12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30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Exhibits!$DH$7</c:f>
              <c:strCache>
                <c:ptCount val="1"/>
                <c:pt idx="0">
                  <c:v>First-lien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Exhibits!$DI$6:$DS$6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Exhibits!$DI$7:$DS$7</c:f>
              <c:numCache>
                <c:formatCode>#,##0.0\x</c:formatCode>
                <c:ptCount val="11"/>
                <c:pt idx="0">
                  <c:v>4.1934532589289795</c:v>
                </c:pt>
                <c:pt idx="1">
                  <c:v>3.7147835690176323</c:v>
                </c:pt>
                <c:pt idx="2">
                  <c:v>5.1900500420711966</c:v>
                </c:pt>
                <c:pt idx="3">
                  <c:v>2.4799357222156795</c:v>
                </c:pt>
                <c:pt idx="4">
                  <c:v>3.5061977835833562</c:v>
                </c:pt>
                <c:pt idx="5">
                  <c:v>3.5762557564327162</c:v>
                </c:pt>
                <c:pt idx="6">
                  <c:v>2.9886396650791038</c:v>
                </c:pt>
                <c:pt idx="7">
                  <c:v>4.3180513700780283</c:v>
                </c:pt>
                <c:pt idx="8">
                  <c:v>5.2227326372017471</c:v>
                </c:pt>
                <c:pt idx="9">
                  <c:v>4.2785049864374995</c:v>
                </c:pt>
                <c:pt idx="10">
                  <c:v>4.21130029755831</c:v>
                </c:pt>
              </c:numCache>
            </c:numRef>
          </c:val>
          <c:extLst>
            <c:ext xmlns:c16="http://schemas.microsoft.com/office/drawing/2014/chart" uri="{C3380CC4-5D6E-409C-BE32-E72D297353CC}">
              <c16:uniqueId val="{00000000-57AD-40F8-A58C-E05A536FACE9}"/>
            </c:ext>
          </c:extLst>
        </c:ser>
        <c:ser>
          <c:idx val="1"/>
          <c:order val="1"/>
          <c:tx>
            <c:strRef>
              <c:f>Exhibits!$DH$8</c:f>
              <c:strCache>
                <c:ptCount val="1"/>
                <c:pt idx="0">
                  <c:v>Second-lien</c:v>
                </c:pt>
              </c:strCache>
            </c:strRef>
          </c:tx>
          <c:spPr>
            <a:solidFill>
              <a:schemeClr val="accent2"/>
            </a:solidFill>
            <a:ln>
              <a:noFill/>
            </a:ln>
            <a:effectLst/>
          </c:spPr>
          <c:invertIfNegative val="0"/>
          <c:dLbls>
            <c:dLbl>
              <c:idx val="3"/>
              <c:layout>
                <c:manualLayout>
                  <c:x val="-3.917858365409151E-17"/>
                  <c:y val="7.23986646721886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097-4BEF-A53C-AB4C9EECD79F}"/>
                </c:ext>
              </c:extLst>
            </c:dLbl>
            <c:dLbl>
              <c:idx val="8"/>
              <c:layout>
                <c:manualLayout>
                  <c:x val="0"/>
                  <c:y val="2.17195994016563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097-4BEF-A53C-AB4C9EECD7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Exhibits!$DI$6:$DS$6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Exhibits!$DI$8:$DS$8</c:f>
              <c:numCache>
                <c:formatCode>#,##0.0\x</c:formatCode>
                <c:ptCount val="11"/>
                <c:pt idx="0">
                  <c:v>0.76406139887265312</c:v>
                </c:pt>
                <c:pt idx="1">
                  <c:v>0.68845409773299748</c:v>
                </c:pt>
                <c:pt idx="2">
                  <c:v>0.26553744401294499</c:v>
                </c:pt>
                <c:pt idx="3">
                  <c:v>0.14587857189504</c:v>
                </c:pt>
                <c:pt idx="4">
                  <c:v>6.2610674706845643E-2</c:v>
                </c:pt>
                <c:pt idx="5">
                  <c:v>0.24713962544453727</c:v>
                </c:pt>
                <c:pt idx="6">
                  <c:v>0.60785891493134325</c:v>
                </c:pt>
                <c:pt idx="7">
                  <c:v>0.89747734358484499</c:v>
                </c:pt>
                <c:pt idx="8">
                  <c:v>1.514398311158871</c:v>
                </c:pt>
                <c:pt idx="9">
                  <c:v>0.98247151540416655</c:v>
                </c:pt>
                <c:pt idx="10">
                  <c:v>0.90464969354956271</c:v>
                </c:pt>
              </c:numCache>
            </c:numRef>
          </c:val>
          <c:extLst>
            <c:ext xmlns:c16="http://schemas.microsoft.com/office/drawing/2014/chart" uri="{C3380CC4-5D6E-409C-BE32-E72D297353CC}">
              <c16:uniqueId val="{00000001-57AD-40F8-A58C-E05A536FACE9}"/>
            </c:ext>
          </c:extLst>
        </c:ser>
        <c:ser>
          <c:idx val="2"/>
          <c:order val="2"/>
          <c:tx>
            <c:strRef>
              <c:f>Exhibits!$DH$9</c:f>
              <c:strCache>
                <c:ptCount val="1"/>
                <c:pt idx="0">
                  <c:v>Other Senior Debt</c:v>
                </c:pt>
              </c:strCache>
            </c:strRef>
          </c:tx>
          <c:spPr>
            <a:solidFill>
              <a:schemeClr val="accent3"/>
            </a:solidFill>
            <a:ln>
              <a:noFill/>
            </a:ln>
            <a:effectLst/>
          </c:spPr>
          <c:invertIfNegative val="0"/>
          <c:dLbls>
            <c:dLbl>
              <c:idx val="2"/>
              <c:layout>
                <c:manualLayout>
                  <c:x val="0"/>
                  <c:y val="7.2400089842752048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5497546276134969E-2"/>
                      <c:h val="5.7864775256302667E-2"/>
                    </c:manualLayout>
                  </c15:layout>
                </c:ext>
                <c:ext xmlns:c16="http://schemas.microsoft.com/office/drawing/2014/chart" uri="{C3380CC4-5D6E-409C-BE32-E72D297353CC}">
                  <c16:uniqueId val="{00000005-3097-4BEF-A53C-AB4C9EECD7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Exhibits!$DI$6:$DS$6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Exhibits!$DI$9:$DS$9</c:f>
              <c:numCache>
                <c:formatCode>#,##0.0\x</c:formatCode>
                <c:ptCount val="11"/>
                <c:pt idx="0">
                  <c:v>0.31983965534204084</c:v>
                </c:pt>
                <c:pt idx="1">
                  <c:v>0.58805454181360206</c:v>
                </c:pt>
                <c:pt idx="2">
                  <c:v>0.91731117022653719</c:v>
                </c:pt>
                <c:pt idx="3">
                  <c:v>0.19450476252672</c:v>
                </c:pt>
                <c:pt idx="4">
                  <c:v>0.7513280964821476</c:v>
                </c:pt>
                <c:pt idx="5">
                  <c:v>0.85771987654280579</c:v>
                </c:pt>
                <c:pt idx="6">
                  <c:v>0.51921282317052231</c:v>
                </c:pt>
                <c:pt idx="7">
                  <c:v>0.49107250875397185</c:v>
                </c:pt>
                <c:pt idx="8">
                  <c:v>0.48538407408938167</c:v>
                </c:pt>
                <c:pt idx="9">
                  <c:v>0.44369681340833328</c:v>
                </c:pt>
                <c:pt idx="10">
                  <c:v>0.23396112764212829</c:v>
                </c:pt>
              </c:numCache>
            </c:numRef>
          </c:val>
          <c:extLst>
            <c:ext xmlns:c16="http://schemas.microsoft.com/office/drawing/2014/chart" uri="{C3380CC4-5D6E-409C-BE32-E72D297353CC}">
              <c16:uniqueId val="{00000002-57AD-40F8-A58C-E05A536FACE9}"/>
            </c:ext>
          </c:extLst>
        </c:ser>
        <c:ser>
          <c:idx val="3"/>
          <c:order val="3"/>
          <c:tx>
            <c:strRef>
              <c:f>Exhibits!$DH$10</c:f>
              <c:strCache>
                <c:ptCount val="1"/>
                <c:pt idx="0">
                  <c:v>Subordinated Debt</c:v>
                </c:pt>
              </c:strCache>
            </c:strRef>
          </c:tx>
          <c:spPr>
            <a:solidFill>
              <a:schemeClr val="accent4"/>
            </a:solidFill>
            <a:ln>
              <a:noFill/>
            </a:ln>
            <a:effectLst/>
          </c:spPr>
          <c:invertIfNegative val="0"/>
          <c:dLbls>
            <c:dLbl>
              <c:idx val="3"/>
              <c:layout>
                <c:manualLayout>
                  <c:x val="-3.917858365409151E-17"/>
                  <c:y val="-7.239866467218862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097-4BEF-A53C-AB4C9EECD79F}"/>
                </c:ext>
              </c:extLst>
            </c:dLbl>
            <c:dLbl>
              <c:idx val="8"/>
              <c:delete val="1"/>
              <c:extLst>
                <c:ext xmlns:c15="http://schemas.microsoft.com/office/drawing/2012/chart" uri="{CE6537A1-D6FC-4f65-9D91-7224C49458BB}"/>
                <c:ext xmlns:c16="http://schemas.microsoft.com/office/drawing/2014/chart" uri="{C3380CC4-5D6E-409C-BE32-E72D297353CC}">
                  <c16:uniqueId val="{00000003-57AD-40F8-A58C-E05A536FACE9}"/>
                </c:ext>
              </c:extLst>
            </c:dLbl>
            <c:dLbl>
              <c:idx val="9"/>
              <c:delete val="1"/>
              <c:extLst>
                <c:ext xmlns:c15="http://schemas.microsoft.com/office/drawing/2012/chart" uri="{CE6537A1-D6FC-4f65-9D91-7224C49458BB}"/>
                <c:ext xmlns:c16="http://schemas.microsoft.com/office/drawing/2014/chart" uri="{C3380CC4-5D6E-409C-BE32-E72D297353CC}">
                  <c16:uniqueId val="{00000004-57AD-40F8-A58C-E05A536FACE9}"/>
                </c:ext>
              </c:extLst>
            </c:dLbl>
            <c:dLbl>
              <c:idx val="10"/>
              <c:delete val="1"/>
              <c:extLst>
                <c:ext xmlns:c15="http://schemas.microsoft.com/office/drawing/2012/chart" uri="{CE6537A1-D6FC-4f65-9D91-7224C49458BB}"/>
                <c:ext xmlns:c16="http://schemas.microsoft.com/office/drawing/2014/chart" uri="{C3380CC4-5D6E-409C-BE32-E72D297353CC}">
                  <c16:uniqueId val="{00000005-57AD-40F8-A58C-E05A536FAC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Exhibits!$DI$6:$DS$6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Exhibits!$DI$10:$DS$10</c:f>
              <c:numCache>
                <c:formatCode>#,##0.0\x</c:formatCode>
                <c:ptCount val="11"/>
                <c:pt idx="0">
                  <c:v>0.81736800809632648</c:v>
                </c:pt>
                <c:pt idx="1">
                  <c:v>0.70279689143576829</c:v>
                </c:pt>
                <c:pt idx="2">
                  <c:v>1.0862895436893203</c:v>
                </c:pt>
                <c:pt idx="3">
                  <c:v>0.21881785784255997</c:v>
                </c:pt>
                <c:pt idx="4">
                  <c:v>0.34435871088765102</c:v>
                </c:pt>
                <c:pt idx="5">
                  <c:v>0.18898912533994025</c:v>
                </c:pt>
                <c:pt idx="6">
                  <c:v>0.12663727394402982</c:v>
                </c:pt>
                <c:pt idx="7">
                  <c:v>0.30480362612315492</c:v>
                </c:pt>
                <c:pt idx="8">
                  <c:v>0</c:v>
                </c:pt>
                <c:pt idx="9">
                  <c:v>0</c:v>
                </c:pt>
                <c:pt idx="10">
                  <c:v>0</c:v>
                </c:pt>
              </c:numCache>
            </c:numRef>
          </c:val>
          <c:extLst>
            <c:ext xmlns:c16="http://schemas.microsoft.com/office/drawing/2014/chart" uri="{C3380CC4-5D6E-409C-BE32-E72D297353CC}">
              <c16:uniqueId val="{00000006-57AD-40F8-A58C-E05A536FACE9}"/>
            </c:ext>
          </c:extLst>
        </c:ser>
        <c:dLbls>
          <c:showLegendKey val="0"/>
          <c:showVal val="0"/>
          <c:showCatName val="0"/>
          <c:showSerName val="0"/>
          <c:showPercent val="0"/>
          <c:showBubbleSize val="0"/>
        </c:dLbls>
        <c:gapWidth val="75"/>
        <c:overlap val="100"/>
        <c:axId val="658108432"/>
        <c:axId val="669180608"/>
      </c:barChart>
      <c:lineChart>
        <c:grouping val="standard"/>
        <c:varyColors val="0"/>
        <c:ser>
          <c:idx val="5"/>
          <c:order val="4"/>
          <c:tx>
            <c:strRef>
              <c:f>Exhibits!$DH$12</c:f>
              <c:strCache>
                <c:ptCount val="1"/>
                <c:pt idx="0">
                  <c:v>Typical Debt Ceiling</c:v>
                </c:pt>
              </c:strCache>
            </c:strRef>
          </c:tx>
          <c:spPr>
            <a:ln w="22225" cap="rnd">
              <a:solidFill>
                <a:schemeClr val="tx1">
                  <a:alpha val="50000"/>
                </a:schemeClr>
              </a:solidFill>
              <a:prstDash val="lgDash"/>
              <a:round/>
            </a:ln>
            <a:effectLst/>
          </c:spPr>
          <c:marker>
            <c:symbol val="none"/>
          </c:marker>
          <c:cat>
            <c:numRef>
              <c:f>Exhibits!$DI$6:$DS$6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Exhibits!$DI$12:$DS$12</c:f>
              <c:numCache>
                <c:formatCode>#,##0.0\x</c:formatCode>
                <c:ptCount val="11"/>
                <c:pt idx="0">
                  <c:v>6</c:v>
                </c:pt>
                <c:pt idx="1">
                  <c:v>6</c:v>
                </c:pt>
                <c:pt idx="2">
                  <c:v>6</c:v>
                </c:pt>
                <c:pt idx="3">
                  <c:v>6</c:v>
                </c:pt>
                <c:pt idx="4">
                  <c:v>6</c:v>
                </c:pt>
                <c:pt idx="5">
                  <c:v>6</c:v>
                </c:pt>
                <c:pt idx="6">
                  <c:v>6</c:v>
                </c:pt>
                <c:pt idx="7">
                  <c:v>6</c:v>
                </c:pt>
                <c:pt idx="8">
                  <c:v>6</c:v>
                </c:pt>
                <c:pt idx="9">
                  <c:v>6</c:v>
                </c:pt>
                <c:pt idx="10">
                  <c:v>6</c:v>
                </c:pt>
              </c:numCache>
            </c:numRef>
          </c:val>
          <c:smooth val="0"/>
          <c:extLst>
            <c:ext xmlns:c16="http://schemas.microsoft.com/office/drawing/2014/chart" uri="{C3380CC4-5D6E-409C-BE32-E72D297353CC}">
              <c16:uniqueId val="{00000004-3097-4BEF-A53C-AB4C9EECD79F}"/>
            </c:ext>
          </c:extLst>
        </c:ser>
        <c:ser>
          <c:idx val="4"/>
          <c:order val="5"/>
          <c:tx>
            <c:strRef>
              <c:f>Exhibits!$DH$11</c:f>
              <c:strCache>
                <c:ptCount val="1"/>
                <c:pt idx="0">
                  <c:v>Total</c:v>
                </c:pt>
              </c:strCache>
            </c:strRef>
          </c:tx>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Exhibits!$DI$6:$DS$6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Exhibits!$DI$11:$DS$11</c:f>
              <c:numCache>
                <c:formatCode>#,##0.0\x</c:formatCode>
                <c:ptCount val="11"/>
                <c:pt idx="0">
                  <c:v>6.0947223212399999</c:v>
                </c:pt>
                <c:pt idx="1">
                  <c:v>5.6940891000000002</c:v>
                </c:pt>
                <c:pt idx="2">
                  <c:v>7.4591881999999998</c:v>
                </c:pt>
                <c:pt idx="3">
                  <c:v>3.0391369144799998</c:v>
                </c:pt>
                <c:pt idx="4">
                  <c:v>4.6644952656600003</c:v>
                </c:pt>
                <c:pt idx="5">
                  <c:v>4.8701043837599993</c:v>
                </c:pt>
                <c:pt idx="6">
                  <c:v>4.2423486771249994</c:v>
                </c:pt>
                <c:pt idx="7">
                  <c:v>6.0114048485399998</c:v>
                </c:pt>
                <c:pt idx="8">
                  <c:v>7.2225150224499997</c:v>
                </c:pt>
                <c:pt idx="9">
                  <c:v>5.7046733152499991</c:v>
                </c:pt>
                <c:pt idx="10">
                  <c:v>5.3499111187500006</c:v>
                </c:pt>
              </c:numCache>
            </c:numRef>
          </c:val>
          <c:smooth val="0"/>
          <c:extLst>
            <c:ext xmlns:c16="http://schemas.microsoft.com/office/drawing/2014/chart" uri="{C3380CC4-5D6E-409C-BE32-E72D297353CC}">
              <c16:uniqueId val="{00000007-57AD-40F8-A58C-E05A536FACE9}"/>
            </c:ext>
          </c:extLst>
        </c:ser>
        <c:dLbls>
          <c:showLegendKey val="0"/>
          <c:showVal val="0"/>
          <c:showCatName val="0"/>
          <c:showSerName val="0"/>
          <c:showPercent val="0"/>
          <c:showBubbleSize val="0"/>
        </c:dLbls>
        <c:marker val="1"/>
        <c:smooth val="0"/>
        <c:axId val="658108432"/>
        <c:axId val="669180608"/>
      </c:lineChart>
      <c:catAx>
        <c:axId val="65810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180608"/>
        <c:crosses val="autoZero"/>
        <c:auto val="1"/>
        <c:lblAlgn val="ctr"/>
        <c:lblOffset val="100"/>
        <c:noMultiLvlLbl val="0"/>
      </c:catAx>
      <c:valAx>
        <c:axId val="669180608"/>
        <c:scaling>
          <c:orientation val="minMax"/>
          <c:max val="8"/>
        </c:scaling>
        <c:delete val="0"/>
        <c:axPos val="l"/>
        <c:numFmt formatCode="#,##0.0\x" sourceLinked="1"/>
        <c:majorTickMark val="none"/>
        <c:minorTickMark val="none"/>
        <c:tickLblPos val="nextTo"/>
        <c:spPr>
          <a:noFill/>
          <a:ln>
            <a:solidFill>
              <a:schemeClr val="bg2">
                <a:lumMod val="9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108432"/>
        <c:crosses val="autoZero"/>
        <c:crossBetween val="between"/>
      </c:valAx>
      <c:spPr>
        <a:noFill/>
        <a:ln>
          <a:noFill/>
        </a:ln>
        <a:effectLst/>
      </c:spPr>
    </c:plotArea>
    <c:legend>
      <c:legendPos val="b"/>
      <c:legendEntry>
        <c:idx val="5"/>
        <c:txPr>
          <a:bodyPr rot="0" spcFirstLastPara="1" vertOverflow="ellipsis" vert="horz" wrap="square" anchor="ctr" anchorCtr="1"/>
          <a:lstStyle/>
          <a:p>
            <a:pPr>
              <a:defRPr sz="900" b="0" i="0" u="none" strike="noStrike" kern="1200" baseline="0">
                <a:no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Exhibits!$BR$8</c:f>
              <c:strCache>
                <c:ptCount val="1"/>
                <c:pt idx="0">
                  <c:v>Debt/EBITDA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Exhibits!$BS$6:$CD$6</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Exhibits!$BS$8:$CD$8</c:f>
              <c:numCache>
                <c:formatCode>#,##0.0\x</c:formatCode>
                <c:ptCount val="12"/>
                <c:pt idx="0">
                  <c:v>6.0947223212399999</c:v>
                </c:pt>
                <c:pt idx="1">
                  <c:v>5.6940891000000002</c:v>
                </c:pt>
                <c:pt idx="2">
                  <c:v>7.4591881999999998</c:v>
                </c:pt>
                <c:pt idx="3">
                  <c:v>3.0391369144799998</c:v>
                </c:pt>
                <c:pt idx="4">
                  <c:v>4.6644952656600003</c:v>
                </c:pt>
                <c:pt idx="5">
                  <c:v>4.8701043837599993</c:v>
                </c:pt>
                <c:pt idx="6">
                  <c:v>4.2423486771249994</c:v>
                </c:pt>
                <c:pt idx="7">
                  <c:v>6.0114048485399998</c:v>
                </c:pt>
                <c:pt idx="8">
                  <c:v>7.2225150224499997</c:v>
                </c:pt>
                <c:pt idx="9">
                  <c:v>5.7046733152499991</c:v>
                </c:pt>
                <c:pt idx="10">
                  <c:v>5.3499111187500006</c:v>
                </c:pt>
                <c:pt idx="11">
                  <c:v>6.2466301170000005</c:v>
                </c:pt>
              </c:numCache>
            </c:numRef>
          </c:val>
          <c:extLst>
            <c:ext xmlns:c16="http://schemas.microsoft.com/office/drawing/2014/chart" uri="{C3380CC4-5D6E-409C-BE32-E72D297353CC}">
              <c16:uniqueId val="{00000001-179D-40DA-AB54-37D773F4C7BA}"/>
            </c:ext>
          </c:extLst>
        </c:ser>
        <c:ser>
          <c:idx val="2"/>
          <c:order val="1"/>
          <c:tx>
            <c:strRef>
              <c:f>Exhibits!$BR$9</c:f>
              <c:strCache>
                <c:ptCount val="1"/>
                <c:pt idx="0">
                  <c:v>Equity/EBITDA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Exhibits!$BS$6:$CD$6</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Exhibits!$BS$9:$CD$9</c:f>
              <c:numCache>
                <c:formatCode>#,##0.0\x</c:formatCode>
                <c:ptCount val="12"/>
                <c:pt idx="0">
                  <c:v>3.8880176787599998</c:v>
                </c:pt>
                <c:pt idx="1">
                  <c:v>4.6400108999999992</c:v>
                </c:pt>
                <c:pt idx="2">
                  <c:v>5.1158117999999995</c:v>
                </c:pt>
                <c:pt idx="3">
                  <c:v>3.9413830855200005</c:v>
                </c:pt>
                <c:pt idx="4">
                  <c:v>3.5085847343400003</c:v>
                </c:pt>
                <c:pt idx="5">
                  <c:v>4.2645156162400006</c:v>
                </c:pt>
                <c:pt idx="6">
                  <c:v>4.162086322875</c:v>
                </c:pt>
                <c:pt idx="7">
                  <c:v>3.9568151514600007</c:v>
                </c:pt>
                <c:pt idx="8">
                  <c:v>5.1951349775500004</c:v>
                </c:pt>
                <c:pt idx="9">
                  <c:v>4.6894766847500007</c:v>
                </c:pt>
                <c:pt idx="10">
                  <c:v>5.4525888812499996</c:v>
                </c:pt>
                <c:pt idx="11">
                  <c:v>5.8745698829999995</c:v>
                </c:pt>
              </c:numCache>
            </c:numRef>
          </c:val>
          <c:extLst>
            <c:ext xmlns:c16="http://schemas.microsoft.com/office/drawing/2014/chart" uri="{C3380CC4-5D6E-409C-BE32-E72D297353CC}">
              <c16:uniqueId val="{00000000-FB58-4F85-9A09-69F002044AC5}"/>
            </c:ext>
          </c:extLst>
        </c:ser>
        <c:dLbls>
          <c:showLegendKey val="0"/>
          <c:showVal val="0"/>
          <c:showCatName val="0"/>
          <c:showSerName val="0"/>
          <c:showPercent val="0"/>
          <c:showBubbleSize val="0"/>
        </c:dLbls>
        <c:gapWidth val="50"/>
        <c:overlap val="100"/>
        <c:axId val="296380096"/>
        <c:axId val="296381776"/>
      </c:barChart>
      <c:lineChart>
        <c:grouping val="standard"/>
        <c:varyColors val="0"/>
        <c:ser>
          <c:idx val="0"/>
          <c:order val="2"/>
          <c:tx>
            <c:strRef>
              <c:f>Exhibits!$BR$7</c:f>
              <c:strCache>
                <c:ptCount val="1"/>
                <c:pt idx="0">
                  <c:v>EV/EBITDA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Exhibits!$BS$6:$CD$6</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Exhibits!$BS$7:$CD$7</c:f>
              <c:numCache>
                <c:formatCode>#,##0.0\x</c:formatCode>
                <c:ptCount val="12"/>
                <c:pt idx="0">
                  <c:v>9.9827399999999997</c:v>
                </c:pt>
                <c:pt idx="1">
                  <c:v>10.334099999999999</c:v>
                </c:pt>
                <c:pt idx="2">
                  <c:v>12.574999999999999</c:v>
                </c:pt>
                <c:pt idx="3">
                  <c:v>6.9805200000000003</c:v>
                </c:pt>
                <c:pt idx="4">
                  <c:v>8.1730800000000006</c:v>
                </c:pt>
                <c:pt idx="5">
                  <c:v>9.13462</c:v>
                </c:pt>
                <c:pt idx="6">
                  <c:v>8.4044349999999994</c:v>
                </c:pt>
                <c:pt idx="7">
                  <c:v>9.9682200000000005</c:v>
                </c:pt>
                <c:pt idx="8">
                  <c:v>12.41765</c:v>
                </c:pt>
                <c:pt idx="9">
                  <c:v>10.39415</c:v>
                </c:pt>
                <c:pt idx="10">
                  <c:v>10.8025</c:v>
                </c:pt>
                <c:pt idx="11">
                  <c:v>12.1212</c:v>
                </c:pt>
              </c:numCache>
            </c:numRef>
          </c:val>
          <c:smooth val="0"/>
          <c:extLst>
            <c:ext xmlns:c16="http://schemas.microsoft.com/office/drawing/2014/chart" uri="{C3380CC4-5D6E-409C-BE32-E72D297353CC}">
              <c16:uniqueId val="{00000000-179D-40DA-AB54-37D773F4C7BA}"/>
            </c:ext>
          </c:extLst>
        </c:ser>
        <c:dLbls>
          <c:showLegendKey val="0"/>
          <c:showVal val="0"/>
          <c:showCatName val="0"/>
          <c:showSerName val="0"/>
          <c:showPercent val="0"/>
          <c:showBubbleSize val="0"/>
        </c:dLbls>
        <c:marker val="1"/>
        <c:smooth val="0"/>
        <c:axId val="296380096"/>
        <c:axId val="296381776"/>
      </c:lineChart>
      <c:catAx>
        <c:axId val="29638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81776"/>
        <c:crosses val="autoZero"/>
        <c:auto val="1"/>
        <c:lblAlgn val="ctr"/>
        <c:lblOffset val="100"/>
        <c:noMultiLvlLbl val="0"/>
      </c:catAx>
      <c:valAx>
        <c:axId val="296381776"/>
        <c:scaling>
          <c:orientation val="minMax"/>
        </c:scaling>
        <c:delete val="0"/>
        <c:axPos val="l"/>
        <c:numFmt formatCode="#,##0.0\x" sourceLinked="1"/>
        <c:majorTickMark val="none"/>
        <c:minorTickMark val="none"/>
        <c:tickLblPos val="nextTo"/>
        <c:spPr>
          <a:noFill/>
          <a:ln>
            <a:solidFill>
              <a:schemeClr val="bg2">
                <a:lumMod val="9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80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Exhibits!$AP$7</c:f>
              <c:strCache>
                <c:ptCount val="1"/>
                <c:pt idx="0">
                  <c:v>Dry Powder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Exhibits!$AQ$6:$BB$6</c:f>
              <c:numCache>
                <c:formatCode>General</c:formatCode>
                <c:ptCount val="12"/>
                <c:pt idx="0">
                  <c:v>2005</c:v>
                </c:pt>
                <c:pt idx="1">
                  <c:v>2006</c:v>
                </c:pt>
                <c:pt idx="2">
                  <c:v>2007</c:v>
                </c:pt>
                <c:pt idx="3">
                  <c:v>2008</c:v>
                </c:pt>
                <c:pt idx="4">
                  <c:v>2009</c:v>
                </c:pt>
                <c:pt idx="5">
                  <c:v>2010</c:v>
                </c:pt>
                <c:pt idx="6">
                  <c:v>2011</c:v>
                </c:pt>
                <c:pt idx="7">
                  <c:v>2012</c:v>
                </c:pt>
                <c:pt idx="8">
                  <c:v>2013</c:v>
                </c:pt>
                <c:pt idx="9">
                  <c:v>2014</c:v>
                </c:pt>
                <c:pt idx="10">
                  <c:v>2015</c:v>
                </c:pt>
                <c:pt idx="11">
                  <c:v>2016</c:v>
                </c:pt>
              </c:numCache>
            </c:numRef>
          </c:cat>
          <c:val>
            <c:numRef>
              <c:f>Exhibits!$AQ$7:$BB$7</c:f>
              <c:numCache>
                <c:formatCode>"$"#,##0_);\("$"#,##0\)</c:formatCode>
                <c:ptCount val="12"/>
                <c:pt idx="0">
                  <c:v>337.91961961248523</c:v>
                </c:pt>
                <c:pt idx="1">
                  <c:v>512.89750218429947</c:v>
                </c:pt>
                <c:pt idx="2">
                  <c:v>600.219920591966</c:v>
                </c:pt>
                <c:pt idx="3">
                  <c:v>651.74877698449234</c:v>
                </c:pt>
                <c:pt idx="4">
                  <c:v>640.34446236956182</c:v>
                </c:pt>
                <c:pt idx="5">
                  <c:v>530.98952790229453</c:v>
                </c:pt>
                <c:pt idx="6">
                  <c:v>520.6997196869255</c:v>
                </c:pt>
                <c:pt idx="7">
                  <c:v>564.73614577794649</c:v>
                </c:pt>
                <c:pt idx="8">
                  <c:v>629.04712152463651</c:v>
                </c:pt>
                <c:pt idx="9">
                  <c:v>623.9859634581527</c:v>
                </c:pt>
                <c:pt idx="10">
                  <c:v>677.33297047543567</c:v>
                </c:pt>
                <c:pt idx="11">
                  <c:v>692.87643890870152</c:v>
                </c:pt>
              </c:numCache>
            </c:numRef>
          </c:val>
          <c:extLst>
            <c:ext xmlns:c16="http://schemas.microsoft.com/office/drawing/2014/chart" uri="{C3380CC4-5D6E-409C-BE32-E72D297353CC}">
              <c16:uniqueId val="{00000000-2C88-46ED-B6BA-ADB392B37E31}"/>
            </c:ext>
          </c:extLst>
        </c:ser>
        <c:dLbls>
          <c:showLegendKey val="0"/>
          <c:showVal val="0"/>
          <c:showCatName val="0"/>
          <c:showSerName val="0"/>
          <c:showPercent val="0"/>
          <c:showBubbleSize val="0"/>
        </c:dLbls>
        <c:gapWidth val="75"/>
        <c:overlap val="-27"/>
        <c:axId val="298435952"/>
        <c:axId val="298437632"/>
      </c:barChart>
      <c:catAx>
        <c:axId val="29843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37632"/>
        <c:crosses val="autoZero"/>
        <c:auto val="1"/>
        <c:lblAlgn val="ctr"/>
        <c:lblOffset val="100"/>
        <c:noMultiLvlLbl val="0"/>
      </c:catAx>
      <c:valAx>
        <c:axId val="298437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solidFill>
              <a:schemeClr val="bg2">
                <a:lumMod val="9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359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Exhibits!$P$9</c:f>
              <c:strCache>
                <c:ptCount val="1"/>
                <c:pt idx="0">
                  <c:v>Fast casual sales</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Exhibits!$Q$6:$V$6</c:f>
              <c:numCache>
                <c:formatCode>General</c:formatCode>
                <c:ptCount val="6"/>
                <c:pt idx="0">
                  <c:v>2011</c:v>
                </c:pt>
                <c:pt idx="1">
                  <c:v>2012</c:v>
                </c:pt>
                <c:pt idx="2">
                  <c:v>2013</c:v>
                </c:pt>
                <c:pt idx="3">
                  <c:v>2014</c:v>
                </c:pt>
                <c:pt idx="4">
                  <c:v>2015</c:v>
                </c:pt>
                <c:pt idx="5">
                  <c:v>2016</c:v>
                </c:pt>
              </c:numCache>
            </c:numRef>
          </c:cat>
          <c:val>
            <c:numRef>
              <c:f>Exhibits!$Q$9:$V$9</c:f>
              <c:numCache>
                <c:formatCode>#,##0_);\(#,##0\)</c:formatCode>
                <c:ptCount val="6"/>
                <c:pt idx="0">
                  <c:v>29</c:v>
                </c:pt>
                <c:pt idx="1">
                  <c:v>32</c:v>
                </c:pt>
                <c:pt idx="2">
                  <c:v>36</c:v>
                </c:pt>
                <c:pt idx="3">
                  <c:v>40</c:v>
                </c:pt>
                <c:pt idx="4">
                  <c:v>44</c:v>
                </c:pt>
                <c:pt idx="5">
                  <c:v>47</c:v>
                </c:pt>
              </c:numCache>
            </c:numRef>
          </c:val>
          <c:extLst>
            <c:ext xmlns:c16="http://schemas.microsoft.com/office/drawing/2014/chart" uri="{C3380CC4-5D6E-409C-BE32-E72D297353CC}">
              <c16:uniqueId val="{00000000-A732-4DDF-B3EA-AE199B28D6D9}"/>
            </c:ext>
          </c:extLst>
        </c:ser>
        <c:ser>
          <c:idx val="1"/>
          <c:order val="1"/>
          <c:tx>
            <c:strRef>
              <c:f>Exhibits!$P$7</c:f>
              <c:strCache>
                <c:ptCount val="1"/>
                <c:pt idx="0">
                  <c:v>Fast food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Exhibits!$Q$7:$V$7</c:f>
              <c:numCache>
                <c:formatCode>"$"#,##0_);\("$"#,##0\)</c:formatCode>
                <c:ptCount val="6"/>
                <c:pt idx="0">
                  <c:v>198.98329999999999</c:v>
                </c:pt>
                <c:pt idx="1">
                  <c:v>206.32029999999997</c:v>
                </c:pt>
                <c:pt idx="2">
                  <c:v>211.6113</c:v>
                </c:pt>
                <c:pt idx="3">
                  <c:v>217.9539</c:v>
                </c:pt>
                <c:pt idx="4">
                  <c:v>230.91639999999998</c:v>
                </c:pt>
                <c:pt idx="5">
                  <c:v>243.95269999999999</c:v>
                </c:pt>
              </c:numCache>
            </c:numRef>
          </c:val>
          <c:extLst>
            <c:ext xmlns:c16="http://schemas.microsoft.com/office/drawing/2014/chart" uri="{C3380CC4-5D6E-409C-BE32-E72D297353CC}">
              <c16:uniqueId val="{00000001-A732-4DDF-B3EA-AE199B28D6D9}"/>
            </c:ext>
          </c:extLst>
        </c:ser>
        <c:dLbls>
          <c:dLblPos val="outEnd"/>
          <c:showLegendKey val="0"/>
          <c:showVal val="1"/>
          <c:showCatName val="0"/>
          <c:showSerName val="0"/>
          <c:showPercent val="0"/>
          <c:showBubbleSize val="0"/>
        </c:dLbls>
        <c:gapWidth val="100"/>
        <c:overlap val="-27"/>
        <c:axId val="465235776"/>
        <c:axId val="465228560"/>
      </c:barChart>
      <c:catAx>
        <c:axId val="46523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228560"/>
        <c:crosses val="autoZero"/>
        <c:auto val="1"/>
        <c:lblAlgn val="ctr"/>
        <c:lblOffset val="100"/>
        <c:noMultiLvlLbl val="0"/>
      </c:catAx>
      <c:valAx>
        <c:axId val="465228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235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Exhibits!$Y$5</c:f>
              <c:strCache>
                <c:ptCount val="1"/>
                <c:pt idx="0">
                  <c:v>2016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3F-4E32-83CE-DDF5AA2BC4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3F-4E32-83CE-DDF5AA2BC4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3F-4E32-83CE-DDF5AA2BC4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3F-4E32-83CE-DDF5AA2BC42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3F-4E32-83CE-DDF5AA2BC42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33F-4E32-83CE-DDF5AA2BC42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33F-4E32-83CE-DDF5AA2BC429}"/>
              </c:ext>
            </c:extLst>
          </c:dPt>
          <c:dLbls>
            <c:dLbl>
              <c:idx val="0"/>
              <c:layout>
                <c:manualLayout>
                  <c:x val="0.14999999999999991"/>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F33F-4E32-83CE-DDF5AA2BC429}"/>
                </c:ext>
              </c:extLst>
            </c:dLbl>
            <c:dLbl>
              <c:idx val="1"/>
              <c:layout>
                <c:manualLayout>
                  <c:x val="0.12777777777777768"/>
                  <c:y val="0.1111111111111110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F33F-4E32-83CE-DDF5AA2BC429}"/>
                </c:ext>
              </c:extLst>
            </c:dLbl>
            <c:dLbl>
              <c:idx val="2"/>
              <c:layout>
                <c:manualLayout>
                  <c:x val="0.16944444444444445"/>
                  <c:y val="0.14814814814814814"/>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F33F-4E32-83CE-DDF5AA2BC429}"/>
                </c:ext>
              </c:extLst>
            </c:dLbl>
            <c:dLbl>
              <c:idx val="3"/>
              <c:layout>
                <c:manualLayout>
                  <c:x val="-0.12222222222222227"/>
                  <c:y val="9.7222222222222224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F33F-4E32-83CE-DDF5AA2BC429}"/>
                </c:ext>
              </c:extLst>
            </c:dLbl>
            <c:dLbl>
              <c:idx val="4"/>
              <c:layout>
                <c:manualLayout>
                  <c:x val="-0.11111111111111113"/>
                  <c:y val="1.8518518518518434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F33F-4E32-83CE-DDF5AA2BC429}"/>
                </c:ext>
              </c:extLst>
            </c:dLbl>
            <c:dLbl>
              <c:idx val="5"/>
              <c:layout>
                <c:manualLayout>
                  <c:x val="-0.125"/>
                  <c:y val="-5.5555555555555601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F33F-4E32-83CE-DDF5AA2BC429}"/>
                </c:ext>
              </c:extLst>
            </c:dLbl>
            <c:dLbl>
              <c:idx val="6"/>
              <c:layout>
                <c:manualLayout>
                  <c:x val="-0.15833333333333333"/>
                  <c:y val="-0.1111111111111111"/>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F33F-4E32-83CE-DDF5AA2BC429}"/>
                </c:ext>
              </c:extLst>
            </c:dLbl>
            <c:numFmt formatCode="#,##0.0_);\(#,##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Exhibits!$X$7:$X$13</c:f>
              <c:strCache>
                <c:ptCount val="7"/>
                <c:pt idx="0">
                  <c:v>Bakery Café</c:v>
                </c:pt>
                <c:pt idx="1">
                  <c:v>Mexican</c:v>
                </c:pt>
                <c:pt idx="2">
                  <c:v>Sandwich</c:v>
                </c:pt>
                <c:pt idx="3">
                  <c:v>Chicken</c:v>
                </c:pt>
                <c:pt idx="4">
                  <c:v>Asian</c:v>
                </c:pt>
                <c:pt idx="5">
                  <c:v>Burger</c:v>
                </c:pt>
                <c:pt idx="6">
                  <c:v>Specialty</c:v>
                </c:pt>
              </c:strCache>
            </c:strRef>
          </c:cat>
          <c:val>
            <c:numRef>
              <c:f>Exhibits!$Y$7:$Y$13</c:f>
              <c:numCache>
                <c:formatCode>"$"#,##0.0_)\B\n;\("$"#,##0.0\)</c:formatCode>
                <c:ptCount val="7"/>
                <c:pt idx="0">
                  <c:v>8.93</c:v>
                </c:pt>
                <c:pt idx="1">
                  <c:v>8.93</c:v>
                </c:pt>
                <c:pt idx="2">
                  <c:v>8.4599999999999991</c:v>
                </c:pt>
                <c:pt idx="3">
                  <c:v>5.64</c:v>
                </c:pt>
                <c:pt idx="4">
                  <c:v>5.17</c:v>
                </c:pt>
                <c:pt idx="5">
                  <c:v>4.7</c:v>
                </c:pt>
                <c:pt idx="6">
                  <c:v>5.17</c:v>
                </c:pt>
              </c:numCache>
            </c:numRef>
          </c:val>
          <c:extLst>
            <c:ext xmlns:c16="http://schemas.microsoft.com/office/drawing/2014/chart" uri="{C3380CC4-5D6E-409C-BE32-E72D297353CC}">
              <c16:uniqueId val="{0000000E-F33F-4E32-83CE-DDF5AA2BC429}"/>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2</xdr:row>
      <xdr:rowOff>28575</xdr:rowOff>
    </xdr:from>
    <xdr:to>
      <xdr:col>8</xdr:col>
      <xdr:colOff>495299</xdr:colOff>
      <xdr:row>18</xdr:row>
      <xdr:rowOff>38100</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695324" y="428625"/>
          <a:ext cx="5286375" cy="3209925"/>
        </a:xfrm>
        <a:prstGeom prst="rect">
          <a:avLst/>
        </a:prstGeom>
        <a:solidFill>
          <a:srgbClr val="FFFFFF"/>
        </a:solidFill>
        <a:ln w="9525">
          <a:solidFill>
            <a:srgbClr val="000000"/>
          </a:solidFill>
          <a:miter lim="800000"/>
          <a:headEnd/>
          <a:tailEnd/>
        </a:ln>
      </xdr:spPr>
      <xdr:txBody>
        <a:bodyPr vertOverflow="clip" wrap="square" lIns="91440" tIns="91440" rIns="91440" bIns="9144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These spreadsheet exhibits relate to the case Panera Bread, Case #5-219-250.</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©2019 by the Kellogg School of Management at Northwestern University. This case was prepared by Professor David Stowell and Alexander Katz '18. Cases are developed solely as the basis for class discussion. Cases are not intended to serve as endorsements, sources of primary data, or illustrations of effective or ineffective management. Some details may have been fictionalized for pedagogical purposes. To order copies or request permission to reproduce materials, call 847.491.5400 or e-mail cases@kellogg.northwestern.edu. No part of this publication may be reproduced, stored in a retrieval system, used in a spreadsheet, or transmitted in any form or by any means—electronic, mechanical, photocopying, recording, or otherwise—without the permission of Kellogg Case Publishing.</a:t>
          </a:r>
        </a:p>
      </xdr:txBody>
    </xdr:sp>
    <xdr:clientData/>
  </xdr:twoCellAnchor>
  <xdr:twoCellAnchor editAs="oneCell">
    <xdr:from>
      <xdr:col>1</xdr:col>
      <xdr:colOff>123824</xdr:colOff>
      <xdr:row>3</xdr:row>
      <xdr:rowOff>0</xdr:rowOff>
    </xdr:from>
    <xdr:to>
      <xdr:col>3</xdr:col>
      <xdr:colOff>370204</xdr:colOff>
      <xdr:row>7</xdr:row>
      <xdr:rowOff>95885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9624" y="600075"/>
          <a:ext cx="1617980" cy="8959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705416</xdr:colOff>
      <xdr:row>58</xdr:row>
      <xdr:rowOff>169753</xdr:rowOff>
    </xdr:from>
    <xdr:to>
      <xdr:col>9</xdr:col>
      <xdr:colOff>7545</xdr:colOff>
      <xdr:row>60</xdr:row>
      <xdr:rowOff>82990</xdr:rowOff>
    </xdr:to>
    <xdr:cxnSp macro="">
      <xdr:nvCxnSpPr>
        <xdr:cNvPr id="3" name="Conector recto de flecha 2">
          <a:extLst>
            <a:ext uri="{FF2B5EF4-FFF2-40B4-BE49-F238E27FC236}">
              <a16:creationId xmlns:a16="http://schemas.microsoft.com/office/drawing/2014/main" id="{4E55DC48-0C23-4537-9A2E-932509F88731}"/>
            </a:ext>
          </a:extLst>
        </xdr:cNvPr>
        <xdr:cNvCxnSpPr/>
      </xdr:nvCxnSpPr>
      <xdr:spPr>
        <a:xfrm flipH="1">
          <a:off x="6552446" y="9641941"/>
          <a:ext cx="33950" cy="2565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131</xdr:col>
      <xdr:colOff>0</xdr:colOff>
      <xdr:row>5</xdr:row>
      <xdr:rowOff>0</xdr:rowOff>
    </xdr:from>
    <xdr:to>
      <xdr:col>139</xdr:col>
      <xdr:colOff>352425</xdr:colOff>
      <xdr:row>21</xdr:row>
      <xdr:rowOff>13335</xdr:rowOff>
    </xdr:to>
    <xdr:graphicFrame macro="">
      <xdr:nvGraphicFramePr>
        <xdr:cNvPr id="4" name="Chart 3">
          <a:extLst>
            <a:ext uri="{FF2B5EF4-FFF2-40B4-BE49-F238E27FC236}">
              <a16:creationId xmlns:a16="http://schemas.microsoft.com/office/drawing/2014/main" id="{46E3751D-F82D-42A6-96DC-0F980F22F22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178</xdr:col>
      <xdr:colOff>9525</xdr:colOff>
      <xdr:row>5</xdr:row>
      <xdr:rowOff>0</xdr:rowOff>
    </xdr:from>
    <xdr:to>
      <xdr:col>183</xdr:col>
      <xdr:colOff>762000</xdr:colOff>
      <xdr:row>20</xdr:row>
      <xdr:rowOff>200312</xdr:rowOff>
    </xdr:to>
    <xdr:graphicFrame macro="">
      <xdr:nvGraphicFramePr>
        <xdr:cNvPr id="5" name="Chart 4">
          <a:extLst>
            <a:ext uri="{FF2B5EF4-FFF2-40B4-BE49-F238E27FC236}">
              <a16:creationId xmlns:a16="http://schemas.microsoft.com/office/drawing/2014/main" id="{1C5337AB-A2DF-496C-BCFD-DBE9EE87E0D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111</xdr:col>
      <xdr:colOff>342899</xdr:colOff>
      <xdr:row>26</xdr:row>
      <xdr:rowOff>50800</xdr:rowOff>
    </xdr:from>
    <xdr:to>
      <xdr:col>119</xdr:col>
      <xdr:colOff>196272</xdr:colOff>
      <xdr:row>43</xdr:row>
      <xdr:rowOff>110446</xdr:rowOff>
    </xdr:to>
    <xdr:graphicFrame macro="">
      <xdr:nvGraphicFramePr>
        <xdr:cNvPr id="14" name="Chart 13">
          <a:extLst>
            <a:ext uri="{FF2B5EF4-FFF2-40B4-BE49-F238E27FC236}">
              <a16:creationId xmlns:a16="http://schemas.microsoft.com/office/drawing/2014/main" id="{BCCFB032-0311-4983-81FA-4BB5A1F4F0E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69</xdr:col>
      <xdr:colOff>946150</xdr:colOff>
      <xdr:row>12</xdr:row>
      <xdr:rowOff>0</xdr:rowOff>
    </xdr:from>
    <xdr:to>
      <xdr:col>78</xdr:col>
      <xdr:colOff>387350</xdr:colOff>
      <xdr:row>29</xdr:row>
      <xdr:rowOff>22860</xdr:rowOff>
    </xdr:to>
    <xdr:graphicFrame macro="">
      <xdr:nvGraphicFramePr>
        <xdr:cNvPr id="15" name="Chart 14">
          <a:extLst>
            <a:ext uri="{FF2B5EF4-FFF2-40B4-BE49-F238E27FC236}">
              <a16:creationId xmlns:a16="http://schemas.microsoft.com/office/drawing/2014/main" id="{C9989FD9-F5B7-435B-9C6E-82743A44E8B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42</xdr:col>
      <xdr:colOff>662902</xdr:colOff>
      <xdr:row>10</xdr:row>
      <xdr:rowOff>124499</xdr:rowOff>
    </xdr:from>
    <xdr:to>
      <xdr:col>50</xdr:col>
      <xdr:colOff>227253</xdr:colOff>
      <xdr:row>25</xdr:row>
      <xdr:rowOff>24746</xdr:rowOff>
    </xdr:to>
    <xdr:graphicFrame macro="">
      <xdr:nvGraphicFramePr>
        <xdr:cNvPr id="16" name="Chart 15">
          <a:extLst>
            <a:ext uri="{FF2B5EF4-FFF2-40B4-BE49-F238E27FC236}">
              <a16:creationId xmlns:a16="http://schemas.microsoft.com/office/drawing/2014/main" id="{9203365D-524F-406F-B22D-803DF4346D3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16</xdr:row>
      <xdr:rowOff>0</xdr:rowOff>
    </xdr:from>
    <xdr:to>
      <xdr:col>20</xdr:col>
      <xdr:colOff>295275</xdr:colOff>
      <xdr:row>29</xdr:row>
      <xdr:rowOff>123825</xdr:rowOff>
    </xdr:to>
    <xdr:graphicFrame macro="">
      <xdr:nvGraphicFramePr>
        <xdr:cNvPr id="9" name="Chart 8">
          <a:extLst>
            <a:ext uri="{FF2B5EF4-FFF2-40B4-BE49-F238E27FC236}">
              <a16:creationId xmlns:a16="http://schemas.microsoft.com/office/drawing/2014/main" id="{DEAE78C8-47B3-4259-8BAE-B67C0E0C8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0</xdr:colOff>
      <xdr:row>16</xdr:row>
      <xdr:rowOff>0</xdr:rowOff>
    </xdr:from>
    <xdr:to>
      <xdr:col>29</xdr:col>
      <xdr:colOff>70757</xdr:colOff>
      <xdr:row>29</xdr:row>
      <xdr:rowOff>95250</xdr:rowOff>
    </xdr:to>
    <xdr:graphicFrame macro="">
      <xdr:nvGraphicFramePr>
        <xdr:cNvPr id="13" name="Chart 12">
          <a:extLst>
            <a:ext uri="{FF2B5EF4-FFF2-40B4-BE49-F238E27FC236}">
              <a16:creationId xmlns:a16="http://schemas.microsoft.com/office/drawing/2014/main" id="{20D224B2-C073-48B0-AD7C-52A331C2C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0.40903</cdr:x>
      <cdr:y>0.375</cdr:y>
    </cdr:from>
    <cdr:to>
      <cdr:x>0.59028</cdr:x>
      <cdr:y>0.62269</cdr:y>
    </cdr:to>
    <cdr:sp macro="" textlink="Exhibits!$Y$14">
      <cdr:nvSpPr>
        <cdr:cNvPr id="3" name="TextBox 1">
          <a:extLst xmlns:a="http://schemas.openxmlformats.org/drawingml/2006/main">
            <a:ext uri="{FF2B5EF4-FFF2-40B4-BE49-F238E27FC236}">
              <a16:creationId xmlns:a16="http://schemas.microsoft.com/office/drawing/2014/main" id="{8C2F94DB-5005-4672-814A-642EC4283DD0}"/>
            </a:ext>
          </a:extLst>
        </cdr:cNvPr>
        <cdr:cNvSpPr txBox="1"/>
      </cdr:nvSpPr>
      <cdr:spPr>
        <a:xfrm xmlns:a="http://schemas.openxmlformats.org/drawingml/2006/main">
          <a:off x="1870075" y="1028700"/>
          <a:ext cx="828675" cy="67945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DA145EB9-E59E-4735-8E2A-CAFB51EF7D71}" type="TxLink">
            <a:rPr lang="en-US" sz="1200" b="1" i="0" u="none" strike="noStrike">
              <a:solidFill>
                <a:srgbClr val="000000"/>
              </a:solidFill>
              <a:latin typeface="Calibri"/>
              <a:cs typeface="Calibri"/>
            </a:rPr>
            <a:pPr algn="ctr"/>
            <a:t>$47.0 Bn</a:t>
          </a:fld>
          <a:endParaRPr lang="en-US" sz="12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0-AV/UTDT/MFIN/2020%20MFIN/Curso%20FC/3-PE/Clase/Panera%20Bread%20LBO_anali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LBO Model --&gt;"/>
      <sheetName val="LBO Model"/>
      <sheetName val="Current Balance Sheet"/>
      <sheetName val="Output"/>
      <sheetName val="Case Data --&gt;"/>
      <sheetName val="Exhibits"/>
      <sheetName val="Raw SEC Filing"/>
      <sheetName val="Teachers Notes --&gt;"/>
      <sheetName val="Teachers Output"/>
      <sheetName val="Full LBO Model --&gt;"/>
      <sheetName val="Transaction Summary"/>
      <sheetName val="Operating Model"/>
      <sheetName val="Ratios"/>
      <sheetName val="Returns"/>
    </sheetNames>
    <sheetDataSet>
      <sheetData sheetId="0"/>
      <sheetData sheetId="1"/>
      <sheetData sheetId="2">
        <row r="5">
          <cell r="J5" t="str">
            <v>High Bid</v>
          </cell>
        </row>
        <row r="6">
          <cell r="J6" t="str">
            <v>Low Bid</v>
          </cell>
        </row>
        <row r="7">
          <cell r="J7" t="str">
            <v>KLG High Bid</v>
          </cell>
        </row>
        <row r="8">
          <cell r="J8" t="str">
            <v>KLG Low Bid</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hyperlink" Target="http://www.mergentonline.com.turing.library.northwestern.edu/equitypricing.php?pagetype=report&amp;compnumber=66466" TargetMode="External"/><Relationship Id="rId3" Type="http://schemas.openxmlformats.org/officeDocument/2006/relationships/hyperlink" Target="https://www.restaurant.org/Downloads/PDFs/Events-Groups/17_SHOW_PPT_5-4-compressed.pdf" TargetMode="External"/><Relationship Id="rId7" Type="http://schemas.openxmlformats.org/officeDocument/2006/relationships/hyperlink" Target="https://www.restaurant.org/Downloads/PDFs/Events-Groups/17_SHOW_PPT_5-4-compressed.pdf" TargetMode="External"/><Relationship Id="rId12" Type="http://schemas.openxmlformats.org/officeDocument/2006/relationships/drawing" Target="../drawings/drawing3.xml"/><Relationship Id="rId2" Type="http://schemas.openxmlformats.org/officeDocument/2006/relationships/hyperlink" Target="https://www.restaurant.org/Downloads/PDFs/Events-Groups/17_SHOW_PPT_5-4-compressed.pdf" TargetMode="External"/><Relationship Id="rId1" Type="http://schemas.openxmlformats.org/officeDocument/2006/relationships/hyperlink" Target="https://www.sec.gov/Archives/edgar/data/724606/000072460617000004/a2016122710k.htm" TargetMode="External"/><Relationship Id="rId6" Type="http://schemas.openxmlformats.org/officeDocument/2006/relationships/hyperlink" Target="https://www.restaurantbusinessonline.com/top-500-2018?year=2017&amp;page=1" TargetMode="External"/><Relationship Id="rId11" Type="http://schemas.openxmlformats.org/officeDocument/2006/relationships/printerSettings" Target="../printerSettings/printerSettings5.bin"/><Relationship Id="rId5" Type="http://schemas.openxmlformats.org/officeDocument/2006/relationships/hyperlink" Target="https://www.restaurantbusinessonline.com/top-500-2018?year=2017&amp;page=1" TargetMode="External"/><Relationship Id="rId10" Type="http://schemas.openxmlformats.org/officeDocument/2006/relationships/hyperlink" Target="https://www.sec.gov/Archives/edgar/data/724606/000119312517189582/d366589ddefm14a.htm" TargetMode="External"/><Relationship Id="rId4" Type="http://schemas.openxmlformats.org/officeDocument/2006/relationships/hyperlink" Target="https://www.sec.gov/Archives/edgar/data/724606/000072460617000004/a2016122710k.htm" TargetMode="External"/><Relationship Id="rId9" Type="http://schemas.openxmlformats.org/officeDocument/2006/relationships/hyperlink" Target="https://www.sec.gov/Archives/edgar/data/724606/000119312517189582/d366589ddefm14a.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zoomScaleNormal="100" workbookViewId="0"/>
  </sheetViews>
  <sheetFormatPr baseColWidth="10" defaultColWidth="8.796875" defaultRowHeight="15.6" x14ac:dyDescent="0.6"/>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W48"/>
  <sheetViews>
    <sheetView showGridLines="0" topLeftCell="A27" zoomScale="96" zoomScaleNormal="100" workbookViewId="0">
      <selection activeCell="F47" sqref="F47"/>
    </sheetView>
  </sheetViews>
  <sheetFormatPr baseColWidth="10" defaultColWidth="8.796875" defaultRowHeight="15.6" outlineLevelCol="1" x14ac:dyDescent="0.6"/>
  <cols>
    <col min="14" max="14" width="9" style="445"/>
    <col min="15" max="16" width="9" hidden="1" customWidth="1" outlineLevel="1"/>
    <col min="17" max="17" width="9" collapsed="1"/>
  </cols>
  <sheetData>
    <row r="2" spans="1:14" s="367" customFormat="1" x14ac:dyDescent="0.6">
      <c r="A2" s="278" t="s">
        <v>31</v>
      </c>
      <c r="B2" s="368" t="s">
        <v>441</v>
      </c>
      <c r="C2" s="368"/>
      <c r="D2" s="368"/>
      <c r="E2" s="368"/>
      <c r="F2" s="368"/>
      <c r="G2" s="368"/>
      <c r="H2" s="368"/>
      <c r="I2" s="368"/>
      <c r="J2" s="368"/>
      <c r="K2" s="368"/>
      <c r="L2" s="368"/>
      <c r="M2" s="368"/>
      <c r="N2" s="447"/>
    </row>
    <row r="3" spans="1:14" x14ac:dyDescent="0.6">
      <c r="B3" t="s">
        <v>666</v>
      </c>
    </row>
    <row r="4" spans="1:14" x14ac:dyDescent="0.6">
      <c r="B4" t="s">
        <v>750</v>
      </c>
    </row>
    <row r="6" spans="1:14" x14ac:dyDescent="0.6">
      <c r="B6" s="366" t="s">
        <v>442</v>
      </c>
      <c r="C6" s="366"/>
      <c r="D6" s="366"/>
      <c r="E6" s="366"/>
      <c r="F6" s="366"/>
      <c r="G6" s="366"/>
      <c r="H6" s="366"/>
      <c r="I6" s="366"/>
      <c r="J6" s="366"/>
      <c r="K6" s="366"/>
      <c r="L6" s="366"/>
      <c r="M6" s="366"/>
    </row>
    <row r="8" spans="1:14" x14ac:dyDescent="0.6">
      <c r="B8" t="s">
        <v>443</v>
      </c>
    </row>
    <row r="9" spans="1:14" x14ac:dyDescent="0.6">
      <c r="B9" t="s">
        <v>680</v>
      </c>
    </row>
    <row r="10" spans="1:14" x14ac:dyDescent="0.6">
      <c r="B10" t="s">
        <v>679</v>
      </c>
    </row>
    <row r="12" spans="1:14" x14ac:dyDescent="0.6">
      <c r="B12" s="370" t="s">
        <v>444</v>
      </c>
    </row>
    <row r="13" spans="1:14" x14ac:dyDescent="0.6">
      <c r="B13" s="371" t="s">
        <v>445</v>
      </c>
    </row>
    <row r="15" spans="1:14" ht="15.9" thickBot="1" x14ac:dyDescent="0.65">
      <c r="B15" s="369" t="s">
        <v>681</v>
      </c>
      <c r="C15" s="369"/>
      <c r="D15" s="369"/>
      <c r="E15" s="369"/>
      <c r="F15" s="369"/>
      <c r="G15" s="369"/>
      <c r="H15" s="369"/>
      <c r="I15" s="369"/>
      <c r="J15" s="369"/>
      <c r="K15" s="369"/>
      <c r="L15" s="369"/>
      <c r="M15" s="369"/>
    </row>
    <row r="16" spans="1:14" ht="15.9" thickTop="1" x14ac:dyDescent="0.6"/>
    <row r="17" spans="1:23" x14ac:dyDescent="0.6">
      <c r="A17" s="278" t="s">
        <v>31</v>
      </c>
      <c r="B17" s="368" t="s">
        <v>454</v>
      </c>
      <c r="C17" s="368"/>
      <c r="D17" s="368"/>
      <c r="E17" s="368"/>
      <c r="F17" s="368"/>
      <c r="G17" s="368"/>
      <c r="H17" s="368"/>
      <c r="I17" s="368"/>
      <c r="J17" s="368"/>
      <c r="K17" s="368"/>
      <c r="L17" s="368"/>
      <c r="M17" s="368"/>
      <c r="O17" s="445"/>
      <c r="P17" s="445"/>
      <c r="Q17" s="445"/>
      <c r="R17" s="445"/>
      <c r="S17" s="445"/>
      <c r="T17" s="445"/>
      <c r="U17" s="445"/>
      <c r="V17" s="445"/>
      <c r="W17" s="445"/>
    </row>
    <row r="18" spans="1:23" x14ac:dyDescent="0.6">
      <c r="B18" s="367" t="s">
        <v>455</v>
      </c>
      <c r="O18" s="445"/>
      <c r="P18" s="445"/>
      <c r="Q18" s="445"/>
      <c r="R18" s="445"/>
      <c r="S18" s="445"/>
      <c r="T18" s="445"/>
      <c r="U18" s="445"/>
      <c r="V18" s="445"/>
      <c r="W18" s="445"/>
    </row>
    <row r="19" spans="1:23" x14ac:dyDescent="0.6">
      <c r="B19" s="372" t="s">
        <v>677</v>
      </c>
      <c r="O19" s="445"/>
      <c r="P19" s="445"/>
      <c r="Q19" s="445"/>
      <c r="R19" s="445"/>
      <c r="S19" s="445"/>
      <c r="T19" s="445"/>
      <c r="U19" s="445"/>
      <c r="V19" s="445"/>
      <c r="W19" s="445"/>
    </row>
    <row r="20" spans="1:23" x14ac:dyDescent="0.6">
      <c r="B20" s="373" t="s">
        <v>458</v>
      </c>
      <c r="E20" t="str">
        <f ca="1">REPLACE(_xlfn.FORMULATEXT(O20),1,1,"")&amp;IF(ISBLANK(P20),," - "&amp;REPLACE(_xlfn.FORMULATEXT(P20),1,1,""))</f>
        <v>'LBO Model'!E8</v>
      </c>
      <c r="O20" s="445" t="str">
        <f>'LBO Model'!E8</f>
        <v>Open Case #1</v>
      </c>
      <c r="P20" s="445"/>
      <c r="Q20" s="445"/>
      <c r="R20" s="445"/>
      <c r="S20" s="445"/>
      <c r="T20" s="445"/>
      <c r="U20" s="445"/>
      <c r="V20" s="445"/>
      <c r="W20" s="445"/>
    </row>
    <row r="21" spans="1:23" x14ac:dyDescent="0.6">
      <c r="B21" s="373" t="s">
        <v>459</v>
      </c>
      <c r="E21" t="str">
        <f ca="1">REPLACE(_xlfn.FORMULATEXT(O21),1,1,"")&amp;IF(ISBLANK(P21),," - "&amp;REPLACE(_xlfn.FORMULATEXT(P21),1,1,""))</f>
        <v>'LBO Model'!E9</v>
      </c>
      <c r="O21" s="445" t="str">
        <f>'LBO Model'!E9</f>
        <v>Open Case #2</v>
      </c>
      <c r="P21" s="445"/>
      <c r="Q21" s="445"/>
      <c r="R21" s="445"/>
      <c r="S21" s="445"/>
      <c r="T21" s="445"/>
      <c r="U21" s="445"/>
      <c r="V21" s="445"/>
      <c r="W21" s="445"/>
    </row>
    <row r="22" spans="1:23" x14ac:dyDescent="0.6">
      <c r="B22" s="372" t="s">
        <v>460</v>
      </c>
      <c r="O22" s="445"/>
      <c r="P22" s="445"/>
      <c r="Q22" s="445"/>
      <c r="R22" s="445"/>
      <c r="S22" s="445"/>
      <c r="T22" s="445"/>
      <c r="U22" s="445"/>
      <c r="V22" s="445"/>
      <c r="W22" s="445"/>
    </row>
    <row r="23" spans="1:23" x14ac:dyDescent="0.6">
      <c r="B23" s="373" t="s">
        <v>272</v>
      </c>
      <c r="E23" t="str">
        <f t="shared" ref="E23:E27" ca="1" si="0">REPLACE(_xlfn.FORMULATEXT(O23),1,1,"")&amp;IF(ISBLANK(P23),," - "&amp;REPLACE(_xlfn.FORMULATEXT(P23),1,1,""))</f>
        <v>'LBO Model'!I425 - 'LBO Model'!R435</v>
      </c>
      <c r="O23" s="445">
        <f>'LBO Model'!I425</f>
        <v>0</v>
      </c>
      <c r="P23" s="445">
        <f>'LBO Model'!R435</f>
        <v>5.2239948360287482E-2</v>
      </c>
      <c r="Q23" s="445"/>
      <c r="R23" s="445"/>
      <c r="S23" s="445"/>
      <c r="T23" s="445"/>
      <c r="U23" s="445"/>
      <c r="V23" s="445"/>
      <c r="W23" s="445"/>
    </row>
    <row r="24" spans="1:23" x14ac:dyDescent="0.6">
      <c r="B24" s="373" t="s">
        <v>461</v>
      </c>
      <c r="E24" t="str">
        <f t="shared" ca="1" si="0"/>
        <v>'LBO Model'!I441 - 'LBO Model'!R451</v>
      </c>
      <c r="O24" s="445">
        <f>'LBO Model'!I441</f>
        <v>0</v>
      </c>
      <c r="P24" s="445">
        <f>'LBO Model'!R451</f>
        <v>0</v>
      </c>
      <c r="Q24" s="445"/>
      <c r="R24" s="445"/>
      <c r="S24" s="445"/>
      <c r="T24" s="445"/>
      <c r="U24" s="445"/>
      <c r="V24" s="445"/>
      <c r="W24" s="445"/>
    </row>
    <row r="25" spans="1:23" x14ac:dyDescent="0.6">
      <c r="B25" s="373" t="s">
        <v>362</v>
      </c>
      <c r="E25" t="str">
        <f t="shared" ca="1" si="0"/>
        <v>'LBO Model'!I457 - 'LBO Model'!R467</v>
      </c>
      <c r="O25" s="445">
        <f>'LBO Model'!I457</f>
        <v>0</v>
      </c>
      <c r="P25" s="445">
        <f>'LBO Model'!R467</f>
        <v>0</v>
      </c>
      <c r="Q25" s="445"/>
      <c r="R25" s="445"/>
      <c r="S25" s="445"/>
      <c r="T25" s="445"/>
      <c r="U25" s="445"/>
      <c r="V25" s="445"/>
      <c r="W25" s="445"/>
    </row>
    <row r="26" spans="1:23" x14ac:dyDescent="0.6">
      <c r="B26" s="373" t="str">
        <f>'LBO Model'!E8</f>
        <v>Open Case #1</v>
      </c>
      <c r="E26" t="str">
        <f t="shared" ca="1" si="0"/>
        <v>'LBO Model'!I473 - 'LBO Model'!R483</v>
      </c>
      <c r="O26" s="445">
        <f>'LBO Model'!I473</f>
        <v>0</v>
      </c>
      <c r="P26" s="445">
        <f>'LBO Model'!R483</f>
        <v>0</v>
      </c>
      <c r="Q26" s="445"/>
      <c r="R26" s="445"/>
      <c r="S26" s="445"/>
      <c r="T26" s="445"/>
      <c r="U26" s="445"/>
      <c r="V26" s="445"/>
      <c r="W26" s="445"/>
    </row>
    <row r="27" spans="1:23" x14ac:dyDescent="0.6">
      <c r="B27" s="373" t="str">
        <f>'LBO Model'!E9</f>
        <v>Open Case #2</v>
      </c>
      <c r="E27" t="str">
        <f t="shared" ca="1" si="0"/>
        <v>'LBO Model'!I489 - 'LBO Model'!R499</v>
      </c>
      <c r="O27" s="445">
        <f>'LBO Model'!I489</f>
        <v>0</v>
      </c>
      <c r="P27" s="445">
        <f>'LBO Model'!R499</f>
        <v>0</v>
      </c>
      <c r="Q27" s="445"/>
      <c r="R27" s="445"/>
      <c r="S27" s="445"/>
      <c r="T27" s="445"/>
      <c r="U27" s="445"/>
      <c r="V27" s="445"/>
      <c r="W27" s="445"/>
    </row>
    <row r="28" spans="1:23" x14ac:dyDescent="0.6">
      <c r="B28" s="373"/>
      <c r="O28" s="445"/>
      <c r="P28" s="445"/>
      <c r="Q28" s="445"/>
      <c r="R28" s="445"/>
      <c r="S28" s="445"/>
      <c r="T28" s="445"/>
      <c r="U28" s="445"/>
      <c r="V28" s="445"/>
      <c r="W28" s="445"/>
    </row>
    <row r="29" spans="1:23" x14ac:dyDescent="0.6">
      <c r="B29" s="372" t="s">
        <v>734</v>
      </c>
      <c r="E29" t="str">
        <f ca="1">REPLACE(_xlfn.FORMULATEXT(O29),1,1,"")&amp;IF(ISBLANK(P29),," - "&amp;REPLACE(_xlfn.FORMULATEXT(P29),1,1,""))</f>
        <v>'LBO Model'!J6</v>
      </c>
      <c r="O29" s="445" t="str">
        <f>'LBO Model'!J6</f>
        <v>Low Bid</v>
      </c>
      <c r="P29" s="445"/>
      <c r="Q29" s="445"/>
      <c r="R29" s="445"/>
      <c r="S29" s="445"/>
      <c r="T29" s="445"/>
      <c r="U29" s="445"/>
      <c r="V29" s="445"/>
      <c r="W29" s="445"/>
    </row>
    <row r="30" spans="1:23" x14ac:dyDescent="0.6">
      <c r="B30" s="372" t="s">
        <v>735</v>
      </c>
      <c r="E30" t="str">
        <f ca="1">REPLACE(_xlfn.FORMULATEXT(O30),1,1,"")&amp;IF(ISBLANK(P30),," - "&amp;REPLACE(_xlfn.FORMULATEXT(P30),1,1,""))</f>
        <v>'LBO Model'!J7</v>
      </c>
      <c r="O30" s="445" t="str">
        <f>'LBO Model'!J7</f>
        <v>KLG High Bid</v>
      </c>
      <c r="P30" s="445"/>
      <c r="Q30" s="445"/>
      <c r="R30" s="445"/>
      <c r="S30" s="445"/>
      <c r="T30" s="445"/>
      <c r="U30" s="445"/>
      <c r="V30" s="445"/>
      <c r="W30" s="445"/>
    </row>
    <row r="31" spans="1:23" x14ac:dyDescent="0.6">
      <c r="B31" s="372" t="s">
        <v>738</v>
      </c>
      <c r="E31" t="str">
        <f ca="1">REPLACE(_xlfn.FORMULATEXT(O31),1,1,"")&amp;IF(ISBLANK(P31),," - "&amp;REPLACE(_xlfn.FORMULATEXT(P31),1,1,""))</f>
        <v>'LBO Model'!J8</v>
      </c>
      <c r="O31" s="445" t="str">
        <f>'LBO Model'!J8</f>
        <v>KLG Low Bid</v>
      </c>
      <c r="P31" s="445"/>
      <c r="Q31" s="445"/>
      <c r="R31" s="445"/>
      <c r="S31" s="445"/>
      <c r="T31" s="445"/>
      <c r="U31" s="445"/>
      <c r="V31" s="445"/>
      <c r="W31" s="445"/>
    </row>
    <row r="32" spans="1:23" x14ac:dyDescent="0.6">
      <c r="B32" s="372" t="s">
        <v>678</v>
      </c>
      <c r="O32" s="445"/>
      <c r="P32" s="445"/>
      <c r="Q32" s="445"/>
      <c r="R32" s="445"/>
      <c r="S32" s="445"/>
      <c r="T32" s="445"/>
      <c r="U32" s="445"/>
      <c r="V32" s="445"/>
      <c r="W32" s="445"/>
    </row>
    <row r="33" spans="2:23" x14ac:dyDescent="0.6">
      <c r="B33" s="373" t="str">
        <f>'LBO Model'!J5</f>
        <v>High Bid</v>
      </c>
      <c r="E33" t="str">
        <f ca="1">REPLACE(_xlfn.FORMULATEXT(O33),1,1,"")&amp;IF(ISBLANK(P33),," - "&amp;REPLACE(_xlfn.FORMULATEXT(P33),1,1,""))</f>
        <v>'LBO Model'!F505 - 'LBO Model'!F509</v>
      </c>
      <c r="O33" s="445">
        <f>'LBO Model'!F505</f>
        <v>0.28021880196016624</v>
      </c>
      <c r="P33" s="445">
        <f>'LBO Model'!F509</f>
        <v>0.59516486278953196</v>
      </c>
      <c r="Q33" s="445"/>
      <c r="R33" s="445"/>
      <c r="S33" s="445"/>
      <c r="T33" s="445"/>
      <c r="U33" s="445"/>
      <c r="V33" s="445"/>
      <c r="W33" s="445"/>
    </row>
    <row r="34" spans="2:23" x14ac:dyDescent="0.6">
      <c r="B34" s="373" t="str">
        <f>'LBO Model'!J6</f>
        <v>Low Bid</v>
      </c>
      <c r="E34" t="str">
        <f ca="1">REPLACE(_xlfn.FORMULATEXT(O34),1,1,"")&amp;IF(ISBLANK(P34),," - "&amp;REPLACE(_xlfn.FORMULATEXT(P34),1,1,""))</f>
        <v>'LBO Model'!G505 - 'LBO Model'!G509</v>
      </c>
      <c r="O34" s="445">
        <f>'LBO Model'!G505</f>
        <v>0</v>
      </c>
      <c r="P34" s="445">
        <f>'LBO Model'!G509</f>
        <v>0.49091938762749071</v>
      </c>
      <c r="Q34" s="445"/>
      <c r="R34" s="445"/>
      <c r="S34" s="445"/>
      <c r="T34" s="445"/>
      <c r="U34" s="445"/>
      <c r="V34" s="445"/>
      <c r="W34" s="445"/>
    </row>
    <row r="35" spans="2:23" x14ac:dyDescent="0.6">
      <c r="B35" s="373" t="str">
        <f>'LBO Model'!J7</f>
        <v>KLG High Bid</v>
      </c>
      <c r="E35" t="str">
        <f ca="1">REPLACE(_xlfn.FORMULATEXT(O35),1,1,"")&amp;IF(ISBLANK(P35),," - "&amp;REPLACE(_xlfn.FORMULATEXT(P35),1,1,""))</f>
        <v>'LBO Model'!H505 - 'LBO Model'!H509</v>
      </c>
      <c r="O35" s="445">
        <f>'LBO Model'!H505</f>
        <v>0.17442848109239584</v>
      </c>
      <c r="P35" s="445">
        <f>'LBO Model'!H509</f>
        <v>0.56124616378731473</v>
      </c>
      <c r="Q35" s="445"/>
      <c r="R35" s="445"/>
      <c r="S35" s="445"/>
      <c r="T35" s="445"/>
      <c r="U35" s="445"/>
      <c r="V35" s="445"/>
      <c r="W35" s="445"/>
    </row>
    <row r="36" spans="2:23" x14ac:dyDescent="0.6">
      <c r="B36" s="373" t="str">
        <f>'LBO Model'!J8</f>
        <v>KLG Low Bid</v>
      </c>
      <c r="E36" t="str">
        <f ca="1">REPLACE(_xlfn.FORMULATEXT(O36),1,1,"")&amp;IF(ISBLANK(P36),," - "&amp;REPLACE(_xlfn.FORMULATEXT(P36),1,1,""))</f>
        <v>'LBO Model'!I505 - 'LBO Model'!I509</v>
      </c>
      <c r="O36" s="445">
        <f>'LBO Model'!I505</f>
        <v>0.12</v>
      </c>
      <c r="P36" s="445">
        <f>'LBO Model'!I509</f>
        <v>0.54148087680645962</v>
      </c>
      <c r="Q36" s="445"/>
      <c r="R36" s="445"/>
      <c r="S36" s="445"/>
      <c r="T36" s="445"/>
      <c r="U36" s="445"/>
      <c r="V36" s="445"/>
      <c r="W36" s="445"/>
    </row>
    <row r="37" spans="2:23" x14ac:dyDescent="0.6">
      <c r="B37" s="367"/>
      <c r="O37" s="445"/>
      <c r="P37" s="445"/>
      <c r="Q37" s="445"/>
      <c r="R37" s="445"/>
      <c r="S37" s="445"/>
      <c r="T37" s="445"/>
      <c r="U37" s="445"/>
      <c r="V37" s="445"/>
      <c r="W37" s="445"/>
    </row>
    <row r="38" spans="2:23" x14ac:dyDescent="0.6">
      <c r="B38" s="372" t="s">
        <v>317</v>
      </c>
      <c r="E38" t="str">
        <f t="shared" ref="E38:E45" ca="1" si="1">REPLACE(_xlfn.FORMULATEXT(O38),1,1,"")&amp;IF(ISBLANK(P38),," - "&amp;REPLACE(_xlfn.FORMULATEXT(P38),1,1,""))</f>
        <v>'LBO Model'!F344</v>
      </c>
      <c r="O38" s="445">
        <f>'LBO Model'!F344</f>
        <v>0</v>
      </c>
      <c r="P38" s="445"/>
      <c r="Q38" s="445"/>
      <c r="R38" s="445"/>
      <c r="S38" s="445"/>
      <c r="T38" s="445"/>
      <c r="U38" s="445"/>
      <c r="V38" s="445"/>
      <c r="W38" s="445"/>
    </row>
    <row r="39" spans="2:23" x14ac:dyDescent="0.6">
      <c r="B39" s="373" t="s">
        <v>729</v>
      </c>
      <c r="E39" t="str">
        <f t="shared" ca="1" si="1"/>
        <v>'LBO Model'!T343</v>
      </c>
      <c r="O39" s="445">
        <f>'LBO Model'!T343</f>
        <v>0</v>
      </c>
      <c r="P39" s="445"/>
      <c r="Q39" s="445"/>
      <c r="R39" s="445"/>
      <c r="S39" s="445"/>
      <c r="T39" s="445"/>
      <c r="U39" s="445"/>
      <c r="V39" s="445"/>
      <c r="W39" s="445"/>
    </row>
    <row r="40" spans="2:23" x14ac:dyDescent="0.6">
      <c r="B40" s="373"/>
      <c r="O40" s="445"/>
      <c r="P40" s="445"/>
      <c r="Q40" s="445"/>
      <c r="R40" s="445"/>
      <c r="S40" s="445"/>
      <c r="T40" s="445"/>
      <c r="U40" s="445"/>
      <c r="V40" s="445"/>
      <c r="W40" s="445"/>
    </row>
    <row r="41" spans="2:23" x14ac:dyDescent="0.6">
      <c r="B41" s="372" t="s">
        <v>456</v>
      </c>
      <c r="O41" s="445"/>
      <c r="P41" s="445"/>
      <c r="Q41" s="445"/>
      <c r="R41" s="445"/>
      <c r="S41" s="445"/>
      <c r="T41" s="445"/>
      <c r="U41" s="445"/>
      <c r="V41" s="445"/>
      <c r="W41" s="445"/>
    </row>
    <row r="42" spans="2:23" x14ac:dyDescent="0.6">
      <c r="B42" s="373" t="s">
        <v>358</v>
      </c>
      <c r="E42" t="str">
        <f t="shared" ca="1" si="1"/>
        <v>'LBO Model'!B382</v>
      </c>
      <c r="O42" s="446">
        <f>'LBO Model'!B382</f>
        <v>0</v>
      </c>
      <c r="P42" s="445"/>
      <c r="Q42" s="445"/>
      <c r="R42" s="445"/>
      <c r="S42" s="445"/>
      <c r="T42" s="445"/>
      <c r="U42" s="445"/>
      <c r="V42" s="445"/>
      <c r="W42" s="445"/>
    </row>
    <row r="43" spans="2:23" x14ac:dyDescent="0.6">
      <c r="B43" s="498" t="s">
        <v>729</v>
      </c>
      <c r="E43" t="str">
        <f t="shared" ca="1" si="1"/>
        <v>'LBO Model'!J382</v>
      </c>
      <c r="O43" s="446">
        <f>'LBO Model'!J382</f>
        <v>0.05</v>
      </c>
      <c r="P43" s="445"/>
      <c r="Q43" s="445"/>
      <c r="R43" s="445"/>
      <c r="S43" s="445"/>
      <c r="T43" s="445"/>
      <c r="U43" s="445"/>
      <c r="V43" s="445"/>
      <c r="W43" s="445"/>
    </row>
    <row r="44" spans="2:23" x14ac:dyDescent="0.6">
      <c r="B44" s="373" t="s">
        <v>457</v>
      </c>
      <c r="E44" t="str">
        <f t="shared" ca="1" si="1"/>
        <v>'LBO Model'!B395</v>
      </c>
      <c r="O44" s="446">
        <f>'LBO Model'!B395</f>
        <v>0</v>
      </c>
      <c r="P44" s="445"/>
      <c r="Q44" s="445"/>
      <c r="R44" s="445"/>
      <c r="S44" s="445"/>
      <c r="T44" s="445"/>
      <c r="U44" s="445"/>
      <c r="V44" s="445"/>
      <c r="W44" s="445"/>
    </row>
    <row r="45" spans="2:23" ht="15.9" thickBot="1" x14ac:dyDescent="0.65">
      <c r="B45" s="503" t="s">
        <v>729</v>
      </c>
      <c r="C45" s="369"/>
      <c r="D45" s="369"/>
      <c r="E45" s="369" t="str">
        <f t="shared" ca="1" si="1"/>
        <v>'LBO Model'!J395</v>
      </c>
      <c r="F45" s="369"/>
      <c r="G45" s="369"/>
      <c r="H45" s="369"/>
      <c r="I45" s="369"/>
      <c r="J45" s="369"/>
      <c r="K45" s="369"/>
      <c r="L45" s="369"/>
      <c r="M45" s="369"/>
      <c r="O45" s="446">
        <f>'LBO Model'!J395</f>
        <v>0.1</v>
      </c>
      <c r="P45" s="445"/>
      <c r="Q45" s="445"/>
      <c r="R45" s="445"/>
      <c r="S45" s="445"/>
      <c r="T45" s="445"/>
      <c r="U45" s="445"/>
      <c r="V45" s="445"/>
      <c r="W45" s="445"/>
    </row>
    <row r="46" spans="2:23" ht="15.9" thickTop="1" x14ac:dyDescent="0.6">
      <c r="O46" s="445"/>
      <c r="P46" s="445"/>
      <c r="Q46" s="445"/>
      <c r="R46" s="445"/>
      <c r="S46" s="445"/>
      <c r="T46" s="445"/>
      <c r="U46" s="445"/>
      <c r="V46" s="445"/>
      <c r="W46" s="445"/>
    </row>
    <row r="47" spans="2:23" x14ac:dyDescent="0.6">
      <c r="O47" s="445"/>
      <c r="P47" s="445"/>
      <c r="Q47" s="445"/>
      <c r="R47" s="445"/>
      <c r="S47" s="445"/>
      <c r="T47" s="445"/>
      <c r="U47" s="445"/>
      <c r="V47" s="445"/>
      <c r="W47" s="445"/>
    </row>
    <row r="48" spans="2:23" x14ac:dyDescent="0.6">
      <c r="O48" s="445"/>
      <c r="P48" s="445"/>
      <c r="Q48" s="445"/>
      <c r="R48" s="445"/>
      <c r="S48" s="445"/>
      <c r="T48" s="445"/>
      <c r="U48" s="445"/>
      <c r="V48" s="445"/>
      <c r="W48" s="445"/>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
  <sheetViews>
    <sheetView showGridLines="0" zoomScaleNormal="100" workbookViewId="0"/>
  </sheetViews>
  <sheetFormatPr baseColWidth="10" defaultColWidth="9" defaultRowHeight="15.6" x14ac:dyDescent="0.6"/>
  <cols>
    <col min="1" max="16384" width="9" style="244"/>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X509"/>
  <sheetViews>
    <sheetView showGridLines="0" tabSelected="1" zoomScale="101" zoomScaleNormal="100" workbookViewId="0">
      <selection activeCell="D3" sqref="D3"/>
    </sheetView>
  </sheetViews>
  <sheetFormatPr baseColWidth="10" defaultColWidth="9" defaultRowHeight="12.9" outlineLevelRow="1" x14ac:dyDescent="0.5"/>
  <cols>
    <col min="1" max="1" width="9" style="138"/>
    <col min="2" max="2" width="10.09765625" style="140" customWidth="1"/>
    <col min="3" max="18" width="9.59765625" style="140" customWidth="1"/>
    <col min="19" max="19" width="9" style="140"/>
    <col min="20" max="21" width="9.5" style="140" bestFit="1" customWidth="1"/>
    <col min="22" max="16384" width="9" style="140"/>
  </cols>
  <sheetData>
    <row r="2" spans="1:24" ht="15.6" x14ac:dyDescent="0.6">
      <c r="A2" s="138" t="s">
        <v>31</v>
      </c>
      <c r="B2" s="161" t="s">
        <v>731</v>
      </c>
      <c r="C2" s="272"/>
      <c r="D2" s="272"/>
      <c r="E2" s="272"/>
      <c r="F2" s="272"/>
      <c r="G2" s="272"/>
      <c r="H2" s="272"/>
      <c r="I2" s="272"/>
      <c r="J2" s="272"/>
      <c r="K2" s="272"/>
      <c r="L2" s="272"/>
      <c r="M2" s="272"/>
      <c r="N2" s="272"/>
      <c r="O2" s="272"/>
      <c r="P2" s="272"/>
      <c r="Q2" s="272"/>
      <c r="R2" s="272"/>
    </row>
    <row r="3" spans="1:24" x14ac:dyDescent="0.5">
      <c r="B3" s="274"/>
      <c r="C3" s="273"/>
      <c r="D3" s="273"/>
      <c r="E3" s="273"/>
      <c r="F3" s="273"/>
      <c r="G3" s="273"/>
    </row>
    <row r="4" spans="1:24" x14ac:dyDescent="0.5">
      <c r="B4" s="274"/>
      <c r="C4" s="275" t="s">
        <v>726</v>
      </c>
      <c r="D4" s="276">
        <v>1</v>
      </c>
      <c r="E4" s="277" t="str">
        <f>CHOOSE(D4,E5,E6,E7,E8,E9)</f>
        <v>Base Case</v>
      </c>
      <c r="F4" s="291"/>
      <c r="G4" s="274"/>
      <c r="H4" s="275" t="s">
        <v>727</v>
      </c>
      <c r="I4" s="276">
        <v>1</v>
      </c>
      <c r="J4" s="277" t="str">
        <f>CHOOSE(I4,J5,J6,J7,J8)</f>
        <v>High Bid</v>
      </c>
      <c r="K4" s="291"/>
    </row>
    <row r="5" spans="1:24" x14ac:dyDescent="0.5">
      <c r="B5" s="273"/>
      <c r="C5" s="273"/>
      <c r="D5" s="278">
        <v>1</v>
      </c>
      <c r="E5" s="273" t="s">
        <v>272</v>
      </c>
      <c r="F5" s="273"/>
      <c r="G5" s="273"/>
      <c r="H5" s="273"/>
      <c r="I5" s="278">
        <v>1</v>
      </c>
      <c r="J5" s="273" t="s">
        <v>676</v>
      </c>
      <c r="K5" s="273"/>
    </row>
    <row r="6" spans="1:24" x14ac:dyDescent="0.5">
      <c r="B6" s="273"/>
      <c r="C6" s="273"/>
      <c r="D6" s="278">
        <v>2</v>
      </c>
      <c r="E6" s="273" t="s">
        <v>461</v>
      </c>
      <c r="F6" s="273"/>
      <c r="G6" s="273"/>
      <c r="H6" s="273"/>
      <c r="I6" s="278">
        <v>2</v>
      </c>
      <c r="J6" s="543" t="s">
        <v>800</v>
      </c>
      <c r="K6" s="364"/>
    </row>
    <row r="7" spans="1:24" x14ac:dyDescent="0.5">
      <c r="B7" s="273"/>
      <c r="C7" s="273"/>
      <c r="D7" s="278">
        <v>3</v>
      </c>
      <c r="E7" s="273" t="s">
        <v>362</v>
      </c>
      <c r="F7" s="273"/>
      <c r="G7" s="273"/>
      <c r="H7" s="273"/>
      <c r="I7" s="278">
        <v>3</v>
      </c>
      <c r="J7" s="543" t="s">
        <v>801</v>
      </c>
      <c r="K7" s="364"/>
    </row>
    <row r="8" spans="1:24" x14ac:dyDescent="0.5">
      <c r="B8" s="273"/>
      <c r="C8" s="273"/>
      <c r="D8" s="278">
        <v>4</v>
      </c>
      <c r="E8" s="488" t="s">
        <v>363</v>
      </c>
      <c r="F8" s="364"/>
      <c r="G8" s="273"/>
      <c r="I8" s="278">
        <v>4</v>
      </c>
      <c r="J8" s="543" t="s">
        <v>802</v>
      </c>
      <c r="K8" s="364"/>
    </row>
    <row r="9" spans="1:24" x14ac:dyDescent="0.5">
      <c r="B9" s="273"/>
      <c r="C9" s="273"/>
      <c r="D9" s="278">
        <v>5</v>
      </c>
      <c r="E9" s="488" t="s">
        <v>365</v>
      </c>
      <c r="F9" s="364"/>
      <c r="G9" s="273"/>
    </row>
    <row r="11" spans="1:24" s="137" customFormat="1" ht="15.6" x14ac:dyDescent="0.6">
      <c r="A11" s="138" t="s">
        <v>31</v>
      </c>
      <c r="B11" s="131" t="s">
        <v>342</v>
      </c>
      <c r="C11" s="132"/>
      <c r="D11" s="132"/>
      <c r="E11" s="132"/>
      <c r="F11" s="132"/>
      <c r="G11" s="133"/>
      <c r="H11" s="134" t="s">
        <v>247</v>
      </c>
      <c r="I11" s="135"/>
      <c r="J11" s="135"/>
      <c r="K11" s="135"/>
      <c r="L11" s="135"/>
      <c r="M11" s="136"/>
      <c r="N11" s="134" t="s">
        <v>249</v>
      </c>
      <c r="O11" s="135"/>
      <c r="P11" s="135"/>
      <c r="Q11" s="135"/>
      <c r="R11" s="136"/>
      <c r="V11" s="140"/>
      <c r="W11" s="140"/>
      <c r="X11" s="140"/>
    </row>
    <row r="12" spans="1:24" x14ac:dyDescent="0.5">
      <c r="B12" s="139" t="s">
        <v>237</v>
      </c>
      <c r="C12" s="432"/>
      <c r="D12" s="432"/>
      <c r="E12" s="432"/>
      <c r="F12" s="432"/>
      <c r="G12" s="122"/>
      <c r="H12" s="432"/>
      <c r="I12" s="432"/>
      <c r="J12" s="432"/>
      <c r="K12" s="458"/>
      <c r="L12" s="458"/>
      <c r="M12" s="142" t="s">
        <v>251</v>
      </c>
      <c r="N12" s="432"/>
      <c r="O12" s="432"/>
      <c r="P12" s="432"/>
      <c r="Q12" s="432"/>
      <c r="R12" s="122"/>
    </row>
    <row r="13" spans="1:24" ht="14.7" x14ac:dyDescent="0.8">
      <c r="B13" s="139"/>
      <c r="C13" s="432"/>
      <c r="D13" s="432"/>
      <c r="E13" s="432"/>
      <c r="F13" s="459" t="s">
        <v>228</v>
      </c>
      <c r="G13" s="122"/>
      <c r="H13" s="432"/>
      <c r="I13" s="432"/>
      <c r="J13" s="432"/>
      <c r="K13" s="459" t="s">
        <v>228</v>
      </c>
      <c r="L13" s="459" t="s">
        <v>250</v>
      </c>
      <c r="M13" s="283" t="s">
        <v>252</v>
      </c>
      <c r="N13" s="432"/>
      <c r="O13" s="432"/>
      <c r="P13" s="432"/>
      <c r="Q13" s="432"/>
      <c r="R13" s="283" t="s">
        <v>228</v>
      </c>
    </row>
    <row r="14" spans="1:24" ht="12.75" customHeight="1" x14ac:dyDescent="0.5">
      <c r="A14" s="304"/>
      <c r="B14" s="139" t="s">
        <v>737</v>
      </c>
      <c r="C14" s="432"/>
      <c r="D14" s="432"/>
      <c r="E14" s="432"/>
      <c r="F14" s="460">
        <f>315/1.3</f>
        <v>242.30769230769229</v>
      </c>
      <c r="G14" s="122"/>
      <c r="H14" s="432" t="s">
        <v>248</v>
      </c>
      <c r="I14" s="432"/>
      <c r="J14" s="432"/>
      <c r="K14" s="442">
        <f>H82+F26</f>
        <v>84.187449999999998</v>
      </c>
      <c r="L14" s="443">
        <f ca="1">K14/$K$24</f>
        <v>1.1050568343471507E-2</v>
      </c>
      <c r="M14" s="204">
        <v>0.03</v>
      </c>
      <c r="N14" s="432" t="s">
        <v>253</v>
      </c>
      <c r="O14" s="432"/>
      <c r="P14" s="432"/>
      <c r="Q14" s="432"/>
      <c r="R14" s="183">
        <f ca="1">F16*F18</f>
        <v>7048.9174184113099</v>
      </c>
    </row>
    <row r="15" spans="1:24" ht="12.75" customHeight="1" x14ac:dyDescent="0.5">
      <c r="B15" s="139" t="s">
        <v>683</v>
      </c>
      <c r="C15" s="432"/>
      <c r="D15" s="432"/>
      <c r="E15" s="432"/>
      <c r="F15" s="502">
        <f ca="1">'LBO Model'!E505</f>
        <v>0.28021880196016624</v>
      </c>
      <c r="G15" s="122"/>
      <c r="H15" s="432" t="s">
        <v>175</v>
      </c>
      <c r="I15" s="432"/>
      <c r="J15" s="432"/>
      <c r="K15" s="432">
        <f ca="1">L15*$K$24</f>
        <v>750.00033463006582</v>
      </c>
      <c r="L15" s="462">
        <f ca="1">1-SUM(L14,L16:L18,L22)</f>
        <v>9.8446145541361663E-2</v>
      </c>
      <c r="M15" s="204">
        <f>1.7069%+2%</f>
        <v>3.7069000000000005E-2</v>
      </c>
      <c r="N15" s="432" t="s">
        <v>254</v>
      </c>
      <c r="O15" s="432"/>
      <c r="P15" s="432"/>
      <c r="Q15" s="432"/>
      <c r="R15" s="122">
        <f ca="1">F16*F19+F22</f>
        <v>3.6161315887971615</v>
      </c>
    </row>
    <row r="16" spans="1:24" ht="12.75" customHeight="1" x14ac:dyDescent="0.5">
      <c r="B16" s="383" t="s">
        <v>682</v>
      </c>
      <c r="C16" s="384"/>
      <c r="D16" s="384"/>
      <c r="E16" s="384"/>
      <c r="F16" s="450">
        <f ca="1">F14*(1+F15)</f>
        <v>310.20686355188644</v>
      </c>
      <c r="G16" s="147"/>
      <c r="H16" s="432" t="s">
        <v>176</v>
      </c>
      <c r="I16" s="432"/>
      <c r="J16" s="432"/>
      <c r="K16" s="432">
        <f ca="1">L16*$K$24</f>
        <v>2250.000902577543</v>
      </c>
      <c r="L16" s="489">
        <f ca="1">'LBO Model'!E507</f>
        <v>0.29533842332563481</v>
      </c>
      <c r="M16" s="204">
        <v>6.3E-2</v>
      </c>
      <c r="N16" s="432" t="s">
        <v>687</v>
      </c>
      <c r="O16" s="432"/>
      <c r="P16" s="432"/>
      <c r="Q16" s="432"/>
      <c r="R16" s="122">
        <f>F24</f>
        <v>427.82299999999998</v>
      </c>
    </row>
    <row r="17" spans="2:20" ht="12.75" customHeight="1" x14ac:dyDescent="0.5">
      <c r="B17" s="139"/>
      <c r="C17" s="432"/>
      <c r="D17" s="432"/>
      <c r="E17" s="432"/>
      <c r="F17" s="432"/>
      <c r="G17" s="122"/>
      <c r="H17" s="432" t="s">
        <v>177</v>
      </c>
      <c r="I17" s="432"/>
      <c r="J17" s="432"/>
      <c r="K17" s="432">
        <f ca="1">L17*$K$24</f>
        <v>0</v>
      </c>
      <c r="L17" s="489">
        <f ca="1">'LBO Model'!E508</f>
        <v>0</v>
      </c>
      <c r="M17" s="204">
        <v>9.5000000000000001E-2</v>
      </c>
      <c r="N17" s="432" t="s">
        <v>180</v>
      </c>
      <c r="O17" s="432"/>
      <c r="P17" s="432"/>
      <c r="Q17" s="432"/>
      <c r="R17" s="122">
        <f ca="1">IFERROR(E63,-1)</f>
        <v>67.500027837164836</v>
      </c>
      <c r="T17" s="218" t="str">
        <f ca="1">IF(R17=-1,"Possible Recurision Error","Recursion Point")</f>
        <v>Recursion Point</v>
      </c>
    </row>
    <row r="18" spans="2:20" ht="12.75" customHeight="1" x14ac:dyDescent="0.5">
      <c r="B18" s="139" t="s">
        <v>357</v>
      </c>
      <c r="C18" s="432"/>
      <c r="D18" s="432"/>
      <c r="E18" s="432"/>
      <c r="F18" s="451">
        <v>22.723279999999999</v>
      </c>
      <c r="G18" s="210"/>
      <c r="H18" s="432" t="s">
        <v>178</v>
      </c>
      <c r="I18" s="432"/>
      <c r="J18" s="432"/>
      <c r="K18" s="432">
        <f ca="1">L18*$K$24</f>
        <v>4534.1932261295888</v>
      </c>
      <c r="L18" s="489">
        <f ca="1">'LBO Model'!E509</f>
        <v>0.59516486278953196</v>
      </c>
      <c r="M18" s="119"/>
      <c r="N18" s="432" t="s">
        <v>255</v>
      </c>
      <c r="O18" s="432"/>
      <c r="P18" s="432"/>
      <c r="Q18" s="432"/>
      <c r="R18" s="122">
        <f ca="1">E69</f>
        <v>70.525335500001063</v>
      </c>
    </row>
    <row r="19" spans="2:20" ht="12.75" customHeight="1" x14ac:dyDescent="0.5">
      <c r="B19" s="139" t="s">
        <v>747</v>
      </c>
      <c r="C19" s="432"/>
      <c r="D19" s="432"/>
      <c r="E19" s="432"/>
      <c r="F19" s="432">
        <f ca="1">G75</f>
        <v>2.5000000000000001E-2</v>
      </c>
      <c r="G19" s="122"/>
      <c r="H19" s="432"/>
      <c r="I19" s="432"/>
      <c r="J19" s="432"/>
      <c r="K19" s="432"/>
      <c r="L19" s="443"/>
      <c r="M19" s="119"/>
      <c r="R19" s="122"/>
    </row>
    <row r="20" spans="2:20" ht="12.75" customHeight="1" x14ac:dyDescent="0.5">
      <c r="B20" s="453" t="s">
        <v>684</v>
      </c>
      <c r="C20" s="201"/>
      <c r="D20" s="201"/>
      <c r="E20" s="201"/>
      <c r="F20" s="201">
        <f ca="1">F18+F19</f>
        <v>22.748279999999998</v>
      </c>
      <c r="G20" s="454"/>
      <c r="H20" s="441" t="s">
        <v>256</v>
      </c>
      <c r="I20" s="441"/>
      <c r="J20" s="441"/>
      <c r="K20" s="456">
        <f ca="1">SUM(K14:K18)</f>
        <v>7618.3819133371981</v>
      </c>
      <c r="L20" s="457">
        <f ca="1">K20/$K$24</f>
        <v>0.99999999999999911</v>
      </c>
      <c r="M20" s="119"/>
      <c r="N20" s="441" t="s">
        <v>257</v>
      </c>
      <c r="O20" s="432"/>
      <c r="P20" s="432"/>
      <c r="Q20" s="432"/>
      <c r="R20" s="197">
        <f ca="1">SUM(R14:R18)</f>
        <v>7618.3819133372735</v>
      </c>
    </row>
    <row r="21" spans="2:20" ht="12.75" customHeight="1" x14ac:dyDescent="0.5">
      <c r="B21" s="139" t="s">
        <v>685</v>
      </c>
      <c r="C21" s="432"/>
      <c r="D21" s="432"/>
      <c r="E21" s="432"/>
      <c r="F21" s="442">
        <f ca="1">F16</f>
        <v>310.20686355188644</v>
      </c>
      <c r="G21" s="122"/>
      <c r="H21" s="432"/>
      <c r="I21" s="432"/>
      <c r="J21" s="432"/>
      <c r="K21" s="432"/>
      <c r="L21" s="443"/>
      <c r="M21" s="119"/>
      <c r="N21" s="432"/>
      <c r="O21" s="432"/>
      <c r="P21" s="432"/>
      <c r="Q21" s="432"/>
      <c r="R21" s="122"/>
    </row>
    <row r="22" spans="2:20" ht="12.75" customHeight="1" x14ac:dyDescent="0.5">
      <c r="B22" s="139" t="s">
        <v>748</v>
      </c>
      <c r="C22" s="432"/>
      <c r="D22" s="432"/>
      <c r="E22" s="432"/>
      <c r="F22" s="432">
        <f ca="1">-H75</f>
        <v>-4.1390399999999996</v>
      </c>
      <c r="G22" s="122"/>
      <c r="H22" s="432" t="s">
        <v>229</v>
      </c>
      <c r="I22" s="432"/>
      <c r="J22" s="432"/>
      <c r="K22" s="464">
        <f>F25</f>
        <v>0</v>
      </c>
      <c r="L22" s="443">
        <f ca="1">K22/$K$24</f>
        <v>0</v>
      </c>
      <c r="M22" s="204">
        <v>6.3899999999999998E-2</v>
      </c>
      <c r="N22" s="432" t="s">
        <v>229</v>
      </c>
      <c r="O22" s="432"/>
      <c r="P22" s="432"/>
      <c r="Q22" s="432"/>
      <c r="R22" s="122">
        <f>K22</f>
        <v>0</v>
      </c>
    </row>
    <row r="23" spans="2:20" ht="12.75" customHeight="1" x14ac:dyDescent="0.5">
      <c r="B23" s="453" t="s">
        <v>227</v>
      </c>
      <c r="C23" s="201"/>
      <c r="D23" s="201"/>
      <c r="E23" s="201"/>
      <c r="F23" s="202">
        <f ca="1">F20*F21+F22</f>
        <v>7052.5335500001065</v>
      </c>
      <c r="G23" s="454"/>
      <c r="H23" s="432"/>
      <c r="I23" s="432"/>
      <c r="J23" s="432"/>
      <c r="K23" s="432"/>
      <c r="L23" s="443"/>
      <c r="M23" s="119"/>
      <c r="N23" s="432"/>
      <c r="O23" s="432"/>
      <c r="P23" s="432"/>
      <c r="Q23" s="432"/>
      <c r="R23" s="122"/>
    </row>
    <row r="24" spans="2:20" ht="12.75" customHeight="1" x14ac:dyDescent="0.5">
      <c r="B24" s="139" t="s">
        <v>686</v>
      </c>
      <c r="C24" s="432"/>
      <c r="D24" s="432"/>
      <c r="E24" s="432"/>
      <c r="F24" s="432">
        <f>H106-F25</f>
        <v>427.82299999999998</v>
      </c>
      <c r="G24" s="122"/>
      <c r="H24" s="441" t="s">
        <v>179</v>
      </c>
      <c r="I24" s="432"/>
      <c r="J24" s="432"/>
      <c r="K24" s="452">
        <f ca="1">R24</f>
        <v>7618.3819133372281</v>
      </c>
      <c r="L24" s="455">
        <f ca="1">K24/$K$24</f>
        <v>1</v>
      </c>
      <c r="M24" s="119"/>
      <c r="N24" s="441" t="s">
        <v>181</v>
      </c>
      <c r="O24" s="432"/>
      <c r="P24" s="432"/>
      <c r="Q24" s="432"/>
      <c r="R24" s="197">
        <f ca="1">R20+R22</f>
        <v>7618.3819133372735</v>
      </c>
    </row>
    <row r="25" spans="2:20" ht="12.75" customHeight="1" x14ac:dyDescent="0.5">
      <c r="B25" s="139" t="s">
        <v>688</v>
      </c>
      <c r="C25" s="432"/>
      <c r="D25" s="432"/>
      <c r="E25" s="432"/>
      <c r="F25" s="451">
        <v>0</v>
      </c>
      <c r="G25" s="122"/>
      <c r="H25" s="432"/>
      <c r="I25" s="432"/>
      <c r="J25" s="432"/>
      <c r="K25" s="432"/>
      <c r="L25" s="432"/>
      <c r="M25" s="122"/>
      <c r="N25" s="432"/>
      <c r="O25" s="432"/>
      <c r="P25" s="432"/>
      <c r="Q25" s="432"/>
      <c r="R25" s="122"/>
    </row>
    <row r="26" spans="2:20" ht="12.75" customHeight="1" x14ac:dyDescent="0.5">
      <c r="B26" s="139" t="s">
        <v>689</v>
      </c>
      <c r="C26" s="432"/>
      <c r="D26" s="432"/>
      <c r="E26" s="432"/>
      <c r="F26" s="451">
        <v>-21.341550000000002</v>
      </c>
      <c r="G26" s="210"/>
      <c r="H26" s="432"/>
      <c r="I26" s="432"/>
      <c r="J26" s="432"/>
      <c r="K26" s="432"/>
      <c r="L26" s="432"/>
      <c r="M26" s="122"/>
      <c r="N26" s="432"/>
      <c r="O26" s="432"/>
      <c r="P26" s="432"/>
      <c r="Q26" s="432"/>
      <c r="R26" s="122"/>
    </row>
    <row r="27" spans="2:20" ht="12.75" customHeight="1" x14ac:dyDescent="0.5">
      <c r="B27" s="383" t="s">
        <v>736</v>
      </c>
      <c r="C27" s="384"/>
      <c r="D27" s="384"/>
      <c r="E27" s="384"/>
      <c r="F27" s="385">
        <f ca="1">F23+F24+F25+F26</f>
        <v>7459.0150000001067</v>
      </c>
      <c r="G27" s="147"/>
      <c r="H27" s="432"/>
      <c r="I27" s="432"/>
      <c r="J27" s="432"/>
      <c r="K27" s="432"/>
      <c r="L27" s="432"/>
      <c r="M27" s="122"/>
      <c r="N27" s="432"/>
      <c r="O27" s="432"/>
      <c r="P27" s="432"/>
      <c r="Q27" s="432"/>
      <c r="R27" s="122"/>
    </row>
    <row r="28" spans="2:20" ht="12.75" customHeight="1" x14ac:dyDescent="0.5">
      <c r="B28" s="139"/>
      <c r="C28" s="432"/>
      <c r="D28" s="432"/>
      <c r="E28" s="432"/>
      <c r="F28" s="432"/>
      <c r="G28" s="122"/>
      <c r="H28" s="432"/>
      <c r="I28" s="432"/>
      <c r="J28" s="432"/>
      <c r="K28" s="432"/>
      <c r="L28" s="432"/>
      <c r="M28" s="122"/>
      <c r="N28" s="432"/>
      <c r="O28" s="432"/>
      <c r="P28" s="432"/>
      <c r="Q28" s="432"/>
      <c r="R28" s="122"/>
    </row>
    <row r="29" spans="2:20" ht="12.75" customHeight="1" x14ac:dyDescent="0.5">
      <c r="B29" s="139" t="s">
        <v>690</v>
      </c>
      <c r="C29" s="432"/>
      <c r="D29" s="432"/>
      <c r="E29" s="432"/>
      <c r="F29" s="432">
        <f ca="1">R17+R18</f>
        <v>138.02536333716591</v>
      </c>
      <c r="G29" s="122"/>
      <c r="H29" s="432"/>
      <c r="I29" s="432"/>
      <c r="J29" s="432"/>
      <c r="K29" s="432"/>
      <c r="L29" s="432"/>
      <c r="M29" s="122"/>
      <c r="N29" s="432"/>
      <c r="O29" s="432"/>
      <c r="P29" s="432"/>
      <c r="Q29" s="432"/>
      <c r="R29" s="122"/>
    </row>
    <row r="30" spans="2:20" ht="12.75" customHeight="1" x14ac:dyDescent="0.5">
      <c r="B30" s="383" t="s">
        <v>730</v>
      </c>
      <c r="C30" s="146"/>
      <c r="D30" s="146"/>
      <c r="E30" s="146"/>
      <c r="F30" s="385">
        <f ca="1">F27+F29</f>
        <v>7597.0403633372725</v>
      </c>
      <c r="G30" s="147"/>
      <c r="H30" s="432"/>
      <c r="I30" s="432"/>
      <c r="J30" s="432"/>
      <c r="K30" s="432"/>
      <c r="L30" s="432"/>
      <c r="M30" s="122"/>
      <c r="N30" s="432"/>
      <c r="O30" s="432"/>
      <c r="P30" s="432"/>
      <c r="Q30" s="432"/>
      <c r="R30" s="122"/>
    </row>
    <row r="31" spans="2:20" ht="12.75" customHeight="1" x14ac:dyDescent="0.5">
      <c r="B31" s="139"/>
      <c r="C31" s="432"/>
      <c r="D31" s="432"/>
      <c r="E31" s="432"/>
      <c r="F31" s="432"/>
      <c r="G31" s="122"/>
      <c r="H31" s="432"/>
      <c r="I31" s="432"/>
      <c r="J31" s="432"/>
      <c r="K31" s="432"/>
      <c r="L31" s="432"/>
      <c r="M31" s="122"/>
      <c r="N31" s="432"/>
      <c r="O31" s="432"/>
      <c r="P31" s="432"/>
      <c r="Q31" s="432"/>
      <c r="R31" s="122"/>
    </row>
    <row r="32" spans="2:20" ht="12.75" customHeight="1" x14ac:dyDescent="0.5">
      <c r="B32" s="139" t="s">
        <v>269</v>
      </c>
      <c r="C32" s="432"/>
      <c r="D32" s="432"/>
      <c r="E32" s="432"/>
      <c r="F32" s="442">
        <f>H160</f>
        <v>403.19000000000017</v>
      </c>
      <c r="G32" s="122"/>
      <c r="H32" s="432"/>
      <c r="I32" s="432"/>
      <c r="J32" s="432"/>
      <c r="K32" s="432"/>
      <c r="L32" s="432"/>
      <c r="M32" s="122"/>
      <c r="N32" s="432"/>
      <c r="O32" s="432"/>
      <c r="P32" s="432"/>
      <c r="Q32" s="432"/>
      <c r="R32" s="122"/>
    </row>
    <row r="33" spans="1:18" ht="12.75" customHeight="1" x14ac:dyDescent="0.5">
      <c r="B33" s="139"/>
      <c r="C33" s="432"/>
      <c r="D33" s="432"/>
      <c r="E33" s="432"/>
      <c r="F33" s="432"/>
      <c r="G33" s="122"/>
      <c r="H33" s="432"/>
      <c r="I33" s="432"/>
      <c r="J33" s="432"/>
      <c r="K33" s="432"/>
      <c r="L33" s="432"/>
      <c r="M33" s="122"/>
      <c r="N33" s="432"/>
      <c r="O33" s="432"/>
      <c r="P33" s="432"/>
      <c r="Q33" s="432"/>
      <c r="R33" s="122"/>
    </row>
    <row r="34" spans="1:18" ht="12.75" customHeight="1" x14ac:dyDescent="0.5">
      <c r="B34" s="139" t="s">
        <v>270</v>
      </c>
      <c r="C34" s="432"/>
      <c r="D34" s="432"/>
      <c r="E34" s="432"/>
      <c r="F34" s="469">
        <f ca="1">F27/F32</f>
        <v>18.500000000000256</v>
      </c>
      <c r="G34" s="122"/>
      <c r="H34" s="432"/>
      <c r="I34" s="432"/>
      <c r="J34" s="432"/>
      <c r="K34" s="432"/>
      <c r="L34" s="432"/>
      <c r="M34" s="122"/>
      <c r="N34" s="432"/>
      <c r="O34" s="432"/>
      <c r="P34" s="432"/>
      <c r="Q34" s="432"/>
      <c r="R34" s="122"/>
    </row>
    <row r="35" spans="1:18" ht="12.75" customHeight="1" x14ac:dyDescent="0.5">
      <c r="B35" s="139"/>
      <c r="C35" s="432"/>
      <c r="D35" s="432"/>
      <c r="E35" s="432"/>
      <c r="F35" s="382"/>
      <c r="G35" s="122"/>
      <c r="H35" s="432"/>
      <c r="I35" s="432"/>
      <c r="J35" s="432"/>
      <c r="K35" s="432"/>
      <c r="L35" s="432"/>
      <c r="M35" s="122"/>
      <c r="N35" s="432"/>
      <c r="O35" s="432"/>
      <c r="P35" s="432"/>
      <c r="Q35" s="432"/>
      <c r="R35" s="122"/>
    </row>
    <row r="36" spans="1:18" ht="12.75" customHeight="1" x14ac:dyDescent="0.5">
      <c r="B36" s="149" t="s">
        <v>271</v>
      </c>
      <c r="C36" s="432"/>
      <c r="D36" s="432"/>
      <c r="E36" s="432"/>
      <c r="F36" s="469">
        <f ca="1">F30/F32</f>
        <v>18.842333300273491</v>
      </c>
      <c r="G36" s="151"/>
      <c r="H36" s="432"/>
      <c r="I36" s="432"/>
      <c r="J36" s="432"/>
      <c r="K36" s="432"/>
      <c r="L36" s="432"/>
      <c r="M36" s="151"/>
      <c r="N36" s="432"/>
      <c r="O36" s="432"/>
      <c r="P36" s="432"/>
      <c r="Q36" s="432"/>
      <c r="R36" s="151"/>
    </row>
    <row r="37" spans="1:18" ht="15.6" x14ac:dyDescent="0.6">
      <c r="B37" s="131" t="s">
        <v>231</v>
      </c>
      <c r="C37" s="152"/>
      <c r="D37" s="152"/>
      <c r="E37" s="152"/>
      <c r="F37" s="152"/>
      <c r="G37" s="153"/>
      <c r="H37" s="134" t="s">
        <v>223</v>
      </c>
      <c r="I37" s="135"/>
      <c r="J37" s="135"/>
      <c r="K37" s="135"/>
      <c r="L37" s="135"/>
      <c r="M37" s="135"/>
      <c r="N37" s="135"/>
      <c r="O37" s="135"/>
      <c r="P37" s="135"/>
      <c r="Q37" s="135"/>
      <c r="R37" s="136"/>
    </row>
    <row r="38" spans="1:18" ht="12.75" customHeight="1" x14ac:dyDescent="0.5">
      <c r="B38" s="139"/>
      <c r="C38" s="432"/>
      <c r="D38" s="432"/>
      <c r="E38" s="432"/>
      <c r="F38" s="430" t="s">
        <v>591</v>
      </c>
      <c r="G38" s="290"/>
      <c r="H38" s="432"/>
      <c r="I38" s="432"/>
      <c r="J38" s="432"/>
      <c r="K38" s="458" t="s">
        <v>109</v>
      </c>
      <c r="L38" s="430" t="s">
        <v>224</v>
      </c>
      <c r="M38" s="430"/>
      <c r="N38" s="430"/>
      <c r="O38" s="430"/>
      <c r="P38" s="430"/>
      <c r="Q38" s="458" t="s">
        <v>129</v>
      </c>
      <c r="R38" s="122"/>
    </row>
    <row r="39" spans="1:18" ht="14.7" x14ac:dyDescent="0.8">
      <c r="B39" s="139"/>
      <c r="C39" s="432"/>
      <c r="D39" s="432"/>
      <c r="E39" s="459" t="s">
        <v>228</v>
      </c>
      <c r="F39" s="386" t="s">
        <v>592</v>
      </c>
      <c r="G39" s="387" t="s">
        <v>590</v>
      </c>
      <c r="H39" s="432"/>
      <c r="I39" s="432"/>
      <c r="J39" s="432"/>
      <c r="K39" s="465">
        <f>H141</f>
        <v>42731</v>
      </c>
      <c r="L39" s="285">
        <f>DATE(YEAR(K39)+1,MONTH(K39),DAY(K39))</f>
        <v>43096</v>
      </c>
      <c r="M39" s="285">
        <f>DATE(YEAR(L39)+1,MONTH(L39),DAY(L39))</f>
        <v>43461</v>
      </c>
      <c r="N39" s="285">
        <f>DATE(YEAR(M39)+1,MONTH(M39),DAY(M39))</f>
        <v>43826</v>
      </c>
      <c r="O39" s="285">
        <f>DATE(YEAR(N39)+1,MONTH(N39),DAY(N39))</f>
        <v>44192</v>
      </c>
      <c r="P39" s="285">
        <f>DATE(YEAR(O39)+1,MONTH(O39),DAY(O39))</f>
        <v>44557</v>
      </c>
      <c r="Q39" s="466" t="s">
        <v>655</v>
      </c>
      <c r="R39" s="122"/>
    </row>
    <row r="40" spans="1:18" ht="12.75" customHeight="1" x14ac:dyDescent="0.5">
      <c r="B40" s="139" t="s">
        <v>269</v>
      </c>
      <c r="C40" s="432"/>
      <c r="D40" s="432"/>
      <c r="E40" s="467">
        <f>F32</f>
        <v>403.19000000000017</v>
      </c>
      <c r="F40" s="432"/>
      <c r="G40" s="122"/>
      <c r="H40" s="432" t="s">
        <v>107</v>
      </c>
      <c r="I40" s="432"/>
      <c r="J40" s="432"/>
      <c r="K40" s="442">
        <f t="shared" ref="K40" si="0">H146</f>
        <v>2795.3650000000002</v>
      </c>
      <c r="L40" s="442">
        <f t="shared" ref="L40" ca="1" si="1">I146</f>
        <v>2846.1157142857151</v>
      </c>
      <c r="M40" s="442">
        <f t="shared" ref="M40" ca="1" si="2">J146</f>
        <v>3083.1444285714297</v>
      </c>
      <c r="N40" s="442">
        <f t="shared" ref="N40" ca="1" si="3">K146</f>
        <v>3374.4200000000014</v>
      </c>
      <c r="O40" s="442">
        <f t="shared" ref="O40" ca="1" si="4">L146</f>
        <v>3886.8910000000014</v>
      </c>
      <c r="P40" s="442">
        <f t="shared" ref="P40" ca="1" si="5">M146</f>
        <v>4220.0080000000016</v>
      </c>
      <c r="Q40" s="443">
        <f ca="1">(P40/K40)^(1/5)-1</f>
        <v>8.5862787747297054E-2</v>
      </c>
      <c r="R40" s="122"/>
    </row>
    <row r="41" spans="1:18" ht="12.75" customHeight="1" x14ac:dyDescent="0.5">
      <c r="B41" s="139"/>
      <c r="G41" s="122"/>
      <c r="H41" s="439" t="s">
        <v>124</v>
      </c>
      <c r="I41" s="440"/>
      <c r="J41" s="440"/>
      <c r="K41" s="431">
        <f>H181</f>
        <v>4.2432073628234201E-2</v>
      </c>
      <c r="L41" s="431">
        <f t="shared" ref="L41:P41" ca="1" si="6">I181</f>
        <v>1.8155308621848887E-2</v>
      </c>
      <c r="M41" s="431">
        <f t="shared" ca="1" si="6"/>
        <v>8.3281474852192172E-2</v>
      </c>
      <c r="N41" s="431">
        <f t="shared" ca="1" si="6"/>
        <v>9.4473540950377632E-2</v>
      </c>
      <c r="O41" s="431">
        <f t="shared" ca="1" si="6"/>
        <v>0.15186935828972081</v>
      </c>
      <c r="P41" s="431">
        <f t="shared" ca="1" si="6"/>
        <v>8.5702686285774377E-2</v>
      </c>
      <c r="Q41" s="443"/>
      <c r="R41" s="122"/>
    </row>
    <row r="42" spans="1:18" ht="12.75" customHeight="1" x14ac:dyDescent="0.5">
      <c r="B42" s="139" t="s">
        <v>175</v>
      </c>
      <c r="C42" s="432"/>
      <c r="D42" s="432"/>
      <c r="E42" s="432">
        <f ca="1">K15</f>
        <v>750.00033463006582</v>
      </c>
      <c r="F42" s="469">
        <f ca="1">E42/$E$40</f>
        <v>1.8601660126244834</v>
      </c>
      <c r="G42" s="215">
        <f ca="1">E42/$E$40</f>
        <v>1.8601660126244834</v>
      </c>
      <c r="H42" s="432"/>
      <c r="I42" s="432"/>
      <c r="J42" s="432"/>
      <c r="K42" s="432"/>
      <c r="L42" s="432"/>
      <c r="M42" s="432"/>
      <c r="N42" s="432"/>
      <c r="O42" s="432"/>
      <c r="P42" s="432"/>
      <c r="Q42" s="443"/>
      <c r="R42" s="122"/>
    </row>
    <row r="43" spans="1:18" ht="12.75" customHeight="1" x14ac:dyDescent="0.5">
      <c r="A43" s="449"/>
      <c r="B43" s="139" t="s">
        <v>176</v>
      </c>
      <c r="C43" s="432"/>
      <c r="D43" s="432"/>
      <c r="E43" s="432">
        <f ca="1">K16</f>
        <v>2250.000902577543</v>
      </c>
      <c r="F43" s="469">
        <f ca="1">E43/$E$40</f>
        <v>5.5804977865957541</v>
      </c>
      <c r="G43" s="215">
        <f ca="1">SUM(E42:E43)/$E$40</f>
        <v>7.4406637992202382</v>
      </c>
      <c r="H43" s="432" t="s">
        <v>110</v>
      </c>
      <c r="I43" s="432"/>
      <c r="J43" s="432"/>
      <c r="K43" s="432">
        <f t="shared" ref="K43" si="7">H160</f>
        <v>403.19000000000017</v>
      </c>
      <c r="L43" s="432">
        <f t="shared" ref="L43" ca="1" si="8">I160</f>
        <v>440.89999999999992</v>
      </c>
      <c r="M43" s="432">
        <f t="shared" ref="M43" ca="1" si="9">J160</f>
        <v>489.40000000000043</v>
      </c>
      <c r="N43" s="432">
        <f t="shared" ref="N43" ca="1" si="10">K160</f>
        <v>561.10000000000059</v>
      </c>
      <c r="O43" s="432">
        <f t="shared" ref="O43" ca="1" si="11">L160</f>
        <v>631.60000000000036</v>
      </c>
      <c r="P43" s="432">
        <f t="shared" ref="P43" ca="1" si="12">M160</f>
        <v>692.1000000000007</v>
      </c>
      <c r="Q43" s="443">
        <f ca="1">(P43/K43)^(1/5)-1</f>
        <v>0.11411961247036118</v>
      </c>
      <c r="R43" s="122"/>
    </row>
    <row r="44" spans="1:18" ht="12.75" customHeight="1" x14ac:dyDescent="0.5">
      <c r="A44" s="449"/>
      <c r="B44" s="139" t="s">
        <v>177</v>
      </c>
      <c r="C44" s="432"/>
      <c r="D44" s="432"/>
      <c r="E44" s="432">
        <f ca="1">K17</f>
        <v>0</v>
      </c>
      <c r="F44" s="469">
        <f ca="1">E44/$E$40</f>
        <v>0</v>
      </c>
      <c r="G44" s="215">
        <f ca="1">SUM(E42:E44)/$E$40</f>
        <v>7.4406637992202382</v>
      </c>
      <c r="H44" s="439" t="s">
        <v>124</v>
      </c>
      <c r="I44" s="440"/>
      <c r="J44" s="440"/>
      <c r="K44" s="468">
        <f>H181</f>
        <v>4.2432073628234201E-2</v>
      </c>
      <c r="L44" s="468">
        <f t="shared" ref="L44:P44" ca="1" si="13">I181</f>
        <v>1.8155308621848887E-2</v>
      </c>
      <c r="M44" s="468">
        <f t="shared" ca="1" si="13"/>
        <v>8.3281474852192172E-2</v>
      </c>
      <c r="N44" s="468">
        <f t="shared" ca="1" si="13"/>
        <v>9.4473540950377632E-2</v>
      </c>
      <c r="O44" s="468">
        <f t="shared" ca="1" si="13"/>
        <v>0.15186935828972081</v>
      </c>
      <c r="P44" s="468">
        <f t="shared" ca="1" si="13"/>
        <v>8.5702686285774377E-2</v>
      </c>
      <c r="Q44" s="432"/>
      <c r="R44" s="122"/>
    </row>
    <row r="45" spans="1:18" ht="12.75" customHeight="1" x14ac:dyDescent="0.5">
      <c r="A45" s="449"/>
      <c r="B45" s="139" t="s">
        <v>229</v>
      </c>
      <c r="C45" s="432"/>
      <c r="D45" s="432"/>
      <c r="E45" s="432">
        <f>K22</f>
        <v>0</v>
      </c>
      <c r="F45" s="469">
        <f>E45/$E$40</f>
        <v>0</v>
      </c>
      <c r="G45" s="215">
        <f ca="1">SUM(E42:E45)/$E$40</f>
        <v>7.4406637992202382</v>
      </c>
      <c r="H45" s="439" t="s">
        <v>225</v>
      </c>
      <c r="I45" s="440"/>
      <c r="J45" s="440"/>
      <c r="K45" s="468">
        <f>H186</f>
        <v>0.14423518932232468</v>
      </c>
      <c r="L45" s="468">
        <f t="shared" ref="L45:P45" ca="1" si="14">I186</f>
        <v>0.15491288628461541</v>
      </c>
      <c r="M45" s="468">
        <f t="shared" ca="1" si="14"/>
        <v>0.15873404938955882</v>
      </c>
      <c r="N45" s="468">
        <f t="shared" ca="1" si="14"/>
        <v>0.16628042745123617</v>
      </c>
      <c r="O45" s="468">
        <f t="shared" ca="1" si="14"/>
        <v>0.16249490917033693</v>
      </c>
      <c r="P45" s="468">
        <f t="shared" ca="1" si="14"/>
        <v>0.16400442842762394</v>
      </c>
      <c r="Q45" s="432"/>
      <c r="R45" s="122"/>
    </row>
    <row r="46" spans="1:18" ht="12.75" customHeight="1" x14ac:dyDescent="0.5">
      <c r="A46" s="449"/>
      <c r="B46" s="221" t="s">
        <v>214</v>
      </c>
      <c r="C46" s="441"/>
      <c r="D46" s="441"/>
      <c r="E46" s="385">
        <f ca="1">SUM(E42:E45)</f>
        <v>3000.0012372076089</v>
      </c>
      <c r="F46" s="473">
        <f t="shared" ref="F46" ca="1" si="15">SUM(F42:F45)</f>
        <v>7.4406637992202374</v>
      </c>
      <c r="G46" s="474">
        <f ca="1">E46/$E$40</f>
        <v>7.4406637992202382</v>
      </c>
      <c r="H46" s="432"/>
      <c r="I46" s="432"/>
      <c r="J46" s="432"/>
      <c r="K46" s="432"/>
      <c r="L46" s="432"/>
      <c r="M46" s="432"/>
      <c r="N46" s="432"/>
      <c r="O46" s="432"/>
      <c r="P46" s="432"/>
      <c r="Q46" s="432"/>
      <c r="R46" s="122"/>
    </row>
    <row r="47" spans="1:18" ht="12.75" customHeight="1" x14ac:dyDescent="0.5">
      <c r="B47" s="139"/>
      <c r="C47" s="432"/>
      <c r="D47" s="432"/>
      <c r="E47" s="432"/>
      <c r="F47" s="432"/>
      <c r="G47" s="122"/>
      <c r="H47" s="432" t="s">
        <v>276</v>
      </c>
      <c r="I47" s="432"/>
      <c r="J47" s="432"/>
      <c r="K47" s="432">
        <f>H167+H169-H168</f>
        <v>8.8840000000000003</v>
      </c>
      <c r="L47" s="432">
        <f t="shared" ref="L47:P47" ca="1" si="16">I167+I169-I168</f>
        <v>174.13839668657508</v>
      </c>
      <c r="M47" s="432">
        <f t="shared" ca="1" si="16"/>
        <v>170.86082758556532</v>
      </c>
      <c r="N47" s="432">
        <f t="shared" ca="1" si="16"/>
        <v>164.48245205923334</v>
      </c>
      <c r="O47" s="432">
        <f t="shared" ca="1" si="16"/>
        <v>155.72268489383853</v>
      </c>
      <c r="P47" s="432">
        <f t="shared" ca="1" si="16"/>
        <v>141.98782935750975</v>
      </c>
      <c r="Q47" s="432"/>
      <c r="R47" s="122"/>
    </row>
    <row r="48" spans="1:18" ht="12.75" customHeight="1" x14ac:dyDescent="0.5">
      <c r="B48" s="139"/>
      <c r="C48" s="432"/>
      <c r="D48" s="432"/>
      <c r="E48" s="432"/>
      <c r="F48" s="432"/>
      <c r="G48" s="122"/>
      <c r="H48" s="432"/>
      <c r="I48" s="432"/>
      <c r="J48" s="432"/>
      <c r="K48" s="432"/>
      <c r="L48" s="432"/>
      <c r="M48" s="432"/>
      <c r="N48" s="432"/>
      <c r="O48" s="432"/>
      <c r="P48" s="432"/>
      <c r="Q48" s="441" t="s">
        <v>310</v>
      </c>
      <c r="R48" s="122"/>
    </row>
    <row r="49" spans="2:20" ht="12.75" customHeight="1" x14ac:dyDescent="0.5">
      <c r="B49" s="139"/>
      <c r="C49" s="432"/>
      <c r="D49" s="432"/>
      <c r="E49" s="432"/>
      <c r="F49" s="432"/>
      <c r="G49" s="122"/>
      <c r="H49" s="432" t="s">
        <v>214</v>
      </c>
      <c r="I49" s="432"/>
      <c r="J49" s="432"/>
      <c r="K49" s="442">
        <f t="shared" ref="K49" ca="1" si="17">H273</f>
        <v>3000.0012372073261</v>
      </c>
      <c r="L49" s="442">
        <f t="shared" ref="L49" ca="1" si="18">I273</f>
        <v>2969.8470493282257</v>
      </c>
      <c r="M49" s="442">
        <f t="shared" ref="M49" ca="1" si="19">J273</f>
        <v>2823.1651153281405</v>
      </c>
      <c r="N49" s="442">
        <f t="shared" ref="N49" ca="1" si="20">K273</f>
        <v>2625.7117596377211</v>
      </c>
      <c r="O49" s="442">
        <f t="shared" ref="O49" ca="1" si="21">L273</f>
        <v>2350.5455590454108</v>
      </c>
      <c r="P49" s="442">
        <f t="shared" ref="P49" ca="1" si="22">M273</f>
        <v>2035.0408181609478</v>
      </c>
      <c r="Q49" s="442">
        <f ca="1">K49-P49</f>
        <v>964.96041904637832</v>
      </c>
      <c r="R49" s="122"/>
    </row>
    <row r="50" spans="2:20" ht="12.75" customHeight="1" x14ac:dyDescent="0.5">
      <c r="B50" s="149"/>
      <c r="C50" s="150"/>
      <c r="D50" s="150"/>
      <c r="E50" s="150"/>
      <c r="F50" s="150"/>
      <c r="G50" s="151"/>
      <c r="H50" s="432" t="s">
        <v>242</v>
      </c>
      <c r="I50" s="432"/>
      <c r="J50" s="432"/>
      <c r="K50" s="150">
        <f t="shared" ref="K50" si="23">H245</f>
        <v>21.341549999999998</v>
      </c>
      <c r="L50" s="150">
        <f t="shared" ref="L50" ca="1" si="24">I245</f>
        <v>21.341550000000002</v>
      </c>
      <c r="M50" s="150">
        <f t="shared" ref="M50" ca="1" si="25">J245</f>
        <v>21.341550000000002</v>
      </c>
      <c r="N50" s="150">
        <f t="shared" ref="N50" ca="1" si="26">K245</f>
        <v>21.341550000000002</v>
      </c>
      <c r="O50" s="150">
        <f t="shared" ref="O50" ca="1" si="27">L245</f>
        <v>21.341550000000002</v>
      </c>
      <c r="P50" s="150">
        <f t="shared" ref="P50" ca="1" si="28">M245</f>
        <v>21.341550000000002</v>
      </c>
      <c r="Q50" s="432"/>
      <c r="R50" s="122"/>
    </row>
    <row r="51" spans="2:20" ht="12.75" customHeight="1" x14ac:dyDescent="0.6">
      <c r="B51" s="131" t="s">
        <v>259</v>
      </c>
      <c r="C51" s="134"/>
      <c r="D51" s="134"/>
      <c r="E51" s="134"/>
      <c r="F51" s="134"/>
      <c r="G51" s="156"/>
      <c r="H51" s="432" t="s">
        <v>216</v>
      </c>
      <c r="I51" s="432"/>
      <c r="J51" s="432"/>
      <c r="K51" s="442">
        <f t="shared" ref="K51" ca="1" si="29">K49-K50</f>
        <v>2978.659687207326</v>
      </c>
      <c r="L51" s="442">
        <f t="shared" ref="L51:P51" ca="1" si="30">L49-L50</f>
        <v>2948.5054993282256</v>
      </c>
      <c r="M51" s="442">
        <f t="shared" ca="1" si="30"/>
        <v>2801.8235653281404</v>
      </c>
      <c r="N51" s="442">
        <f t="shared" ca="1" si="30"/>
        <v>2604.370209637721</v>
      </c>
      <c r="O51" s="442">
        <f t="shared" ca="1" si="30"/>
        <v>2329.2040090454107</v>
      </c>
      <c r="P51" s="442">
        <f t="shared" ca="1" si="30"/>
        <v>2013.6992681609477</v>
      </c>
      <c r="Q51" s="432"/>
      <c r="R51" s="122"/>
      <c r="T51" s="125"/>
    </row>
    <row r="52" spans="2:20" ht="12.75" customHeight="1" x14ac:dyDescent="0.5">
      <c r="B52" s="139"/>
      <c r="C52" s="432"/>
      <c r="D52" s="458" t="s">
        <v>260</v>
      </c>
      <c r="E52" s="458"/>
      <c r="F52" s="458"/>
      <c r="G52" s="142" t="s">
        <v>262</v>
      </c>
      <c r="H52" s="432"/>
      <c r="I52" s="432"/>
      <c r="J52" s="432"/>
      <c r="K52" s="432"/>
      <c r="L52" s="432"/>
      <c r="M52" s="432"/>
      <c r="N52" s="432"/>
      <c r="O52" s="432"/>
      <c r="P52" s="432"/>
      <c r="Q52" s="432"/>
      <c r="R52" s="122"/>
    </row>
    <row r="53" spans="2:20" ht="14.7" x14ac:dyDescent="0.8">
      <c r="B53" s="139"/>
      <c r="C53" s="432"/>
      <c r="D53" s="459" t="s">
        <v>261</v>
      </c>
      <c r="E53" s="459"/>
      <c r="F53" s="459" t="s">
        <v>260</v>
      </c>
      <c r="G53" s="283" t="s">
        <v>263</v>
      </c>
      <c r="H53" s="432" t="s">
        <v>218</v>
      </c>
      <c r="I53" s="432"/>
      <c r="J53" s="432"/>
      <c r="K53" s="382">
        <f t="shared" ref="K53:K54" ca="1" si="31">H226</f>
        <v>7.4406637992144979</v>
      </c>
      <c r="L53" s="382">
        <f t="shared" ref="L53:L54" ca="1" si="32">I226</f>
        <v>6.7358744597991222</v>
      </c>
      <c r="M53" s="382">
        <f t="shared" ref="M53:M54" ca="1" si="33">J226</f>
        <v>5.7686250823946645</v>
      </c>
      <c r="N53" s="382">
        <f t="shared" ref="N53:N54" ca="1" si="34">K226</f>
        <v>4.6795789692719412</v>
      </c>
      <c r="O53" s="382">
        <f t="shared" ref="O53:O54" ca="1" si="35">L226</f>
        <v>3.7215730827575655</v>
      </c>
      <c r="P53" s="382">
        <f t="shared" ref="P53:P54" ca="1" si="36">M226</f>
        <v>2.9403855197238142</v>
      </c>
      <c r="Q53" s="432"/>
      <c r="R53" s="122"/>
    </row>
    <row r="54" spans="2:20" ht="12.75" customHeight="1" x14ac:dyDescent="0.5">
      <c r="B54" s="139" t="s">
        <v>264</v>
      </c>
      <c r="C54" s="432"/>
      <c r="D54" s="442">
        <f ca="1">K18</f>
        <v>4534.1932261295888</v>
      </c>
      <c r="E54" s="432"/>
      <c r="F54" s="463">
        <f ca="1">D54/$D$56</f>
        <v>1.0000000000000753</v>
      </c>
      <c r="G54" s="223">
        <f ca="1">G56-G55</f>
        <v>1.0000000000006719</v>
      </c>
      <c r="H54" s="432" t="s">
        <v>219</v>
      </c>
      <c r="I54" s="432"/>
      <c r="J54" s="432"/>
      <c r="K54" s="382">
        <f t="shared" ca="1" si="31"/>
        <v>7.3877320548756007</v>
      </c>
      <c r="L54" s="382">
        <f t="shared" ca="1" si="32"/>
        <v>6.6874699463039988</v>
      </c>
      <c r="M54" s="382">
        <f t="shared" ca="1" si="33"/>
        <v>5.72501750168359</v>
      </c>
      <c r="N54" s="382">
        <f t="shared" ca="1" si="34"/>
        <v>4.6415437705551348</v>
      </c>
      <c r="O54" s="382">
        <f t="shared" ca="1" si="35"/>
        <v>3.6877834215796046</v>
      </c>
      <c r="P54" s="382">
        <f t="shared" ca="1" si="36"/>
        <v>2.9095495856102467</v>
      </c>
      <c r="Q54" s="432"/>
      <c r="R54" s="122"/>
    </row>
    <row r="55" spans="2:20" ht="12.75" customHeight="1" x14ac:dyDescent="0.5">
      <c r="B55" s="139" t="s">
        <v>265</v>
      </c>
      <c r="C55" s="432"/>
      <c r="D55" s="432">
        <v>0</v>
      </c>
      <c r="E55" s="432"/>
      <c r="F55" s="288">
        <f ca="1">D55/$D$56</f>
        <v>0</v>
      </c>
      <c r="G55" s="289">
        <v>0</v>
      </c>
      <c r="H55" s="432" t="s">
        <v>286</v>
      </c>
      <c r="I55" s="432"/>
      <c r="J55" s="432"/>
      <c r="K55" s="382"/>
      <c r="L55" s="382">
        <f t="shared" ref="L55:P56" ca="1" si="37">I228</f>
        <v>2.6089849392283346</v>
      </c>
      <c r="M55" s="382">
        <f t="shared" ca="1" si="37"/>
        <v>2.953256763681519</v>
      </c>
      <c r="N55" s="382">
        <f t="shared" ca="1" si="37"/>
        <v>3.5214674804694734</v>
      </c>
      <c r="O55" s="382">
        <f t="shared" ca="1" si="37"/>
        <v>4.1945257212245641</v>
      </c>
      <c r="P55" s="382">
        <f t="shared" ca="1" si="37"/>
        <v>5.0576444628532773</v>
      </c>
      <c r="Q55" s="432"/>
      <c r="R55" s="122"/>
    </row>
    <row r="56" spans="2:20" ht="12.75" customHeight="1" x14ac:dyDescent="0.5">
      <c r="B56" s="139" t="s">
        <v>126</v>
      </c>
      <c r="C56" s="441"/>
      <c r="D56" s="385">
        <f ca="1">SUM(D54:D55)</f>
        <v>4534.1932261295888</v>
      </c>
      <c r="E56" s="441"/>
      <c r="F56" s="457">
        <f ca="1">SUM(F54:F55)</f>
        <v>1.0000000000000753</v>
      </c>
      <c r="G56" s="388">
        <f ca="1">F56</f>
        <v>1.0000000000000753</v>
      </c>
      <c r="H56" s="432" t="s">
        <v>287</v>
      </c>
      <c r="I56" s="432"/>
      <c r="J56" s="432"/>
      <c r="K56" s="382"/>
      <c r="L56" s="382">
        <f t="shared" ca="1" si="37"/>
        <v>1.3610406944395257</v>
      </c>
      <c r="M56" s="382">
        <f t="shared" ca="1" si="37"/>
        <v>1.7477468871678241</v>
      </c>
      <c r="N56" s="382">
        <f t="shared" ca="1" si="37"/>
        <v>2.2920981417699871</v>
      </c>
      <c r="O56" s="382">
        <f t="shared" ca="1" si="37"/>
        <v>2.8904505965846972</v>
      </c>
      <c r="P56" s="382">
        <f t="shared" ca="1" si="37"/>
        <v>3.6494255370193267</v>
      </c>
      <c r="Q56" s="432"/>
      <c r="R56" s="122"/>
    </row>
    <row r="57" spans="2:20" ht="12.75" customHeight="1" x14ac:dyDescent="0.5">
      <c r="B57" s="149"/>
      <c r="C57" s="150"/>
      <c r="D57" s="150"/>
      <c r="E57" s="150"/>
      <c r="F57" s="150"/>
      <c r="G57" s="151"/>
      <c r="H57" s="150"/>
      <c r="I57" s="150"/>
      <c r="J57" s="150"/>
      <c r="K57" s="150"/>
      <c r="L57" s="150"/>
      <c r="M57" s="150"/>
      <c r="N57" s="150"/>
      <c r="O57" s="150"/>
      <c r="P57" s="150"/>
      <c r="Q57" s="150"/>
      <c r="R57" s="151"/>
    </row>
    <row r="58" spans="2:20" ht="15.6" x14ac:dyDescent="0.6">
      <c r="B58" s="131" t="s">
        <v>266</v>
      </c>
      <c r="C58" s="135"/>
      <c r="D58" s="135"/>
      <c r="E58" s="135"/>
      <c r="F58" s="135"/>
      <c r="G58" s="136"/>
      <c r="H58" s="134" t="s">
        <v>220</v>
      </c>
      <c r="I58" s="157"/>
      <c r="J58" s="157"/>
      <c r="K58" s="157"/>
      <c r="L58" s="157"/>
      <c r="M58" s="157"/>
      <c r="N58" s="157"/>
      <c r="O58" s="157"/>
      <c r="P58" s="157"/>
      <c r="Q58" s="157"/>
      <c r="R58" s="157"/>
    </row>
    <row r="59" spans="2:20" ht="14.7" x14ac:dyDescent="0.8">
      <c r="B59" s="221" t="s">
        <v>180</v>
      </c>
      <c r="C59" s="432"/>
      <c r="D59" s="432"/>
      <c r="E59" s="459" t="s">
        <v>228</v>
      </c>
      <c r="F59" s="459" t="s">
        <v>185</v>
      </c>
      <c r="G59" s="283" t="s">
        <v>186</v>
      </c>
      <c r="H59" s="432"/>
      <c r="I59" s="547" t="s">
        <v>812</v>
      </c>
      <c r="J59" s="432"/>
      <c r="K59" s="432"/>
      <c r="L59" s="432"/>
      <c r="M59" s="432"/>
      <c r="N59" s="432"/>
      <c r="O59" s="432"/>
      <c r="P59" s="432"/>
      <c r="Q59" s="432"/>
      <c r="R59" s="122"/>
    </row>
    <row r="60" spans="2:20" ht="12.75" customHeight="1" x14ac:dyDescent="0.5">
      <c r="B60" s="158" t="s">
        <v>175</v>
      </c>
      <c r="C60" s="432"/>
      <c r="D60" s="432"/>
      <c r="E60" s="432">
        <f ca="1">K15*G60</f>
        <v>16.875007529176479</v>
      </c>
      <c r="F60" s="451">
        <v>7</v>
      </c>
      <c r="G60" s="184">
        <v>2.2499999999999999E-2</v>
      </c>
      <c r="H60" s="432"/>
      <c r="I60" s="458" t="s">
        <v>110</v>
      </c>
      <c r="J60" s="458"/>
      <c r="K60" s="458"/>
      <c r="L60" s="458"/>
      <c r="M60" s="458"/>
      <c r="N60" s="458"/>
      <c r="O60" s="458" t="s">
        <v>226</v>
      </c>
      <c r="P60" s="458"/>
      <c r="Q60" s="458" t="s">
        <v>336</v>
      </c>
      <c r="R60" s="122"/>
    </row>
    <row r="61" spans="2:20" ht="12.75" customHeight="1" thickBot="1" x14ac:dyDescent="0.55000000000000004">
      <c r="B61" s="158" t="s">
        <v>176</v>
      </c>
      <c r="C61" s="432"/>
      <c r="D61" s="432"/>
      <c r="E61" s="432">
        <f ca="1">K16*G61</f>
        <v>50.625020307994717</v>
      </c>
      <c r="F61" s="451">
        <v>15</v>
      </c>
      <c r="G61" s="184">
        <v>2.2499999999999999E-2</v>
      </c>
      <c r="H61" s="432"/>
      <c r="I61" s="205" t="s">
        <v>258</v>
      </c>
      <c r="J61" s="205"/>
      <c r="K61" s="205" t="s">
        <v>226</v>
      </c>
      <c r="L61" s="205"/>
      <c r="M61" s="205" t="s">
        <v>336</v>
      </c>
      <c r="N61" s="205"/>
      <c r="O61" s="205" t="s">
        <v>335</v>
      </c>
      <c r="P61" s="205"/>
      <c r="Q61" s="205" t="s">
        <v>335</v>
      </c>
      <c r="R61" s="122"/>
    </row>
    <row r="62" spans="2:20" ht="12.75" customHeight="1" x14ac:dyDescent="0.5">
      <c r="B62" s="158" t="s">
        <v>177</v>
      </c>
      <c r="C62" s="432"/>
      <c r="D62" s="432"/>
      <c r="E62" s="432">
        <f ca="1">K17*G62</f>
        <v>0</v>
      </c>
      <c r="F62" s="451">
        <v>15</v>
      </c>
      <c r="G62" s="184">
        <v>0.03</v>
      </c>
      <c r="H62" s="432"/>
      <c r="I62" s="469">
        <f t="shared" ref="I62:I68" si="38">B356</f>
        <v>0</v>
      </c>
      <c r="J62" s="432"/>
      <c r="K62" s="443">
        <f t="shared" ref="K62:K68" ca="1" si="39">E356</f>
        <v>-0.99999940914518248</v>
      </c>
      <c r="L62" s="432"/>
      <c r="M62" s="442">
        <f t="shared" ref="M62:M68" ca="1" si="40">F356</f>
        <v>-4534.1932261292477</v>
      </c>
      <c r="N62" s="432"/>
      <c r="O62" s="443">
        <f t="shared" ref="O62:O68" ca="1" si="41">E369</f>
        <v>-0.99999940914518248</v>
      </c>
      <c r="P62" s="432"/>
      <c r="Q62" s="442">
        <f t="shared" ref="Q62:Q68" ca="1" si="42">F369</f>
        <v>-4513.0356254792478</v>
      </c>
      <c r="R62" s="122"/>
    </row>
    <row r="63" spans="2:20" ht="12.75" customHeight="1" x14ac:dyDescent="0.5">
      <c r="B63" s="221" t="s">
        <v>334</v>
      </c>
      <c r="C63" s="441"/>
      <c r="D63" s="441"/>
      <c r="E63" s="501">
        <f ca="1">SUM(E60:E62)</f>
        <v>67.500027837171189</v>
      </c>
      <c r="F63" s="432"/>
      <c r="G63" s="122"/>
      <c r="H63" s="432"/>
      <c r="I63" s="469">
        <f t="shared" si="38"/>
        <v>0</v>
      </c>
      <c r="J63" s="432"/>
      <c r="K63" s="443">
        <f t="shared" ca="1" si="39"/>
        <v>-0.99999940914518248</v>
      </c>
      <c r="L63" s="432"/>
      <c r="M63" s="442">
        <f t="shared" ca="1" si="40"/>
        <v>-4534.1932261292477</v>
      </c>
      <c r="N63" s="432"/>
      <c r="O63" s="443">
        <f t="shared" ca="1" si="41"/>
        <v>-0.99999940914518248</v>
      </c>
      <c r="P63" s="432"/>
      <c r="Q63" s="442">
        <f t="shared" ca="1" si="42"/>
        <v>-4513.0356254792478</v>
      </c>
      <c r="R63" s="122"/>
    </row>
    <row r="64" spans="2:20" ht="12.75" customHeight="1" x14ac:dyDescent="0.5">
      <c r="B64" s="139"/>
      <c r="C64" s="432"/>
      <c r="D64" s="432"/>
      <c r="E64" s="432"/>
      <c r="F64" s="432"/>
      <c r="G64" s="122"/>
      <c r="H64" s="432"/>
      <c r="I64" s="469">
        <f t="shared" si="38"/>
        <v>0</v>
      </c>
      <c r="J64" s="432"/>
      <c r="K64" s="443">
        <f t="shared" ca="1" si="39"/>
        <v>-0.99999940914518248</v>
      </c>
      <c r="L64" s="432"/>
      <c r="M64" s="442">
        <f t="shared" ca="1" si="40"/>
        <v>-4534.1932261292477</v>
      </c>
      <c r="N64" s="432"/>
      <c r="O64" s="443">
        <f t="shared" ca="1" si="41"/>
        <v>-0.99999940914518248</v>
      </c>
      <c r="P64" s="432"/>
      <c r="Q64" s="442">
        <f t="shared" ca="1" si="42"/>
        <v>-4513.0356254792478</v>
      </c>
      <c r="R64" s="122"/>
    </row>
    <row r="65" spans="1:18" ht="15" customHeight="1" x14ac:dyDescent="0.8">
      <c r="B65" s="139"/>
      <c r="C65" s="432"/>
      <c r="D65" s="432"/>
      <c r="E65" s="459" t="s">
        <v>228</v>
      </c>
      <c r="F65" s="470" t="s">
        <v>338</v>
      </c>
      <c r="G65" s="287"/>
      <c r="H65" s="432"/>
      <c r="I65" s="302">
        <f t="shared" si="38"/>
        <v>0</v>
      </c>
      <c r="J65" s="264"/>
      <c r="K65" s="265">
        <f t="shared" ca="1" si="39"/>
        <v>-0.99999940914518248</v>
      </c>
      <c r="L65" s="264"/>
      <c r="M65" s="266">
        <f t="shared" ca="1" si="40"/>
        <v>-4534.1932261292477</v>
      </c>
      <c r="N65" s="264"/>
      <c r="O65" s="265">
        <f t="shared" ca="1" si="41"/>
        <v>-0.99999940914518248</v>
      </c>
      <c r="P65" s="264"/>
      <c r="Q65" s="267">
        <f t="shared" ca="1" si="42"/>
        <v>-4513.0356254792478</v>
      </c>
      <c r="R65" s="122"/>
    </row>
    <row r="66" spans="1:18" ht="12.75" customHeight="1" x14ac:dyDescent="0.5">
      <c r="B66" s="139" t="s">
        <v>337</v>
      </c>
      <c r="C66" s="432"/>
      <c r="D66" s="432"/>
      <c r="E66" s="471">
        <f ca="1">F66*F23</f>
        <v>35.262667750000531</v>
      </c>
      <c r="F66" s="461">
        <v>5.0000000000000001E-3</v>
      </c>
      <c r="G66" s="122"/>
      <c r="H66" s="432"/>
      <c r="I66" s="469">
        <f t="shared" si="38"/>
        <v>0</v>
      </c>
      <c r="J66" s="432"/>
      <c r="K66" s="443">
        <f t="shared" ca="1" si="39"/>
        <v>-0.99999940914518248</v>
      </c>
      <c r="L66" s="432"/>
      <c r="M66" s="442">
        <f t="shared" ca="1" si="40"/>
        <v>-4534.1932261292477</v>
      </c>
      <c r="N66" s="432"/>
      <c r="O66" s="443">
        <f t="shared" ca="1" si="41"/>
        <v>-0.99999940914518248</v>
      </c>
      <c r="P66" s="432"/>
      <c r="Q66" s="442">
        <f t="shared" ca="1" si="42"/>
        <v>-4513.0356254792478</v>
      </c>
      <c r="R66" s="122"/>
    </row>
    <row r="67" spans="1:18" ht="12.75" customHeight="1" x14ac:dyDescent="0.5">
      <c r="B67" s="139" t="s">
        <v>267</v>
      </c>
      <c r="C67" s="432"/>
      <c r="D67" s="432"/>
      <c r="E67" s="472">
        <f ca="1">F67*F23</f>
        <v>21.157600650000319</v>
      </c>
      <c r="F67" s="461">
        <v>3.0000000000000001E-3</v>
      </c>
      <c r="G67" s="122"/>
      <c r="H67" s="432"/>
      <c r="I67" s="469">
        <f t="shared" si="38"/>
        <v>0</v>
      </c>
      <c r="J67" s="432"/>
      <c r="K67" s="443">
        <f t="shared" ca="1" si="39"/>
        <v>-0.99999940914518248</v>
      </c>
      <c r="L67" s="432"/>
      <c r="M67" s="442">
        <f t="shared" ca="1" si="40"/>
        <v>-4534.1932261292477</v>
      </c>
      <c r="N67" s="432"/>
      <c r="O67" s="443">
        <f t="shared" ca="1" si="41"/>
        <v>-0.99999940914518248</v>
      </c>
      <c r="P67" s="432"/>
      <c r="Q67" s="442">
        <f t="shared" ca="1" si="42"/>
        <v>-4513.0356254792478</v>
      </c>
      <c r="R67" s="122"/>
    </row>
    <row r="68" spans="1:18" ht="12.75" customHeight="1" x14ac:dyDescent="0.5">
      <c r="B68" s="139" t="s">
        <v>37</v>
      </c>
      <c r="C68" s="432"/>
      <c r="D68" s="432"/>
      <c r="E68" s="324">
        <f ca="1">F68*F23</f>
        <v>14.105067100000213</v>
      </c>
      <c r="F68" s="325">
        <v>2E-3</v>
      </c>
      <c r="G68" s="122"/>
      <c r="H68" s="432"/>
      <c r="I68" s="469">
        <f t="shared" si="38"/>
        <v>0</v>
      </c>
      <c r="J68" s="432"/>
      <c r="K68" s="443">
        <f t="shared" ca="1" si="39"/>
        <v>-0.99999940914518248</v>
      </c>
      <c r="L68" s="432"/>
      <c r="M68" s="442">
        <f t="shared" ca="1" si="40"/>
        <v>-4534.1932261292477</v>
      </c>
      <c r="N68" s="432"/>
      <c r="O68" s="443">
        <f t="shared" ca="1" si="41"/>
        <v>-0.99999940914518248</v>
      </c>
      <c r="P68" s="432"/>
      <c r="Q68" s="442">
        <f t="shared" ca="1" si="42"/>
        <v>-4513.0356254792478</v>
      </c>
      <c r="R68" s="122"/>
    </row>
    <row r="69" spans="1:18" ht="12.75" customHeight="1" x14ac:dyDescent="0.5">
      <c r="B69" s="159" t="s">
        <v>255</v>
      </c>
      <c r="C69" s="160"/>
      <c r="D69" s="160"/>
      <c r="E69" s="499">
        <f ca="1">SUM(E66:E68)</f>
        <v>70.525335500001063</v>
      </c>
      <c r="F69" s="500">
        <f>SUM(F66:F68)</f>
        <v>0.01</v>
      </c>
      <c r="G69" s="151"/>
      <c r="H69" s="150"/>
      <c r="I69" s="150"/>
      <c r="J69" s="150"/>
      <c r="K69" s="150"/>
      <c r="L69" s="150"/>
      <c r="M69" s="150"/>
      <c r="N69" s="150"/>
      <c r="O69" s="150"/>
      <c r="P69" s="150"/>
      <c r="Q69" s="150"/>
      <c r="R69" s="151"/>
    </row>
    <row r="70" spans="1:18" x14ac:dyDescent="0.5">
      <c r="C70" s="148"/>
      <c r="D70" s="148"/>
      <c r="E70" s="252"/>
    </row>
    <row r="71" spans="1:18" ht="13.2" thickBot="1" x14ac:dyDescent="0.55000000000000004">
      <c r="B71" s="170" t="s">
        <v>656</v>
      </c>
      <c r="C71" s="170"/>
      <c r="D71" s="170"/>
      <c r="E71" s="258"/>
      <c r="F71" s="163"/>
      <c r="G71" s="163"/>
      <c r="H71" s="163"/>
    </row>
    <row r="72" spans="1:18" x14ac:dyDescent="0.5">
      <c r="B72" s="259" t="s">
        <v>355</v>
      </c>
      <c r="C72" s="259"/>
      <c r="D72" s="256" t="s">
        <v>356</v>
      </c>
      <c r="E72" s="256" t="s">
        <v>187</v>
      </c>
      <c r="F72" s="256" t="s">
        <v>198</v>
      </c>
      <c r="G72" s="257" t="s">
        <v>353</v>
      </c>
      <c r="H72" s="256" t="s">
        <v>188</v>
      </c>
    </row>
    <row r="73" spans="1:18" x14ac:dyDescent="0.5">
      <c r="B73" s="140" t="s">
        <v>354</v>
      </c>
      <c r="D73" s="255">
        <v>1.4E-2</v>
      </c>
      <c r="E73" s="253">
        <v>169.46</v>
      </c>
      <c r="F73" s="268">
        <f ca="1">IF($F$16&gt;=E73,1,0)</f>
        <v>1</v>
      </c>
      <c r="G73" s="254">
        <f ca="1">D73*F73</f>
        <v>1.4E-2</v>
      </c>
      <c r="H73" s="182">
        <f ca="1">D73*E73*F73</f>
        <v>2.3724400000000001</v>
      </c>
    </row>
    <row r="74" spans="1:18" x14ac:dyDescent="0.5">
      <c r="B74" s="140" t="s">
        <v>195</v>
      </c>
      <c r="D74" s="255">
        <v>1.0999999999999999E-2</v>
      </c>
      <c r="E74" s="253">
        <v>160.6</v>
      </c>
      <c r="F74" s="268">
        <f ca="1">IF($F$16&gt;=E74,1,0)</f>
        <v>1</v>
      </c>
      <c r="G74" s="254">
        <f ca="1">D74*F74</f>
        <v>1.0999999999999999E-2</v>
      </c>
      <c r="H74" s="182">
        <f ca="1">D74*E74*F74</f>
        <v>1.7665999999999997</v>
      </c>
    </row>
    <row r="75" spans="1:18" ht="13.2" thickBot="1" x14ac:dyDescent="0.55000000000000004">
      <c r="B75" s="163" t="s">
        <v>126</v>
      </c>
      <c r="C75" s="163"/>
      <c r="D75" s="262">
        <f>SUM(D73:D74)</f>
        <v>2.5000000000000001E-2</v>
      </c>
      <c r="E75" s="163"/>
      <c r="F75" s="163"/>
      <c r="G75" s="260">
        <f ca="1">SUM(G73:G74)</f>
        <v>2.5000000000000001E-2</v>
      </c>
      <c r="H75" s="261">
        <f ca="1">SUM(H73:H74)</f>
        <v>4.1390399999999996</v>
      </c>
    </row>
    <row r="76" spans="1:18" x14ac:dyDescent="0.5">
      <c r="E76" s="222"/>
    </row>
    <row r="77" spans="1:18" ht="15.6" x14ac:dyDescent="0.6">
      <c r="A77" s="138" t="s">
        <v>31</v>
      </c>
      <c r="B77" s="161" t="s">
        <v>657</v>
      </c>
      <c r="C77" s="162"/>
      <c r="D77" s="162"/>
      <c r="E77" s="162"/>
      <c r="F77" s="162"/>
      <c r="G77" s="162"/>
      <c r="H77" s="162"/>
      <c r="I77" s="162"/>
      <c r="J77" s="162"/>
      <c r="K77" s="162"/>
      <c r="L77" s="162"/>
      <c r="M77" s="162"/>
    </row>
    <row r="78" spans="1:18" ht="13.2" thickBot="1" x14ac:dyDescent="0.55000000000000004">
      <c r="B78" s="163"/>
      <c r="C78" s="163"/>
      <c r="D78" s="163"/>
      <c r="E78" s="163"/>
      <c r="F78" s="163"/>
      <c r="G78" s="163"/>
      <c r="H78" s="163"/>
      <c r="I78" s="163"/>
      <c r="J78" s="163"/>
      <c r="K78" s="163"/>
      <c r="L78" s="163"/>
      <c r="M78" s="163"/>
    </row>
    <row r="79" spans="1:18" s="148" customFormat="1" x14ac:dyDescent="0.5">
      <c r="A79" s="141"/>
      <c r="B79" s="128" t="str">
        <f>$B$12</f>
        <v>($ in millions)</v>
      </c>
      <c r="F79" s="164" t="s">
        <v>232</v>
      </c>
      <c r="G79" s="164"/>
      <c r="H79" s="164"/>
      <c r="J79" s="141" t="s">
        <v>233</v>
      </c>
      <c r="L79" s="141" t="s">
        <v>234</v>
      </c>
    </row>
    <row r="80" spans="1:18" s="148" customFormat="1" x14ac:dyDescent="0.5">
      <c r="A80" s="141"/>
      <c r="B80" s="160"/>
      <c r="C80" s="160"/>
      <c r="D80" s="160"/>
      <c r="E80" s="160"/>
      <c r="F80" s="123">
        <v>42367</v>
      </c>
      <c r="G80" s="123"/>
      <c r="H80" s="123">
        <v>42731</v>
      </c>
      <c r="I80" s="160"/>
      <c r="J80" s="165" t="s">
        <v>194</v>
      </c>
      <c r="K80" s="160"/>
      <c r="L80" s="165" t="s">
        <v>235</v>
      </c>
      <c r="M80" s="160"/>
    </row>
    <row r="81" spans="2:13" x14ac:dyDescent="0.5">
      <c r="B81" s="166" t="s">
        <v>241</v>
      </c>
    </row>
    <row r="82" spans="2:13" x14ac:dyDescent="0.5">
      <c r="B82" s="140" t="s">
        <v>242</v>
      </c>
      <c r="F82" s="182">
        <f>'Current Balance Sheet'!F8</f>
        <v>241.886</v>
      </c>
      <c r="G82" s="182"/>
      <c r="H82" s="182">
        <f>'Current Balance Sheet'!H8</f>
        <v>105.529</v>
      </c>
      <c r="I82" s="182"/>
      <c r="J82" s="182">
        <f>-K14</f>
        <v>-84.187449999999998</v>
      </c>
      <c r="K82" s="182"/>
      <c r="L82" s="182">
        <f>SUM(H82,J82)</f>
        <v>21.341549999999998</v>
      </c>
    </row>
    <row r="83" spans="2:13" x14ac:dyDescent="0.5">
      <c r="B83" s="140" t="s">
        <v>298</v>
      </c>
      <c r="F83" s="140">
        <f>'Current Balance Sheet'!F9+'Current Balance Sheet'!F10</f>
        <v>115.786</v>
      </c>
      <c r="H83" s="140">
        <f>'Current Balance Sheet'!H9+'Current Balance Sheet'!H10</f>
        <v>112.923</v>
      </c>
      <c r="L83" s="140">
        <f>SUM(H83,J83)</f>
        <v>112.923</v>
      </c>
    </row>
    <row r="84" spans="2:13" x14ac:dyDescent="0.5">
      <c r="B84" s="140" t="s">
        <v>40</v>
      </c>
      <c r="F84" s="140">
        <f>'Current Balance Sheet'!F11</f>
        <v>22.481999999999999</v>
      </c>
      <c r="H84" s="140">
        <f>'Current Balance Sheet'!H11</f>
        <v>23.774999999999999</v>
      </c>
      <c r="L84" s="140">
        <f>SUM(H84,J84)</f>
        <v>23.774999999999999</v>
      </c>
    </row>
    <row r="85" spans="2:13" x14ac:dyDescent="0.5">
      <c r="B85" s="140" t="s">
        <v>299</v>
      </c>
      <c r="F85" s="140">
        <f>'Current Balance Sheet'!F12</f>
        <v>59.457000000000001</v>
      </c>
      <c r="H85" s="140">
        <f>'Current Balance Sheet'!H12</f>
        <v>69.194000000000003</v>
      </c>
      <c r="L85" s="140">
        <f>SUM(H85,J85)</f>
        <v>69.194000000000003</v>
      </c>
    </row>
    <row r="86" spans="2:13" x14ac:dyDescent="0.5">
      <c r="B86" s="140" t="s">
        <v>700</v>
      </c>
      <c r="F86" s="140">
        <f>'Current Balance Sheet'!F13+'Current Balance Sheet'!F14</f>
        <v>28.699000000000002</v>
      </c>
      <c r="H86" s="140">
        <f>'Current Balance Sheet'!H13+'Current Balance Sheet'!H14</f>
        <v>0</v>
      </c>
      <c r="L86" s="140">
        <f>SUM(H86,J86)</f>
        <v>0</v>
      </c>
    </row>
    <row r="87" spans="2:13" x14ac:dyDescent="0.5">
      <c r="B87" s="177" t="s">
        <v>208</v>
      </c>
      <c r="C87" s="177"/>
      <c r="D87" s="177"/>
      <c r="E87" s="177"/>
      <c r="F87" s="195">
        <f>SUM(F82:F86)</f>
        <v>468.31</v>
      </c>
      <c r="G87" s="195"/>
      <c r="H87" s="195">
        <f>SUM(H82:H86)</f>
        <v>311.42099999999999</v>
      </c>
      <c r="I87" s="195"/>
      <c r="J87" s="195"/>
      <c r="K87" s="195"/>
      <c r="L87" s="195">
        <f>SUM(L82:L86)</f>
        <v>227.23354999999998</v>
      </c>
      <c r="M87" s="167"/>
    </row>
    <row r="89" spans="2:13" x14ac:dyDescent="0.5">
      <c r="B89" s="140" t="s">
        <v>701</v>
      </c>
      <c r="F89" s="140">
        <f>'Current Balance Sheet'!F17</f>
        <v>776.24800000000005</v>
      </c>
      <c r="H89" s="140">
        <f>'Current Balance Sheet'!H17</f>
        <v>802.75900000000001</v>
      </c>
      <c r="L89" s="140">
        <f>SUM(H89,J89)</f>
        <v>802.75900000000001</v>
      </c>
    </row>
    <row r="91" spans="2:13" x14ac:dyDescent="0.5">
      <c r="B91" s="140" t="s">
        <v>77</v>
      </c>
      <c r="F91" s="140">
        <f>'Current Balance Sheet'!F20</f>
        <v>121.791</v>
      </c>
      <c r="H91" s="140">
        <f>'Current Balance Sheet'!H20</f>
        <v>122.377</v>
      </c>
      <c r="J91" s="140">
        <f>-H91</f>
        <v>-122.377</v>
      </c>
      <c r="L91" s="140">
        <f t="shared" ref="L91:L96" si="43">SUM(H91,J91)</f>
        <v>0</v>
      </c>
    </row>
    <row r="92" spans="2:13" x14ac:dyDescent="0.5">
      <c r="B92" s="140" t="s">
        <v>702</v>
      </c>
      <c r="F92" s="143">
        <v>0</v>
      </c>
      <c r="H92" s="143">
        <v>0</v>
      </c>
      <c r="J92" s="140">
        <f ca="1">E133</f>
        <v>2961.0331265000464</v>
      </c>
      <c r="L92" s="140">
        <f ca="1">SUM(H92,J92)</f>
        <v>2961.0331265000464</v>
      </c>
    </row>
    <row r="93" spans="2:13" x14ac:dyDescent="0.5">
      <c r="B93" s="140" t="s">
        <v>703</v>
      </c>
      <c r="F93" s="145">
        <v>0</v>
      </c>
      <c r="H93" s="145">
        <v>0</v>
      </c>
      <c r="J93" s="140">
        <f ca="1">J130</f>
        <v>3925.0904235000603</v>
      </c>
      <c r="L93" s="140">
        <f ca="1">SUM(H93,J93)</f>
        <v>3925.0904235000603</v>
      </c>
    </row>
    <row r="94" spans="2:13" x14ac:dyDescent="0.5">
      <c r="B94" s="140" t="s">
        <v>196</v>
      </c>
      <c r="F94" s="143">
        <v>0</v>
      </c>
      <c r="H94" s="143">
        <v>0</v>
      </c>
      <c r="J94" s="140">
        <f ca="1">R17</f>
        <v>67.500027837164836</v>
      </c>
      <c r="L94" s="140">
        <f ca="1">SUM(H94,J94)</f>
        <v>67.500027837164836</v>
      </c>
    </row>
    <row r="95" spans="2:13" x14ac:dyDescent="0.5">
      <c r="B95" s="140" t="s">
        <v>346</v>
      </c>
      <c r="F95" s="145">
        <v>0</v>
      </c>
      <c r="H95" s="145">
        <v>0</v>
      </c>
      <c r="L95" s="140">
        <f t="shared" si="43"/>
        <v>0</v>
      </c>
    </row>
    <row r="96" spans="2:13" x14ac:dyDescent="0.5">
      <c r="B96" s="140" t="s">
        <v>704</v>
      </c>
      <c r="F96" s="140">
        <f>'Current Balance Sheet'!F21+'Current Balance Sheet'!F22</f>
        <v>74.490000000000009</v>
      </c>
      <c r="H96" s="140">
        <f>'Current Balance Sheet'!H21+'Current Balance Sheet'!H22</f>
        <v>65.054000000000002</v>
      </c>
      <c r="L96" s="140">
        <f t="shared" si="43"/>
        <v>65.054000000000002</v>
      </c>
    </row>
    <row r="98" spans="1:13" s="148" customFormat="1" x14ac:dyDescent="0.5">
      <c r="A98" s="141"/>
      <c r="B98" s="148" t="s">
        <v>243</v>
      </c>
      <c r="F98" s="192">
        <f>SUM(F87,F89,F91:F96)</f>
        <v>1440.8389999999999</v>
      </c>
      <c r="G98" s="192"/>
      <c r="H98" s="192">
        <f>SUM(H87,H89,H91:H96)</f>
        <v>1301.6110000000001</v>
      </c>
      <c r="I98" s="192"/>
      <c r="J98" s="192"/>
      <c r="K98" s="192"/>
      <c r="L98" s="192">
        <f ca="1">SUM(L87,L89,L91:L96)</f>
        <v>8048.6701278372711</v>
      </c>
    </row>
    <row r="100" spans="1:13" x14ac:dyDescent="0.5">
      <c r="B100" s="166" t="s">
        <v>244</v>
      </c>
    </row>
    <row r="101" spans="1:13" x14ac:dyDescent="0.5">
      <c r="B101" s="140" t="s">
        <v>301</v>
      </c>
      <c r="F101" s="140">
        <f>'Current Balance Sheet'!F28</f>
        <v>19.805</v>
      </c>
      <c r="H101" s="140">
        <f>'Current Balance Sheet'!H28</f>
        <v>22.454999999999998</v>
      </c>
      <c r="L101" s="140">
        <f>SUM(H101,J101)</f>
        <v>22.454999999999998</v>
      </c>
    </row>
    <row r="102" spans="1:13" x14ac:dyDescent="0.5">
      <c r="B102" s="140" t="s">
        <v>302</v>
      </c>
      <c r="F102" s="140">
        <f>'Current Balance Sheet'!F29</f>
        <v>359.464</v>
      </c>
      <c r="H102" s="140">
        <f>'Current Balance Sheet'!H29</f>
        <v>408.637</v>
      </c>
      <c r="L102" s="140">
        <f>SUM(H102,J102)</f>
        <v>408.637</v>
      </c>
    </row>
    <row r="103" spans="1:13" x14ac:dyDescent="0.5">
      <c r="B103" s="140" t="s">
        <v>705</v>
      </c>
      <c r="F103" s="140">
        <f>'Current Balance Sheet'!F31</f>
        <v>2.9449999999999998</v>
      </c>
      <c r="H103" s="140">
        <f>'Current Balance Sheet'!H31</f>
        <v>0</v>
      </c>
      <c r="L103" s="140">
        <f>SUM(H103,J103)</f>
        <v>0</v>
      </c>
    </row>
    <row r="104" spans="1:13" x14ac:dyDescent="0.5">
      <c r="B104" s="167" t="s">
        <v>209</v>
      </c>
      <c r="C104" s="167"/>
      <c r="D104" s="167"/>
      <c r="E104" s="167"/>
      <c r="F104" s="191">
        <f>SUM(F101:F103)</f>
        <v>382.214</v>
      </c>
      <c r="G104" s="191"/>
      <c r="H104" s="191">
        <f>SUM(H101:H103)</f>
        <v>431.09199999999998</v>
      </c>
      <c r="I104" s="191"/>
      <c r="J104" s="191"/>
      <c r="K104" s="191"/>
      <c r="L104" s="191">
        <f>SUM(L101:L103)</f>
        <v>431.09199999999998</v>
      </c>
      <c r="M104" s="167"/>
    </row>
    <row r="106" spans="1:13" x14ac:dyDescent="0.5">
      <c r="B106" s="140" t="s">
        <v>213</v>
      </c>
      <c r="F106" s="140">
        <f>'Current Balance Sheet'!F30+'Current Balance Sheet'!F34</f>
        <v>406.2</v>
      </c>
      <c r="H106" s="140">
        <f>'Current Balance Sheet'!H30+'Current Balance Sheet'!H34</f>
        <v>427.82299999999998</v>
      </c>
      <c r="J106" s="144">
        <f>-R16</f>
        <v>-427.82299999999998</v>
      </c>
      <c r="L106" s="140">
        <f>SUM(H106,J106)</f>
        <v>0</v>
      </c>
    </row>
    <row r="107" spans="1:13" x14ac:dyDescent="0.5">
      <c r="B107" s="140" t="s">
        <v>175</v>
      </c>
      <c r="F107" s="145">
        <v>0</v>
      </c>
      <c r="H107" s="145">
        <v>0</v>
      </c>
      <c r="J107" s="144">
        <f ca="1">K15</f>
        <v>750.00033463006582</v>
      </c>
      <c r="L107" s="144">
        <f ca="1">SUM(H107,J107)</f>
        <v>750.00033463006582</v>
      </c>
    </row>
    <row r="108" spans="1:13" x14ac:dyDescent="0.5">
      <c r="B108" s="140" t="s">
        <v>176</v>
      </c>
      <c r="F108" s="145">
        <v>0</v>
      </c>
      <c r="H108" s="145">
        <v>0</v>
      </c>
      <c r="J108" s="144">
        <f ca="1">K16</f>
        <v>2250.000902577543</v>
      </c>
      <c r="L108" s="144">
        <f ca="1">SUM(H108,J108)</f>
        <v>2250.000902577543</v>
      </c>
    </row>
    <row r="109" spans="1:13" x14ac:dyDescent="0.5">
      <c r="B109" s="140" t="s">
        <v>706</v>
      </c>
      <c r="F109" s="168">
        <v>0</v>
      </c>
      <c r="H109" s="168">
        <v>0</v>
      </c>
      <c r="J109" s="144">
        <f ca="1">K17</f>
        <v>0</v>
      </c>
      <c r="L109" s="169">
        <f ca="1">SUM(H109,J109)</f>
        <v>0</v>
      </c>
    </row>
    <row r="110" spans="1:13" x14ac:dyDescent="0.5">
      <c r="B110" s="140" t="s">
        <v>214</v>
      </c>
      <c r="F110" s="140">
        <f>SUM(F106:F109)</f>
        <v>406.2</v>
      </c>
      <c r="H110" s="140">
        <f>SUM(H106:H109)</f>
        <v>427.82299999999998</v>
      </c>
      <c r="L110" s="140">
        <f ca="1">SUM(L106:L109)</f>
        <v>3000.0012372076089</v>
      </c>
    </row>
    <row r="112" spans="1:13" x14ac:dyDescent="0.5">
      <c r="B112" s="140" t="s">
        <v>707</v>
      </c>
      <c r="F112" s="140">
        <f>'Current Balance Sheet'!F36</f>
        <v>35.968000000000004</v>
      </c>
      <c r="H112" s="140">
        <f>'Current Balance Sheet'!H36</f>
        <v>32.301000000000002</v>
      </c>
      <c r="L112" s="140">
        <f>SUM(H112,J112)</f>
        <v>32.301000000000002</v>
      </c>
    </row>
    <row r="113" spans="1:13" x14ac:dyDescent="0.5">
      <c r="B113" s="140" t="s">
        <v>708</v>
      </c>
      <c r="F113" s="140">
        <f>'Current Balance Sheet'!F35+'Current Balance Sheet'!F37</f>
        <v>115.176</v>
      </c>
      <c r="H113" s="140">
        <f>'Current Balance Sheet'!H35+'Current Balance Sheet'!H37</f>
        <v>118.005</v>
      </c>
      <c r="L113" s="140">
        <f>SUM(H113,J113)</f>
        <v>118.005</v>
      </c>
    </row>
    <row r="115" spans="1:13" s="148" customFormat="1" x14ac:dyDescent="0.5">
      <c r="A115" s="141"/>
      <c r="B115" s="148" t="s">
        <v>245</v>
      </c>
      <c r="F115" s="192">
        <f>SUM(F104,F110,F112:F113)</f>
        <v>939.55799999999999</v>
      </c>
      <c r="G115" s="192"/>
      <c r="H115" s="192">
        <f>SUM(H104,H110,H112:H113)</f>
        <v>1009.221</v>
      </c>
      <c r="I115" s="192"/>
      <c r="J115" s="192"/>
      <c r="K115" s="192"/>
      <c r="L115" s="192">
        <f ca="1">SUM(L104,L110,L112:L113)</f>
        <v>3581.3992372076091</v>
      </c>
    </row>
    <row r="117" spans="1:13" x14ac:dyDescent="0.5">
      <c r="B117" s="140" t="s">
        <v>709</v>
      </c>
      <c r="F117" s="140">
        <f>'Current Balance Sheet'!F42</f>
        <v>3.9809999999999999</v>
      </c>
      <c r="H117" s="140">
        <f>'Current Balance Sheet'!H42</f>
        <v>3.6030000000000002</v>
      </c>
      <c r="L117" s="140">
        <f>SUM(H117,J117)</f>
        <v>3.6030000000000002</v>
      </c>
    </row>
    <row r="119" spans="1:13" x14ac:dyDescent="0.5">
      <c r="B119" s="148" t="s">
        <v>311</v>
      </c>
    </row>
    <row r="120" spans="1:13" x14ac:dyDescent="0.5">
      <c r="B120" s="140" t="s">
        <v>178</v>
      </c>
      <c r="F120" s="145">
        <v>0</v>
      </c>
      <c r="H120" s="145">
        <v>0</v>
      </c>
      <c r="J120" s="144">
        <f ca="1">K18-R18</f>
        <v>4463.6678906295874</v>
      </c>
      <c r="L120" s="144">
        <f ca="1">SUM(H120,J120)</f>
        <v>4463.6678906295874</v>
      </c>
    </row>
    <row r="121" spans="1:13" x14ac:dyDescent="0.5">
      <c r="B121" s="140" t="s">
        <v>94</v>
      </c>
      <c r="F121" s="140">
        <f>'Current Balance Sheet'!F50</f>
        <v>497.29999999999995</v>
      </c>
      <c r="H121" s="140">
        <f>'Current Balance Sheet'!H50</f>
        <v>288.78700000000003</v>
      </c>
      <c r="J121" s="140">
        <f>-H121</f>
        <v>-288.78700000000003</v>
      </c>
      <c r="L121" s="140">
        <f>SUM(H121,J121)</f>
        <v>0</v>
      </c>
    </row>
    <row r="122" spans="1:13" x14ac:dyDescent="0.5">
      <c r="B122" s="167" t="s">
        <v>312</v>
      </c>
      <c r="C122" s="167"/>
      <c r="D122" s="167"/>
      <c r="E122" s="167"/>
      <c r="F122" s="191">
        <f>SUM(F120:F121)</f>
        <v>497.29999999999995</v>
      </c>
      <c r="G122" s="191"/>
      <c r="H122" s="191">
        <f>SUM(H120:H121)</f>
        <v>288.78700000000003</v>
      </c>
      <c r="I122" s="191"/>
      <c r="J122" s="191"/>
      <c r="K122" s="191"/>
      <c r="L122" s="191">
        <f ca="1">SUM(L120:L121)</f>
        <v>4463.6678906295874</v>
      </c>
      <c r="M122" s="167"/>
    </row>
    <row r="124" spans="1:13" s="148" customFormat="1" ht="13.2" thickBot="1" x14ac:dyDescent="0.55000000000000004">
      <c r="A124" s="141"/>
      <c r="B124" s="170" t="s">
        <v>313</v>
      </c>
      <c r="C124" s="170"/>
      <c r="D124" s="170"/>
      <c r="E124" s="170"/>
      <c r="F124" s="193">
        <f>F115+F117+F122</f>
        <v>1440.8389999999999</v>
      </c>
      <c r="G124" s="193"/>
      <c r="H124" s="193">
        <f>H115+H117+H122</f>
        <v>1301.6109999999999</v>
      </c>
      <c r="I124" s="193"/>
      <c r="J124" s="193"/>
      <c r="K124" s="193"/>
      <c r="L124" s="193">
        <f ca="1">L115+L117+L122</f>
        <v>8048.6701278371966</v>
      </c>
      <c r="M124" s="170"/>
    </row>
    <row r="125" spans="1:13" x14ac:dyDescent="0.5">
      <c r="B125" s="140" t="s">
        <v>309</v>
      </c>
      <c r="F125" s="185">
        <f>ROUND(F98-F124,2)</f>
        <v>0</v>
      </c>
      <c r="H125" s="185">
        <f>ROUND(H98-H124,2)</f>
        <v>0</v>
      </c>
      <c r="L125" s="185">
        <f ca="1">ROUND(L98-L124,2)</f>
        <v>0</v>
      </c>
    </row>
    <row r="127" spans="1:13" ht="13.2" thickBot="1" x14ac:dyDescent="0.55000000000000004">
      <c r="B127" s="170" t="s">
        <v>268</v>
      </c>
      <c r="C127" s="163"/>
      <c r="D127" s="163"/>
      <c r="E127" s="163"/>
      <c r="G127" s="170" t="s">
        <v>352</v>
      </c>
      <c r="H127" s="170"/>
      <c r="I127" s="170"/>
      <c r="J127" s="170"/>
    </row>
    <row r="128" spans="1:13" x14ac:dyDescent="0.5">
      <c r="B128" s="140" t="s">
        <v>227</v>
      </c>
      <c r="E128" s="182">
        <f ca="1">F23</f>
        <v>7052.5335500001065</v>
      </c>
      <c r="G128" s="140" t="s">
        <v>749</v>
      </c>
      <c r="J128" s="182">
        <f ca="1">E131</f>
        <v>6886.1235500001067</v>
      </c>
    </row>
    <row r="129" spans="1:20" x14ac:dyDescent="0.5">
      <c r="B129" s="140" t="s">
        <v>693</v>
      </c>
      <c r="E129" s="140">
        <f>-H121</f>
        <v>-288.78700000000003</v>
      </c>
      <c r="G129" s="140" t="s">
        <v>691</v>
      </c>
      <c r="J129" s="127">
        <v>0.56999999999999995</v>
      </c>
      <c r="T129" s="140" t="s">
        <v>359</v>
      </c>
    </row>
    <row r="130" spans="1:20" x14ac:dyDescent="0.5">
      <c r="B130" s="140" t="s">
        <v>695</v>
      </c>
      <c r="E130" s="140">
        <f>H91</f>
        <v>122.377</v>
      </c>
      <c r="G130" s="167" t="s">
        <v>191</v>
      </c>
      <c r="H130" s="167"/>
      <c r="I130" s="167"/>
      <c r="J130" s="191">
        <f ca="1">J128*J129</f>
        <v>3925.0904235000603</v>
      </c>
    </row>
    <row r="131" spans="1:20" x14ac:dyDescent="0.5">
      <c r="B131" s="177" t="s">
        <v>749</v>
      </c>
      <c r="C131" s="177"/>
      <c r="D131" s="177"/>
      <c r="E131" s="195">
        <f ca="1">SUM(E128:E130)</f>
        <v>6886.1235500001067</v>
      </c>
      <c r="G131" s="140" t="s">
        <v>692</v>
      </c>
      <c r="J131" s="145">
        <v>30</v>
      </c>
    </row>
    <row r="132" spans="1:20" ht="13.2" thickBot="1" x14ac:dyDescent="0.55000000000000004">
      <c r="B132" s="140" t="s">
        <v>694</v>
      </c>
      <c r="E132" s="140">
        <f ca="1">-J130</f>
        <v>-3925.0904235000603</v>
      </c>
      <c r="G132" s="248" t="s">
        <v>192</v>
      </c>
      <c r="H132" s="248"/>
      <c r="I132" s="248"/>
      <c r="J132" s="248">
        <f ca="1">J130/J131</f>
        <v>130.83634745000202</v>
      </c>
    </row>
    <row r="133" spans="1:20" ht="13.2" thickBot="1" x14ac:dyDescent="0.55000000000000004">
      <c r="B133" s="250" t="s">
        <v>190</v>
      </c>
      <c r="C133" s="250"/>
      <c r="D133" s="250"/>
      <c r="E133" s="251">
        <f ca="1">E131+E132</f>
        <v>2961.0331265000464</v>
      </c>
    </row>
    <row r="134" spans="1:20" x14ac:dyDescent="0.5">
      <c r="E134" s="182"/>
    </row>
    <row r="135" spans="1:20" ht="15.6" x14ac:dyDescent="0.6">
      <c r="A135" s="138" t="s">
        <v>31</v>
      </c>
      <c r="B135" s="161" t="s">
        <v>108</v>
      </c>
      <c r="C135" s="171"/>
      <c r="D135" s="171"/>
      <c r="E135" s="171"/>
      <c r="F135" s="171"/>
      <c r="G135" s="171"/>
      <c r="H135" s="171"/>
      <c r="I135" s="171"/>
      <c r="J135" s="171"/>
      <c r="K135" s="171"/>
      <c r="L135" s="171"/>
      <c r="M135" s="171"/>
      <c r="N135" s="171"/>
      <c r="O135" s="171"/>
      <c r="P135" s="171"/>
      <c r="Q135" s="171"/>
      <c r="R135" s="171"/>
    </row>
    <row r="136" spans="1:20" x14ac:dyDescent="0.5">
      <c r="B136" s="128" t="str">
        <f>$B$12</f>
        <v>($ in millions)</v>
      </c>
    </row>
    <row r="138" spans="1:20" x14ac:dyDescent="0.5">
      <c r="B138" s="172" t="str">
        <f>'LBO Model'!E4</f>
        <v>Base Case</v>
      </c>
    </row>
    <row r="139" spans="1:20" ht="13.2" thickBot="1" x14ac:dyDescent="0.55000000000000004">
      <c r="B139" s="163"/>
      <c r="C139" s="163"/>
      <c r="D139" s="163"/>
      <c r="E139" s="163"/>
      <c r="F139" s="163"/>
      <c r="G139" s="163"/>
      <c r="H139" s="163"/>
      <c r="I139" s="163"/>
      <c r="J139" s="163"/>
      <c r="K139" s="163"/>
      <c r="L139" s="163"/>
      <c r="M139" s="163"/>
      <c r="N139" s="163"/>
      <c r="O139" s="163"/>
      <c r="P139" s="163"/>
      <c r="Q139" s="163"/>
      <c r="R139" s="163"/>
    </row>
    <row r="140" spans="1:20" x14ac:dyDescent="0.5">
      <c r="B140" s="128" t="s">
        <v>273</v>
      </c>
      <c r="F140" s="164" t="s">
        <v>109</v>
      </c>
      <c r="G140" s="164"/>
      <c r="H140" s="173"/>
      <c r="I140" s="164" t="s">
        <v>224</v>
      </c>
      <c r="J140" s="164"/>
      <c r="K140" s="164"/>
      <c r="L140" s="164"/>
      <c r="M140" s="164"/>
      <c r="N140" s="164"/>
      <c r="O140" s="164"/>
      <c r="P140" s="174"/>
      <c r="Q140" s="174"/>
      <c r="R140" s="174"/>
    </row>
    <row r="141" spans="1:20" x14ac:dyDescent="0.5">
      <c r="B141" s="150"/>
      <c r="C141" s="150"/>
      <c r="D141" s="150"/>
      <c r="E141" s="150"/>
      <c r="F141" s="123">
        <v>42003</v>
      </c>
      <c r="G141" s="123">
        <v>42367</v>
      </c>
      <c r="H141" s="124">
        <v>42731</v>
      </c>
      <c r="I141" s="123">
        <f t="shared" ref="I141:R141" si="44">DATE(YEAR(H141)+1,MONTH(H141),DAY(H141))</f>
        <v>43096</v>
      </c>
      <c r="J141" s="123">
        <f t="shared" si="44"/>
        <v>43461</v>
      </c>
      <c r="K141" s="123">
        <f t="shared" si="44"/>
        <v>43826</v>
      </c>
      <c r="L141" s="123">
        <f t="shared" si="44"/>
        <v>44192</v>
      </c>
      <c r="M141" s="123">
        <f t="shared" si="44"/>
        <v>44557</v>
      </c>
      <c r="N141" s="123">
        <f t="shared" si="44"/>
        <v>44922</v>
      </c>
      <c r="O141" s="123">
        <f t="shared" si="44"/>
        <v>45287</v>
      </c>
      <c r="P141" s="123">
        <f t="shared" si="44"/>
        <v>45653</v>
      </c>
      <c r="Q141" s="123">
        <f t="shared" si="44"/>
        <v>46018</v>
      </c>
      <c r="R141" s="123">
        <f t="shared" si="44"/>
        <v>46383</v>
      </c>
    </row>
    <row r="142" spans="1:20" hidden="1" outlineLevel="1" x14ac:dyDescent="0.5">
      <c r="B142" s="140" t="s">
        <v>107</v>
      </c>
      <c r="H142" s="147"/>
    </row>
    <row r="143" spans="1:20" hidden="1" outlineLevel="1" x14ac:dyDescent="0.5">
      <c r="B143" s="175" t="s">
        <v>710</v>
      </c>
      <c r="F143" s="145">
        <v>2230.37</v>
      </c>
      <c r="G143" s="145">
        <v>2358.7939999999999</v>
      </c>
      <c r="H143" s="188">
        <v>2433.9450000000002</v>
      </c>
    </row>
    <row r="144" spans="1:20" hidden="1" outlineLevel="1" x14ac:dyDescent="0.5">
      <c r="B144" s="175" t="s">
        <v>711</v>
      </c>
      <c r="F144" s="145">
        <v>123.68600000000001</v>
      </c>
      <c r="G144" s="145">
        <v>138.56299999999999</v>
      </c>
      <c r="H144" s="188">
        <v>155.27099999999999</v>
      </c>
    </row>
    <row r="145" spans="2:18" hidden="1" outlineLevel="1" x14ac:dyDescent="0.5">
      <c r="B145" s="175" t="s">
        <v>712</v>
      </c>
      <c r="F145" s="168">
        <v>175.13900000000001</v>
      </c>
      <c r="G145" s="168">
        <v>184.22300000000001</v>
      </c>
      <c r="H145" s="219">
        <v>206.149</v>
      </c>
    </row>
    <row r="146" spans="2:18" collapsed="1" x14ac:dyDescent="0.5">
      <c r="B146" s="140" t="s">
        <v>274</v>
      </c>
      <c r="F146" s="182">
        <f>F143+F144+F145</f>
        <v>2529.1950000000002</v>
      </c>
      <c r="G146" s="182">
        <f>G143+G144+G145</f>
        <v>2681.58</v>
      </c>
      <c r="H146" s="183">
        <f>H143+H144+H145</f>
        <v>2795.3650000000002</v>
      </c>
      <c r="I146" s="182">
        <f t="shared" ref="I146:R146" ca="1" si="45">H146*(1+I181)</f>
        <v>2846.1157142857151</v>
      </c>
      <c r="J146" s="182">
        <f t="shared" ca="1" si="45"/>
        <v>3083.1444285714297</v>
      </c>
      <c r="K146" s="182">
        <f t="shared" ca="1" si="45"/>
        <v>3374.4200000000014</v>
      </c>
      <c r="L146" s="182">
        <f t="shared" ca="1" si="45"/>
        <v>3886.8910000000014</v>
      </c>
      <c r="M146" s="182">
        <f t="shared" ca="1" si="45"/>
        <v>4220.0080000000016</v>
      </c>
      <c r="N146" s="182">
        <f t="shared" ca="1" si="45"/>
        <v>4593.740977397968</v>
      </c>
      <c r="O146" s="182">
        <f t="shared" ca="1" si="45"/>
        <v>5013.7081816123136</v>
      </c>
      <c r="P146" s="182">
        <f t="shared" ca="1" si="45"/>
        <v>5486.405976275908</v>
      </c>
      <c r="Q146" s="182">
        <f t="shared" ca="1" si="45"/>
        <v>6019.3584004222148</v>
      </c>
      <c r="R146" s="182">
        <f t="shared" ca="1" si="45"/>
        <v>6621.2942404644364</v>
      </c>
    </row>
    <row r="147" spans="2:18" hidden="1" outlineLevel="1" x14ac:dyDescent="0.5">
      <c r="B147" s="140" t="s">
        <v>436</v>
      </c>
      <c r="H147" s="122"/>
    </row>
    <row r="148" spans="2:18" hidden="1" outlineLevel="1" x14ac:dyDescent="0.5">
      <c r="B148" s="175" t="s">
        <v>713</v>
      </c>
      <c r="H148" s="122"/>
    </row>
    <row r="149" spans="2:18" hidden="1" outlineLevel="1" x14ac:dyDescent="0.5">
      <c r="B149" s="176" t="s">
        <v>714</v>
      </c>
      <c r="F149" s="145">
        <v>669.86</v>
      </c>
      <c r="G149" s="145">
        <v>715.50199999999995</v>
      </c>
      <c r="H149" s="188">
        <v>709.25099999999998</v>
      </c>
    </row>
    <row r="150" spans="2:18" hidden="1" outlineLevel="1" x14ac:dyDescent="0.5">
      <c r="B150" s="176" t="s">
        <v>7</v>
      </c>
      <c r="F150" s="145">
        <v>685.57600000000002</v>
      </c>
      <c r="G150" s="145">
        <v>754.64599999999996</v>
      </c>
      <c r="H150" s="188">
        <v>790.23800000000006</v>
      </c>
    </row>
    <row r="151" spans="2:18" hidden="1" outlineLevel="1" x14ac:dyDescent="0.5">
      <c r="B151" s="176" t="s">
        <v>8</v>
      </c>
      <c r="F151" s="145">
        <v>159.79400000000001</v>
      </c>
      <c r="G151" s="145">
        <v>169.99799999999999</v>
      </c>
      <c r="H151" s="188">
        <v>167.71700000000001</v>
      </c>
    </row>
    <row r="152" spans="2:18" hidden="1" outlineLevel="1" x14ac:dyDescent="0.5">
      <c r="B152" s="176" t="s">
        <v>715</v>
      </c>
      <c r="F152" s="168">
        <v>314.87900000000002</v>
      </c>
      <c r="G152" s="168">
        <v>334.63499999999999</v>
      </c>
      <c r="H152" s="219">
        <v>359.60899999999998</v>
      </c>
    </row>
    <row r="153" spans="2:18" hidden="1" outlineLevel="1" x14ac:dyDescent="0.5">
      <c r="B153" s="176" t="s">
        <v>716</v>
      </c>
      <c r="F153" s="182">
        <f>F149+F150+F151+F152</f>
        <v>1830.1090000000004</v>
      </c>
      <c r="G153" s="182">
        <f>G149+G150+G151+G152</f>
        <v>1974.7809999999999</v>
      </c>
      <c r="H153" s="183">
        <f>H149+H150+H151+H152</f>
        <v>2026.8150000000001</v>
      </c>
    </row>
    <row r="154" spans="2:18" hidden="1" outlineLevel="1" x14ac:dyDescent="0.5">
      <c r="B154" s="175" t="s">
        <v>717</v>
      </c>
      <c r="F154" s="168">
        <v>152.267</v>
      </c>
      <c r="G154" s="168">
        <v>160.70599999999999</v>
      </c>
      <c r="H154" s="219">
        <v>178.58500000000001</v>
      </c>
    </row>
    <row r="155" spans="2:18" collapsed="1" x14ac:dyDescent="0.5">
      <c r="B155" s="140" t="s">
        <v>114</v>
      </c>
      <c r="F155" s="140">
        <f>F153+F154</f>
        <v>1982.3760000000004</v>
      </c>
      <c r="G155" s="140">
        <f>G153+G154</f>
        <v>2135.4870000000001</v>
      </c>
      <c r="H155" s="122">
        <f>H153+H154</f>
        <v>2205.4</v>
      </c>
      <c r="I155" s="140">
        <f t="shared" ref="I155:R155" ca="1" si="46">I146*(1-I182)</f>
        <v>2217.372077142858</v>
      </c>
      <c r="J155" s="140">
        <f t="shared" ca="1" si="46"/>
        <v>2390.2568962857149</v>
      </c>
      <c r="K155" s="140">
        <f t="shared" ca="1" si="46"/>
        <v>2590.6082800000008</v>
      </c>
      <c r="L155" s="140">
        <f t="shared" ca="1" si="46"/>
        <v>2998.756194000001</v>
      </c>
      <c r="M155" s="140">
        <f t="shared" ca="1" si="46"/>
        <v>3249.3874720000008</v>
      </c>
      <c r="N155" s="140">
        <f t="shared" ca="1" si="46"/>
        <v>3537.1602095469939</v>
      </c>
      <c r="O155" s="140">
        <f t="shared" ca="1" si="46"/>
        <v>3860.5330969976717</v>
      </c>
      <c r="P155" s="140">
        <f t="shared" ca="1" si="46"/>
        <v>4224.5083055806681</v>
      </c>
      <c r="Q155" s="140">
        <f t="shared" ca="1" si="46"/>
        <v>4634.879312032087</v>
      </c>
      <c r="R155" s="140">
        <f t="shared" ca="1" si="46"/>
        <v>5098.3672432352951</v>
      </c>
    </row>
    <row r="156" spans="2:18" x14ac:dyDescent="0.5">
      <c r="B156" s="167" t="s">
        <v>113</v>
      </c>
      <c r="C156" s="167"/>
      <c r="D156" s="167"/>
      <c r="E156" s="167"/>
      <c r="F156" s="191">
        <f t="shared" ref="F156:H156" si="47">F146-F155</f>
        <v>546.81899999999973</v>
      </c>
      <c r="G156" s="191">
        <f t="shared" si="47"/>
        <v>546.09299999999985</v>
      </c>
      <c r="H156" s="194">
        <f t="shared" si="47"/>
        <v>589.96500000000015</v>
      </c>
      <c r="I156" s="191">
        <f t="shared" ref="I156:R156" ca="1" si="48">I146-I155</f>
        <v>628.7436371428571</v>
      </c>
      <c r="J156" s="191">
        <f t="shared" ca="1" si="48"/>
        <v>692.88753228571477</v>
      </c>
      <c r="K156" s="191">
        <f t="shared" ca="1" si="48"/>
        <v>783.81172000000061</v>
      </c>
      <c r="L156" s="191">
        <f t="shared" ca="1" si="48"/>
        <v>888.13480600000048</v>
      </c>
      <c r="M156" s="191">
        <f t="shared" ca="1" si="48"/>
        <v>970.62052800000083</v>
      </c>
      <c r="N156" s="191">
        <f t="shared" ca="1" si="48"/>
        <v>1056.5807678509741</v>
      </c>
      <c r="O156" s="191">
        <f t="shared" ca="1" si="48"/>
        <v>1153.1750846146419</v>
      </c>
      <c r="P156" s="191">
        <f t="shared" ca="1" si="48"/>
        <v>1261.8976706952399</v>
      </c>
      <c r="Q156" s="191">
        <f t="shared" ca="1" si="48"/>
        <v>1384.4790883901278</v>
      </c>
      <c r="R156" s="191">
        <f t="shared" ca="1" si="48"/>
        <v>1522.9269972291413</v>
      </c>
    </row>
    <row r="157" spans="2:18" x14ac:dyDescent="0.5">
      <c r="H157" s="122"/>
    </row>
    <row r="158" spans="2:18" x14ac:dyDescent="0.5">
      <c r="B158" s="140" t="s">
        <v>718</v>
      </c>
      <c r="F158" s="145">
        <v>138.06</v>
      </c>
      <c r="G158" s="145">
        <v>142.904</v>
      </c>
      <c r="H158" s="188">
        <v>179.876</v>
      </c>
      <c r="I158" s="140">
        <f t="shared" ref="I158:R158" ca="1" si="49">I146*I183</f>
        <v>182.15140571428577</v>
      </c>
      <c r="J158" s="140">
        <f t="shared" ca="1" si="49"/>
        <v>197.32124342857151</v>
      </c>
      <c r="K158" s="140">
        <f t="shared" ca="1" si="49"/>
        <v>215.9628800000001</v>
      </c>
      <c r="L158" s="140">
        <f t="shared" ca="1" si="49"/>
        <v>248.76102400000011</v>
      </c>
      <c r="M158" s="140">
        <f t="shared" ca="1" si="49"/>
        <v>270.08051200000011</v>
      </c>
      <c r="N158" s="140">
        <f t="shared" ca="1" si="49"/>
        <v>293.99942255346997</v>
      </c>
      <c r="O158" s="140">
        <f t="shared" ca="1" si="49"/>
        <v>320.87732362318809</v>
      </c>
      <c r="P158" s="140">
        <f t="shared" ca="1" si="49"/>
        <v>351.12998248165809</v>
      </c>
      <c r="Q158" s="140">
        <f t="shared" ca="1" si="49"/>
        <v>385.23893762702176</v>
      </c>
      <c r="R158" s="140">
        <f t="shared" ca="1" si="49"/>
        <v>423.76283138972394</v>
      </c>
    </row>
    <row r="159" spans="2:18" x14ac:dyDescent="0.5">
      <c r="B159" s="140" t="s">
        <v>719</v>
      </c>
      <c r="F159" s="145">
        <v>8.7070000000000007</v>
      </c>
      <c r="G159" s="145">
        <v>9.0890000000000004</v>
      </c>
      <c r="H159" s="188">
        <v>6.899</v>
      </c>
      <c r="I159" s="140">
        <f t="shared" ref="I159:R159" ca="1" si="50">I146*I184</f>
        <v>5.6922314285714304</v>
      </c>
      <c r="J159" s="140">
        <f t="shared" ca="1" si="50"/>
        <v>6.1662888571428596</v>
      </c>
      <c r="K159" s="140">
        <f t="shared" ca="1" si="50"/>
        <v>6.7488400000000031</v>
      </c>
      <c r="L159" s="140">
        <f t="shared" ca="1" si="50"/>
        <v>7.7737820000000033</v>
      </c>
      <c r="M159" s="140">
        <f t="shared" ca="1" si="50"/>
        <v>8.4400160000000035</v>
      </c>
      <c r="N159" s="140">
        <f t="shared" ca="1" si="50"/>
        <v>9.1874819547959365</v>
      </c>
      <c r="O159" s="140">
        <f t="shared" ca="1" si="50"/>
        <v>10.027416363224628</v>
      </c>
      <c r="P159" s="140">
        <f t="shared" ca="1" si="50"/>
        <v>10.972811952551815</v>
      </c>
      <c r="Q159" s="140">
        <f t="shared" ca="1" si="50"/>
        <v>12.03871680084443</v>
      </c>
      <c r="R159" s="140">
        <f t="shared" ca="1" si="50"/>
        <v>13.242588480928873</v>
      </c>
    </row>
    <row r="160" spans="2:18" x14ac:dyDescent="0.5">
      <c r="B160" s="167" t="s">
        <v>110</v>
      </c>
      <c r="C160" s="167"/>
      <c r="D160" s="167"/>
      <c r="E160" s="167"/>
      <c r="F160" s="191">
        <f t="shared" ref="F160:H160" si="51">F156-F158-F159</f>
        <v>400.05199999999974</v>
      </c>
      <c r="G160" s="191">
        <f t="shared" si="51"/>
        <v>394.09999999999985</v>
      </c>
      <c r="H160" s="194">
        <f t="shared" si="51"/>
        <v>403.19000000000017</v>
      </c>
      <c r="I160" s="191">
        <f t="shared" ref="I160:R160" ca="1" si="52">I156-I158-I159</f>
        <v>440.89999999999992</v>
      </c>
      <c r="J160" s="191">
        <f t="shared" ca="1" si="52"/>
        <v>489.40000000000043</v>
      </c>
      <c r="K160" s="191">
        <f t="shared" ca="1" si="52"/>
        <v>561.10000000000059</v>
      </c>
      <c r="L160" s="191">
        <f t="shared" ca="1" si="52"/>
        <v>631.60000000000036</v>
      </c>
      <c r="M160" s="191">
        <f t="shared" ca="1" si="52"/>
        <v>692.1000000000007</v>
      </c>
      <c r="N160" s="191">
        <f t="shared" ca="1" si="52"/>
        <v>753.3938633427083</v>
      </c>
      <c r="O160" s="191">
        <f t="shared" ca="1" si="52"/>
        <v>822.27034462822928</v>
      </c>
      <c r="P160" s="191">
        <f t="shared" ca="1" si="52"/>
        <v>899.79487626102991</v>
      </c>
      <c r="Q160" s="191">
        <f t="shared" ca="1" si="52"/>
        <v>987.2014339622616</v>
      </c>
      <c r="R160" s="191">
        <f t="shared" ca="1" si="52"/>
        <v>1085.9215773584885</v>
      </c>
    </row>
    <row r="161" spans="2:20" x14ac:dyDescent="0.5">
      <c r="H161" s="122"/>
    </row>
    <row r="162" spans="2:20" x14ac:dyDescent="0.5">
      <c r="B162" s="140" t="s">
        <v>212</v>
      </c>
      <c r="F162" s="145">
        <v>124.10899999999999</v>
      </c>
      <c r="G162" s="145">
        <v>135.398</v>
      </c>
      <c r="H162" s="188">
        <v>154.35499999999999</v>
      </c>
      <c r="I162" s="140">
        <f t="shared" ref="I162:R162" ca="1" si="53">IFERROR(I146*I338,-1)</f>
        <v>162.38428571428571</v>
      </c>
      <c r="J162" s="140">
        <f t="shared" ca="1" si="53"/>
        <v>167.41442857142866</v>
      </c>
      <c r="K162" s="140">
        <f t="shared" ca="1" si="53"/>
        <v>180.27799999999996</v>
      </c>
      <c r="L162" s="140">
        <f t="shared" ca="1" si="53"/>
        <v>206.37500000000006</v>
      </c>
      <c r="M162" s="140">
        <f t="shared" ca="1" si="53"/>
        <v>220.45300000000015</v>
      </c>
      <c r="N162" s="140">
        <f t="shared" ca="1" si="53"/>
        <v>239.97679143980639</v>
      </c>
      <c r="O162" s="140">
        <f t="shared" ca="1" si="53"/>
        <v>261.91585650097812</v>
      </c>
      <c r="P162" s="140">
        <f t="shared" ca="1" si="53"/>
        <v>286.60956488422607</v>
      </c>
      <c r="Q162" s="140">
        <f t="shared" ca="1" si="53"/>
        <v>314.45097200011918</v>
      </c>
      <c r="R162" s="140">
        <f t="shared" ca="1" si="53"/>
        <v>345.89606920013108</v>
      </c>
    </row>
    <row r="163" spans="2:20" x14ac:dyDescent="0.5">
      <c r="B163" s="140" t="s">
        <v>720</v>
      </c>
      <c r="F163" s="145"/>
      <c r="G163" s="145"/>
      <c r="H163" s="188"/>
      <c r="I163" s="140">
        <f t="shared" ref="I163:R163" ca="1" si="54">IF($J$131&gt;=YEAR(I$141)-YEAR($H$141),$J$132,0)</f>
        <v>130.83634745000202</v>
      </c>
      <c r="J163" s="140">
        <f t="shared" ca="1" si="54"/>
        <v>130.83634745000202</v>
      </c>
      <c r="K163" s="140">
        <f t="shared" ca="1" si="54"/>
        <v>130.83634745000202</v>
      </c>
      <c r="L163" s="140">
        <f t="shared" ca="1" si="54"/>
        <v>130.83634745000202</v>
      </c>
      <c r="M163" s="140">
        <f t="shared" ca="1" si="54"/>
        <v>130.83634745000202</v>
      </c>
      <c r="N163" s="140">
        <f t="shared" ca="1" si="54"/>
        <v>130.83634745000202</v>
      </c>
      <c r="O163" s="140">
        <f t="shared" ca="1" si="54"/>
        <v>130.83634745000202</v>
      </c>
      <c r="P163" s="140">
        <f t="shared" ca="1" si="54"/>
        <v>130.83634745000202</v>
      </c>
      <c r="Q163" s="140">
        <f t="shared" ca="1" si="54"/>
        <v>130.83634745000202</v>
      </c>
      <c r="R163" s="140">
        <f t="shared" ca="1" si="54"/>
        <v>130.83634745000202</v>
      </c>
    </row>
    <row r="164" spans="2:20" x14ac:dyDescent="0.5">
      <c r="B164" s="167" t="s">
        <v>111</v>
      </c>
      <c r="C164" s="167"/>
      <c r="D164" s="167"/>
      <c r="E164" s="167"/>
      <c r="F164" s="191">
        <f t="shared" ref="F164:H164" si="55">F160-F162-F163</f>
        <v>275.94299999999976</v>
      </c>
      <c r="G164" s="191">
        <f t="shared" si="55"/>
        <v>258.70199999999988</v>
      </c>
      <c r="H164" s="194">
        <f t="shared" si="55"/>
        <v>248.83500000000018</v>
      </c>
      <c r="I164" s="191">
        <f t="shared" ref="I164:R164" ca="1" si="56">I160-I162-I163</f>
        <v>147.67936683571222</v>
      </c>
      <c r="J164" s="191">
        <f t="shared" ca="1" si="56"/>
        <v>191.14922397856978</v>
      </c>
      <c r="K164" s="191">
        <f t="shared" ca="1" si="56"/>
        <v>249.9856525499986</v>
      </c>
      <c r="L164" s="191">
        <f t="shared" ca="1" si="56"/>
        <v>294.38865254999826</v>
      </c>
      <c r="M164" s="191">
        <f t="shared" ca="1" si="56"/>
        <v>340.81065254999851</v>
      </c>
      <c r="N164" s="191">
        <f t="shared" ca="1" si="56"/>
        <v>382.58072445289986</v>
      </c>
      <c r="O164" s="191">
        <f t="shared" ca="1" si="56"/>
        <v>429.51814067724922</v>
      </c>
      <c r="P164" s="191">
        <f t="shared" ca="1" si="56"/>
        <v>482.34896392680184</v>
      </c>
      <c r="Q164" s="191">
        <f t="shared" ca="1" si="56"/>
        <v>541.91411451214049</v>
      </c>
      <c r="R164" s="191">
        <f t="shared" ca="1" si="56"/>
        <v>609.18916070835553</v>
      </c>
    </row>
    <row r="165" spans="2:20" x14ac:dyDescent="0.5">
      <c r="H165" s="122"/>
    </row>
    <row r="166" spans="2:20" x14ac:dyDescent="0.5">
      <c r="B166" s="154" t="s">
        <v>275</v>
      </c>
      <c r="H166" s="122"/>
    </row>
    <row r="167" spans="2:20" x14ac:dyDescent="0.5">
      <c r="B167" s="181" t="s">
        <v>276</v>
      </c>
      <c r="F167" s="145">
        <v>1.8240000000000001</v>
      </c>
      <c r="G167" s="145">
        <v>3.83</v>
      </c>
      <c r="H167" s="188">
        <v>8.8840000000000003</v>
      </c>
      <c r="I167" s="140">
        <f t="shared" ref="I167:R167" ca="1" si="57">IFERROR(I309,-1)</f>
        <v>168.99292647152706</v>
      </c>
      <c r="J167" s="140">
        <f t="shared" ca="1" si="57"/>
        <v>165.71535737055729</v>
      </c>
      <c r="K167" s="140">
        <f t="shared" ca="1" si="57"/>
        <v>159.33698184378864</v>
      </c>
      <c r="L167" s="140">
        <f t="shared" ca="1" si="57"/>
        <v>150.57721467786638</v>
      </c>
      <c r="M167" s="140">
        <f t="shared" ca="1" si="57"/>
        <v>136.84235913889822</v>
      </c>
      <c r="N167" s="140">
        <f t="shared" ca="1" si="57"/>
        <v>116.98053172080317</v>
      </c>
      <c r="O167" s="140">
        <f t="shared" ca="1" si="57"/>
        <v>93.104695812336502</v>
      </c>
      <c r="P167" s="140">
        <f t="shared" ca="1" si="57"/>
        <v>66.224796006451228</v>
      </c>
      <c r="Q167" s="140">
        <f t="shared" ca="1" si="57"/>
        <v>36.024880101131743</v>
      </c>
      <c r="R167" s="140">
        <f t="shared" ca="1" si="57"/>
        <v>10.028033064523106</v>
      </c>
      <c r="T167" s="218" t="str">
        <f ca="1">IF(OR(I167=-1,J167=-1,K167=-1,L167=-1,M167=-1,N167=-1,O167=-1,P167=-1,Q167=-1,R167=-1),"Possible Recurision Error","Recursion Point")</f>
        <v>Recursion Point</v>
      </c>
    </row>
    <row r="168" spans="2:20" x14ac:dyDescent="0.5">
      <c r="B168" s="181" t="s">
        <v>658</v>
      </c>
      <c r="H168" s="122"/>
      <c r="I168" s="140">
        <f t="shared" ref="I168:R168" ca="1" si="58">IFERROR(I312,-1)</f>
        <v>0.64024649999999994</v>
      </c>
      <c r="J168" s="140">
        <f t="shared" ca="1" si="58"/>
        <v>0.64024650000000005</v>
      </c>
      <c r="K168" s="140">
        <f t="shared" ca="1" si="58"/>
        <v>0.64024650000000005</v>
      </c>
      <c r="L168" s="140">
        <f t="shared" ca="1" si="58"/>
        <v>0.64024650000000005</v>
      </c>
      <c r="M168" s="140">
        <f t="shared" ca="1" si="58"/>
        <v>0.64024650000000005</v>
      </c>
      <c r="N168" s="140">
        <f t="shared" ca="1" si="58"/>
        <v>0.64024650000000005</v>
      </c>
      <c r="O168" s="140">
        <f t="shared" ca="1" si="58"/>
        <v>0.64024650000000005</v>
      </c>
      <c r="P168" s="140">
        <f t="shared" ca="1" si="58"/>
        <v>0.64024650000000005</v>
      </c>
      <c r="Q168" s="140">
        <f t="shared" ca="1" si="58"/>
        <v>0.64024650000000005</v>
      </c>
      <c r="R168" s="140">
        <f t="shared" ca="1" si="58"/>
        <v>4.3844665472561655</v>
      </c>
      <c r="T168" s="218" t="str">
        <f ca="1">IF(OR(I168=-1,J168=-1,K168=-1,L168=-1,M168=-1,N168=-1,O168=-1,P168=-1,Q168=-1,R168=-1),"Possible Recurision Error","Recursion Point")</f>
        <v>Recursion Point</v>
      </c>
    </row>
    <row r="169" spans="2:20" x14ac:dyDescent="0.5">
      <c r="B169" s="181" t="s">
        <v>721</v>
      </c>
      <c r="F169" s="154"/>
      <c r="G169" s="154"/>
      <c r="H169" s="155"/>
      <c r="I169" s="140">
        <f t="shared" ref="I169:R169" ca="1" si="59">IF($F$60&gt;=YEAR(I$141)-YEAR($H$141),$E$60/$F$60)+IF($F$61&gt;=YEAR(I$141)-YEAR($H$141),$E$61/$F$61)+IF($F$62&gt;=YEAR(I$141)-YEAR($H$141),$E$62/$F$62)</f>
        <v>5.78571671517724</v>
      </c>
      <c r="J169" s="140">
        <f t="shared" ca="1" si="59"/>
        <v>5.78571671517724</v>
      </c>
      <c r="K169" s="140">
        <f t="shared" ca="1" si="59"/>
        <v>5.78571671517724</v>
      </c>
      <c r="L169" s="140">
        <f t="shared" ca="1" si="59"/>
        <v>5.78571671517724</v>
      </c>
      <c r="M169" s="140">
        <f t="shared" ca="1" si="59"/>
        <v>5.78571671517724</v>
      </c>
      <c r="N169" s="140">
        <f t="shared" ca="1" si="59"/>
        <v>5.78571671517724</v>
      </c>
      <c r="O169" s="140">
        <f t="shared" ca="1" si="59"/>
        <v>5.78571671517724</v>
      </c>
      <c r="P169" s="140">
        <f t="shared" ca="1" si="59"/>
        <v>3.3750013538663146</v>
      </c>
      <c r="Q169" s="140">
        <f t="shared" ca="1" si="59"/>
        <v>3.3750013538663146</v>
      </c>
      <c r="R169" s="140">
        <f t="shared" ca="1" si="59"/>
        <v>3.3750013538663146</v>
      </c>
    </row>
    <row r="170" spans="2:20" x14ac:dyDescent="0.5">
      <c r="B170" s="167" t="s">
        <v>115</v>
      </c>
      <c r="C170" s="167"/>
      <c r="D170" s="167"/>
      <c r="E170" s="167"/>
      <c r="F170" s="269">
        <f t="shared" ref="F170:H170" si="60">F164-F167-F169+F168</f>
        <v>274.11899999999974</v>
      </c>
      <c r="G170" s="269">
        <f t="shared" si="60"/>
        <v>254.87199999999987</v>
      </c>
      <c r="H170" s="270">
        <f t="shared" si="60"/>
        <v>239.95100000000019</v>
      </c>
      <c r="I170" s="191">
        <f t="shared" ref="I170:R170" ca="1" si="61">I164-I167-I169+I168</f>
        <v>-26.459029850992081</v>
      </c>
      <c r="J170" s="191">
        <f t="shared" ca="1" si="61"/>
        <v>20.288396392835253</v>
      </c>
      <c r="K170" s="191">
        <f t="shared" ca="1" si="61"/>
        <v>85.503200491032729</v>
      </c>
      <c r="L170" s="191">
        <f t="shared" ca="1" si="61"/>
        <v>138.66596765695462</v>
      </c>
      <c r="M170" s="191">
        <f t="shared" ca="1" si="61"/>
        <v>198.82282319592304</v>
      </c>
      <c r="N170" s="191">
        <f t="shared" ca="1" si="61"/>
        <v>260.45472251691945</v>
      </c>
      <c r="O170" s="191">
        <f t="shared" ca="1" si="61"/>
        <v>331.26797464973549</v>
      </c>
      <c r="P170" s="191">
        <f t="shared" ca="1" si="61"/>
        <v>413.38941306648428</v>
      </c>
      <c r="Q170" s="191">
        <f t="shared" ca="1" si="61"/>
        <v>503.15447955714239</v>
      </c>
      <c r="R170" s="191">
        <f t="shared" ca="1" si="61"/>
        <v>600.17059283722222</v>
      </c>
    </row>
    <row r="171" spans="2:20" x14ac:dyDescent="0.5">
      <c r="H171" s="122"/>
    </row>
    <row r="172" spans="2:20" x14ac:dyDescent="0.5">
      <c r="B172" s="140" t="s">
        <v>345</v>
      </c>
      <c r="H172" s="122"/>
      <c r="I172" s="140">
        <f t="shared" ref="I172:R172" ca="1" si="62">I234</f>
        <v>0</v>
      </c>
      <c r="J172" s="140">
        <f t="shared" ca="1" si="62"/>
        <v>-20.288396393004469</v>
      </c>
      <c r="K172" s="140">
        <f t="shared" ca="1" si="62"/>
        <v>-6.1706334555335438</v>
      </c>
      <c r="L172" s="140">
        <f t="shared" ca="1" si="62"/>
        <v>0</v>
      </c>
      <c r="M172" s="140">
        <f t="shared" ca="1" si="62"/>
        <v>0</v>
      </c>
      <c r="N172" s="140">
        <f t="shared" ca="1" si="62"/>
        <v>0</v>
      </c>
      <c r="O172" s="140">
        <f t="shared" ca="1" si="62"/>
        <v>0</v>
      </c>
      <c r="P172" s="140">
        <f t="shared" ca="1" si="62"/>
        <v>0</v>
      </c>
      <c r="Q172" s="140">
        <f t="shared" ca="1" si="62"/>
        <v>0</v>
      </c>
      <c r="R172" s="140">
        <f t="shared" ca="1" si="62"/>
        <v>0</v>
      </c>
    </row>
    <row r="173" spans="2:20" x14ac:dyDescent="0.5">
      <c r="H173" s="122"/>
    </row>
    <row r="174" spans="2:20" x14ac:dyDescent="0.5">
      <c r="B174" s="140" t="s">
        <v>349</v>
      </c>
      <c r="F174" s="145">
        <v>98.001000000000005</v>
      </c>
      <c r="G174" s="145">
        <v>87.247</v>
      </c>
      <c r="H174" s="188">
        <v>84.257999999999996</v>
      </c>
      <c r="I174" s="140">
        <f t="shared" ref="I174:R174" ca="1" si="63">MAX(0,(I170+I172)*I189)</f>
        <v>0</v>
      </c>
      <c r="J174" s="140">
        <f t="shared" ca="1" si="63"/>
        <v>0</v>
      </c>
      <c r="K174" s="140">
        <f t="shared" ca="1" si="63"/>
        <v>27.766398462424711</v>
      </c>
      <c r="L174" s="140">
        <f t="shared" ca="1" si="63"/>
        <v>48.533088679934117</v>
      </c>
      <c r="M174" s="140">
        <f t="shared" ca="1" si="63"/>
        <v>69.587988118573051</v>
      </c>
      <c r="N174" s="140">
        <f t="shared" ca="1" si="63"/>
        <v>91.159152880921795</v>
      </c>
      <c r="O174" s="140">
        <f t="shared" ca="1" si="63"/>
        <v>115.94379112740741</v>
      </c>
      <c r="P174" s="140">
        <f t="shared" ca="1" si="63"/>
        <v>144.68629457326949</v>
      </c>
      <c r="Q174" s="140">
        <f t="shared" ca="1" si="63"/>
        <v>176.10406784499983</v>
      </c>
      <c r="R174" s="140">
        <f t="shared" ca="1" si="63"/>
        <v>210.05970749302776</v>
      </c>
    </row>
    <row r="175" spans="2:20" x14ac:dyDescent="0.5">
      <c r="B175" s="167" t="s">
        <v>112</v>
      </c>
      <c r="C175" s="167"/>
      <c r="D175" s="167"/>
      <c r="E175" s="167"/>
      <c r="F175" s="191">
        <f t="shared" ref="F175" si="64">F170-F174</f>
        <v>176.11799999999974</v>
      </c>
      <c r="G175" s="191">
        <f t="shared" ref="G175" si="65">G170-G174</f>
        <v>167.62499999999989</v>
      </c>
      <c r="H175" s="194">
        <f t="shared" ref="H175" si="66">H170-H174</f>
        <v>155.69300000000021</v>
      </c>
      <c r="I175" s="191">
        <f t="shared" ref="I175:R175" ca="1" si="67">I170-I174</f>
        <v>-26.459029850992081</v>
      </c>
      <c r="J175" s="191">
        <f t="shared" ca="1" si="67"/>
        <v>20.288396392835253</v>
      </c>
      <c r="K175" s="191">
        <f t="shared" ca="1" si="67"/>
        <v>57.736802028608018</v>
      </c>
      <c r="L175" s="191">
        <f t="shared" ca="1" si="67"/>
        <v>90.132878977020511</v>
      </c>
      <c r="M175" s="191">
        <f t="shared" ca="1" si="67"/>
        <v>129.23483507735</v>
      </c>
      <c r="N175" s="191">
        <f t="shared" ca="1" si="67"/>
        <v>169.29556963599765</v>
      </c>
      <c r="O175" s="191">
        <f t="shared" ca="1" si="67"/>
        <v>215.3241835223281</v>
      </c>
      <c r="P175" s="191">
        <f t="shared" ca="1" si="67"/>
        <v>268.70311849321479</v>
      </c>
      <c r="Q175" s="191">
        <f t="shared" ca="1" si="67"/>
        <v>327.05041171214259</v>
      </c>
      <c r="R175" s="191">
        <f t="shared" ca="1" si="67"/>
        <v>390.11088534419446</v>
      </c>
    </row>
    <row r="176" spans="2:20" x14ac:dyDescent="0.5">
      <c r="H176" s="122"/>
    </row>
    <row r="177" spans="1:20" x14ac:dyDescent="0.5">
      <c r="B177" s="140" t="s">
        <v>722</v>
      </c>
      <c r="F177" s="145">
        <v>-3.1749999999999998</v>
      </c>
      <c r="G177" s="145">
        <v>18.3</v>
      </c>
      <c r="H177" s="188">
        <v>10.452</v>
      </c>
      <c r="I177" s="145">
        <v>0</v>
      </c>
      <c r="J177" s="140">
        <f t="shared" ref="J177:R177" si="68">I177</f>
        <v>0</v>
      </c>
      <c r="K177" s="140">
        <f t="shared" si="68"/>
        <v>0</v>
      </c>
      <c r="L177" s="140">
        <f t="shared" si="68"/>
        <v>0</v>
      </c>
      <c r="M177" s="140">
        <f t="shared" si="68"/>
        <v>0</v>
      </c>
      <c r="N177" s="140">
        <f t="shared" si="68"/>
        <v>0</v>
      </c>
      <c r="O177" s="140">
        <f t="shared" si="68"/>
        <v>0</v>
      </c>
      <c r="P177" s="140">
        <f t="shared" si="68"/>
        <v>0</v>
      </c>
      <c r="Q177" s="140">
        <f t="shared" si="68"/>
        <v>0</v>
      </c>
      <c r="R177" s="140">
        <f t="shared" si="68"/>
        <v>0</v>
      </c>
      <c r="T177" s="140" t="s">
        <v>593</v>
      </c>
    </row>
    <row r="178" spans="1:20" x14ac:dyDescent="0.5">
      <c r="B178" s="140" t="s">
        <v>723</v>
      </c>
      <c r="F178" s="145">
        <v>0</v>
      </c>
      <c r="G178" s="145">
        <v>-1.7000000000000001E-2</v>
      </c>
      <c r="H178" s="188">
        <v>-0.33300000000000002</v>
      </c>
      <c r="I178" s="145">
        <v>0</v>
      </c>
      <c r="J178" s="140">
        <f t="shared" ref="J178:R178" si="69">I178</f>
        <v>0</v>
      </c>
      <c r="K178" s="140">
        <f t="shared" si="69"/>
        <v>0</v>
      </c>
      <c r="L178" s="140">
        <f t="shared" si="69"/>
        <v>0</v>
      </c>
      <c r="M178" s="140">
        <f t="shared" si="69"/>
        <v>0</v>
      </c>
      <c r="N178" s="140">
        <f t="shared" si="69"/>
        <v>0</v>
      </c>
      <c r="O178" s="140">
        <f t="shared" si="69"/>
        <v>0</v>
      </c>
      <c r="P178" s="140">
        <f t="shared" si="69"/>
        <v>0</v>
      </c>
      <c r="Q178" s="140">
        <f t="shared" si="69"/>
        <v>0</v>
      </c>
      <c r="R178" s="140">
        <f t="shared" si="69"/>
        <v>0</v>
      </c>
    </row>
    <row r="179" spans="1:20" s="148" customFormat="1" x14ac:dyDescent="0.5">
      <c r="A179" s="141"/>
      <c r="B179" s="167" t="s">
        <v>22</v>
      </c>
      <c r="C179" s="167"/>
      <c r="D179" s="167"/>
      <c r="E179" s="167"/>
      <c r="F179" s="191">
        <f t="shared" ref="F179:H179" si="70">F175-F177-F178</f>
        <v>179.29299999999975</v>
      </c>
      <c r="G179" s="191">
        <f t="shared" si="70"/>
        <v>149.34199999999987</v>
      </c>
      <c r="H179" s="194">
        <f t="shared" si="70"/>
        <v>145.57400000000021</v>
      </c>
      <c r="I179" s="191">
        <f t="shared" ref="I179:R179" ca="1" si="71">I175-I177-I178</f>
        <v>-26.459029850992081</v>
      </c>
      <c r="J179" s="191">
        <f t="shared" ca="1" si="71"/>
        <v>20.288396392835253</v>
      </c>
      <c r="K179" s="191">
        <f t="shared" ca="1" si="71"/>
        <v>57.736802028608018</v>
      </c>
      <c r="L179" s="191">
        <f t="shared" ca="1" si="71"/>
        <v>90.132878977020511</v>
      </c>
      <c r="M179" s="191">
        <f t="shared" ca="1" si="71"/>
        <v>129.23483507735</v>
      </c>
      <c r="N179" s="191">
        <f t="shared" ca="1" si="71"/>
        <v>169.29556963599765</v>
      </c>
      <c r="O179" s="191">
        <f t="shared" ca="1" si="71"/>
        <v>215.3241835223281</v>
      </c>
      <c r="P179" s="191">
        <f t="shared" ca="1" si="71"/>
        <v>268.70311849321479</v>
      </c>
      <c r="Q179" s="191">
        <f t="shared" ca="1" si="71"/>
        <v>327.05041171214259</v>
      </c>
      <c r="R179" s="191">
        <f t="shared" ca="1" si="71"/>
        <v>390.11088534419446</v>
      </c>
      <c r="T179" s="140"/>
    </row>
    <row r="180" spans="1:20" x14ac:dyDescent="0.5">
      <c r="H180" s="122"/>
      <c r="I180" s="271"/>
      <c r="J180" s="271"/>
      <c r="K180" s="271"/>
      <c r="L180" s="271"/>
      <c r="M180" s="271"/>
      <c r="N180" s="271"/>
      <c r="O180" s="271"/>
      <c r="P180" s="271"/>
      <c r="Q180" s="271"/>
      <c r="R180" s="271"/>
    </row>
    <row r="181" spans="1:20" x14ac:dyDescent="0.5">
      <c r="B181" s="140" t="s">
        <v>199</v>
      </c>
      <c r="F181" s="125"/>
      <c r="G181" s="125">
        <f>G146/F146-1</f>
        <v>6.0250395876948915E-2</v>
      </c>
      <c r="H181" s="189">
        <f>H146/G146-1</f>
        <v>4.2432073628234201E-2</v>
      </c>
      <c r="I181" s="224">
        <f ca="1">'LBO Model'!I410</f>
        <v>1.8155308621848887E-2</v>
      </c>
      <c r="J181" s="224">
        <f ca="1">'LBO Model'!J410</f>
        <v>8.3281474852192172E-2</v>
      </c>
      <c r="K181" s="224">
        <f ca="1">'LBO Model'!K410</f>
        <v>9.4473540950377632E-2</v>
      </c>
      <c r="L181" s="224">
        <f ca="1">'LBO Model'!L410</f>
        <v>0.15186935828972081</v>
      </c>
      <c r="M181" s="224">
        <f ca="1">'LBO Model'!M410</f>
        <v>8.5702686285774377E-2</v>
      </c>
      <c r="N181" s="224">
        <f ca="1">'LBO Model'!N410</f>
        <v>8.8562149028619502E-2</v>
      </c>
      <c r="O181" s="224">
        <f ca="1">'LBO Model'!O410</f>
        <v>9.1421611771464628E-2</v>
      </c>
      <c r="P181" s="224">
        <f ca="1">'LBO Model'!P410</f>
        <v>9.4281074514309754E-2</v>
      </c>
      <c r="Q181" s="224">
        <f ca="1">'LBO Model'!Q410</f>
        <v>9.714053725715488E-2</v>
      </c>
      <c r="R181" s="224">
        <f ca="1">'LBO Model'!R410</f>
        <v>0.1</v>
      </c>
    </row>
    <row r="182" spans="1:20" x14ac:dyDescent="0.5">
      <c r="B182" s="140" t="s">
        <v>200</v>
      </c>
      <c r="F182" s="125">
        <f>F156/F$146</f>
        <v>0.21620278388973554</v>
      </c>
      <c r="G182" s="125">
        <f>G156/G146</f>
        <v>0.20364598482983906</v>
      </c>
      <c r="H182" s="189">
        <f>H156/H146</f>
        <v>0.21105115074417835</v>
      </c>
      <c r="I182" s="224">
        <f ca="1">'LBO Model'!I411</f>
        <v>0.2209128862846155</v>
      </c>
      <c r="J182" s="224">
        <f ca="1">'LBO Model'!J411</f>
        <v>0.22473404938955877</v>
      </c>
      <c r="K182" s="224">
        <f ca="1">'LBO Model'!K411</f>
        <v>0.23228042745123609</v>
      </c>
      <c r="L182" s="224">
        <f ca="1">'LBO Model'!L411</f>
        <v>0.22849490917033694</v>
      </c>
      <c r="M182" s="224">
        <f ca="1">'LBO Model'!M411</f>
        <v>0.23000442842762389</v>
      </c>
      <c r="N182" s="224">
        <f ca="1">'LBO Model'!N411</f>
        <v>0.23000442842762389</v>
      </c>
      <c r="O182" s="224">
        <f ca="1">'LBO Model'!O411</f>
        <v>0.23000442842762389</v>
      </c>
      <c r="P182" s="224">
        <f ca="1">'LBO Model'!P411</f>
        <v>0.23000442842762389</v>
      </c>
      <c r="Q182" s="224">
        <f ca="1">'LBO Model'!Q411</f>
        <v>0.23000442842762389</v>
      </c>
      <c r="R182" s="224">
        <f ca="1">'LBO Model'!R411</f>
        <v>0.23000442842762389</v>
      </c>
    </row>
    <row r="183" spans="1:20" x14ac:dyDescent="0.5">
      <c r="B183" s="140" t="s">
        <v>288</v>
      </c>
      <c r="F183" s="125">
        <f t="shared" ref="F183:H184" si="72">F158/F$146</f>
        <v>5.4586538404512108E-2</v>
      </c>
      <c r="G183" s="125">
        <f t="shared" si="72"/>
        <v>5.3290970248883122E-2</v>
      </c>
      <c r="H183" s="189">
        <f t="shared" si="72"/>
        <v>6.4347947405794942E-2</v>
      </c>
      <c r="I183" s="224">
        <f ca="1">'LBO Model'!I412</f>
        <v>6.4000000000000001E-2</v>
      </c>
      <c r="J183" s="224">
        <f ca="1">'LBO Model'!J412</f>
        <v>6.4000000000000001E-2</v>
      </c>
      <c r="K183" s="224">
        <f ca="1">'LBO Model'!K412</f>
        <v>6.4000000000000001E-2</v>
      </c>
      <c r="L183" s="224">
        <f ca="1">'LBO Model'!L412</f>
        <v>6.4000000000000001E-2</v>
      </c>
      <c r="M183" s="224">
        <f ca="1">'LBO Model'!M412</f>
        <v>6.4000000000000001E-2</v>
      </c>
      <c r="N183" s="224">
        <f ca="1">'LBO Model'!N412</f>
        <v>6.4000000000000001E-2</v>
      </c>
      <c r="O183" s="224">
        <f ca="1">'LBO Model'!O412</f>
        <v>6.4000000000000001E-2</v>
      </c>
      <c r="P183" s="224">
        <f ca="1">'LBO Model'!P412</f>
        <v>6.4000000000000001E-2</v>
      </c>
      <c r="Q183" s="224">
        <f ca="1">'LBO Model'!Q412</f>
        <v>6.4000000000000001E-2</v>
      </c>
      <c r="R183" s="224">
        <f ca="1">'LBO Model'!R412</f>
        <v>6.4000000000000001E-2</v>
      </c>
    </row>
    <row r="184" spans="1:20" x14ac:dyDescent="0.5">
      <c r="B184" s="140" t="s">
        <v>222</v>
      </c>
      <c r="F184" s="125">
        <f t="shared" si="72"/>
        <v>3.4425973481680932E-3</v>
      </c>
      <c r="G184" s="125">
        <f t="shared" si="72"/>
        <v>3.3894196704927692E-3</v>
      </c>
      <c r="H184" s="189">
        <f t="shared" si="72"/>
        <v>2.4680140160587257E-3</v>
      </c>
      <c r="I184" s="224">
        <f ca="1">'LBO Model'!I413</f>
        <v>2E-3</v>
      </c>
      <c r="J184" s="224">
        <f ca="1">'LBO Model'!J413</f>
        <v>2E-3</v>
      </c>
      <c r="K184" s="224">
        <f ca="1">'LBO Model'!K413</f>
        <v>2E-3</v>
      </c>
      <c r="L184" s="224">
        <f ca="1">'LBO Model'!L413</f>
        <v>2E-3</v>
      </c>
      <c r="M184" s="224">
        <f ca="1">'LBO Model'!M413</f>
        <v>2E-3</v>
      </c>
      <c r="N184" s="224">
        <f ca="1">'LBO Model'!N413</f>
        <v>2E-3</v>
      </c>
      <c r="O184" s="224">
        <f ca="1">'LBO Model'!O413</f>
        <v>2E-3</v>
      </c>
      <c r="P184" s="224">
        <f ca="1">'LBO Model'!P413</f>
        <v>2E-3</v>
      </c>
      <c r="Q184" s="224">
        <f ca="1">'LBO Model'!Q413</f>
        <v>2E-3</v>
      </c>
      <c r="R184" s="224">
        <f ca="1">'LBO Model'!R413</f>
        <v>2E-3</v>
      </c>
    </row>
    <row r="185" spans="1:20" x14ac:dyDescent="0.5">
      <c r="H185" s="122"/>
      <c r="I185" s="144"/>
      <c r="J185" s="144"/>
      <c r="K185" s="144"/>
      <c r="L185" s="144"/>
      <c r="M185" s="144"/>
      <c r="N185" s="144"/>
      <c r="O185" s="144"/>
      <c r="P185" s="144"/>
      <c r="Q185" s="144"/>
      <c r="R185" s="144"/>
    </row>
    <row r="186" spans="1:20" x14ac:dyDescent="0.5">
      <c r="B186" s="140" t="s">
        <v>201</v>
      </c>
      <c r="F186" s="125">
        <f t="shared" ref="F186:H186" si="73">F160/F$146</f>
        <v>0.15817364813705534</v>
      </c>
      <c r="G186" s="125">
        <f t="shared" si="73"/>
        <v>0.14696559491046318</v>
      </c>
      <c r="H186" s="120">
        <f t="shared" si="73"/>
        <v>0.14423518932232468</v>
      </c>
      <c r="I186" s="224">
        <f t="shared" ref="I186:R186" ca="1" si="74">I160/I$146</f>
        <v>0.15491288628461541</v>
      </c>
      <c r="J186" s="224">
        <f t="shared" ca="1" si="74"/>
        <v>0.15873404938955882</v>
      </c>
      <c r="K186" s="224">
        <f t="shared" ca="1" si="74"/>
        <v>0.16628042745123617</v>
      </c>
      <c r="L186" s="224">
        <f t="shared" ca="1" si="74"/>
        <v>0.16249490917033693</v>
      </c>
      <c r="M186" s="224">
        <f t="shared" ca="1" si="74"/>
        <v>0.16400442842762394</v>
      </c>
      <c r="N186" s="224">
        <f t="shared" ca="1" si="74"/>
        <v>0.16400442842762394</v>
      </c>
      <c r="O186" s="224">
        <f t="shared" ca="1" si="74"/>
        <v>0.16400442842762394</v>
      </c>
      <c r="P186" s="224">
        <f t="shared" ca="1" si="74"/>
        <v>0.16400442842762386</v>
      </c>
      <c r="Q186" s="224">
        <f t="shared" ca="1" si="74"/>
        <v>0.16400442842762386</v>
      </c>
      <c r="R186" s="224">
        <f t="shared" ca="1" si="74"/>
        <v>0.16400442842762397</v>
      </c>
    </row>
    <row r="187" spans="1:20" x14ac:dyDescent="0.5">
      <c r="B187" s="140" t="s">
        <v>202</v>
      </c>
      <c r="F187" s="125">
        <f t="shared" ref="F187:H187" si="75">F164/F$146</f>
        <v>0.10910309406747987</v>
      </c>
      <c r="G187" s="125">
        <f t="shared" si="75"/>
        <v>9.6473720716890754E-2</v>
      </c>
      <c r="H187" s="120">
        <f t="shared" si="75"/>
        <v>8.9016997780254153E-2</v>
      </c>
      <c r="I187" s="224">
        <f t="shared" ref="I187:R187" ca="1" si="76">I164/I$146</f>
        <v>5.1888040283975263E-2</v>
      </c>
      <c r="J187" s="224">
        <f t="shared" ca="1" si="76"/>
        <v>6.1998141315468144E-2</v>
      </c>
      <c r="K187" s="224">
        <f t="shared" ca="1" si="76"/>
        <v>7.4082554201906847E-2</v>
      </c>
      <c r="L187" s="224">
        <f t="shared" ca="1" si="76"/>
        <v>7.573884952009155E-2</v>
      </c>
      <c r="M187" s="224">
        <f t="shared" ca="1" si="76"/>
        <v>8.0760665039023238E-2</v>
      </c>
      <c r="N187" s="224">
        <f t="shared" ca="1" si="76"/>
        <v>8.3283042369011628E-2</v>
      </c>
      <c r="O187" s="224">
        <f t="shared" ca="1" si="76"/>
        <v>8.5668755563496776E-2</v>
      </c>
      <c r="P187" s="224">
        <f t="shared" ca="1" si="76"/>
        <v>8.7917111131140396E-2</v>
      </c>
      <c r="Q187" s="224">
        <f t="shared" ca="1" si="76"/>
        <v>9.0028550962197085E-2</v>
      </c>
      <c r="R187" s="224">
        <f t="shared" ca="1" si="76"/>
        <v>9.2004544517209866E-2</v>
      </c>
    </row>
    <row r="188" spans="1:20" x14ac:dyDescent="0.5">
      <c r="H188" s="122"/>
      <c r="I188" s="144"/>
      <c r="J188" s="144"/>
      <c r="K188" s="144"/>
      <c r="L188" s="144"/>
      <c r="M188" s="144"/>
      <c r="N188" s="144"/>
      <c r="O188" s="144"/>
      <c r="P188" s="144"/>
      <c r="Q188" s="144"/>
      <c r="R188" s="144"/>
    </row>
    <row r="189" spans="1:20" ht="13.2" thickBot="1" x14ac:dyDescent="0.55000000000000004">
      <c r="B189" s="163" t="s">
        <v>193</v>
      </c>
      <c r="C189" s="163"/>
      <c r="D189" s="163"/>
      <c r="E189" s="163"/>
      <c r="F189" s="130">
        <f>F174/F170</f>
        <v>0.35751261313517158</v>
      </c>
      <c r="G189" s="130">
        <f>G174/G170</f>
        <v>0.34231692771273442</v>
      </c>
      <c r="H189" s="190">
        <f>H174/H170</f>
        <v>0.3511466924497082</v>
      </c>
      <c r="I189" s="391">
        <f ca="1">'LBO Model'!I415</f>
        <v>0.35</v>
      </c>
      <c r="J189" s="391">
        <f ca="1">'LBO Model'!J415</f>
        <v>0.35</v>
      </c>
      <c r="K189" s="391">
        <f ca="1">'LBO Model'!K415</f>
        <v>0.35</v>
      </c>
      <c r="L189" s="391">
        <f ca="1">'LBO Model'!L415</f>
        <v>0.35</v>
      </c>
      <c r="M189" s="391">
        <f ca="1">'LBO Model'!M415</f>
        <v>0.35</v>
      </c>
      <c r="N189" s="391">
        <f ca="1">'LBO Model'!N415</f>
        <v>0.35</v>
      </c>
      <c r="O189" s="391">
        <f ca="1">'LBO Model'!O415</f>
        <v>0.35</v>
      </c>
      <c r="P189" s="391">
        <f ca="1">'LBO Model'!P415</f>
        <v>0.35</v>
      </c>
      <c r="Q189" s="391">
        <f ca="1">'LBO Model'!Q415</f>
        <v>0.35</v>
      </c>
      <c r="R189" s="391">
        <f ca="1">'LBO Model'!R415</f>
        <v>0.35</v>
      </c>
    </row>
    <row r="191" spans="1:20" ht="15.6" x14ac:dyDescent="0.6">
      <c r="A191" s="138" t="s">
        <v>31</v>
      </c>
      <c r="B191" s="161" t="s">
        <v>117</v>
      </c>
      <c r="C191" s="171"/>
      <c r="D191" s="171"/>
      <c r="E191" s="171"/>
      <c r="F191" s="171"/>
      <c r="G191" s="171"/>
      <c r="H191" s="171"/>
      <c r="I191" s="171"/>
      <c r="J191" s="171"/>
      <c r="K191" s="171"/>
      <c r="L191" s="171"/>
      <c r="M191" s="171"/>
      <c r="N191" s="171"/>
      <c r="O191" s="171"/>
      <c r="P191" s="171"/>
      <c r="Q191" s="171"/>
      <c r="R191" s="171"/>
    </row>
    <row r="192" spans="1:20" x14ac:dyDescent="0.5">
      <c r="B192" s="128" t="str">
        <f>$B$12</f>
        <v>($ in millions)</v>
      </c>
    </row>
    <row r="194" spans="1:20" x14ac:dyDescent="0.5">
      <c r="B194" s="172" t="str">
        <f>$B$138</f>
        <v>Base Case</v>
      </c>
    </row>
    <row r="195" spans="1:20" ht="13.2" thickBot="1" x14ac:dyDescent="0.55000000000000004">
      <c r="B195" s="163"/>
      <c r="C195" s="163"/>
      <c r="D195" s="163"/>
      <c r="E195" s="163"/>
      <c r="F195" s="163"/>
      <c r="G195" s="163"/>
      <c r="H195" s="163"/>
      <c r="I195" s="163"/>
      <c r="J195" s="163"/>
      <c r="K195" s="163"/>
      <c r="L195" s="163"/>
      <c r="M195" s="163"/>
      <c r="N195" s="163"/>
      <c r="O195" s="163"/>
      <c r="P195" s="163"/>
      <c r="Q195" s="163"/>
      <c r="R195" s="163"/>
    </row>
    <row r="196" spans="1:20" x14ac:dyDescent="0.5">
      <c r="B196" s="128" t="str">
        <f>$B$140</f>
        <v>For the FYE December 27</v>
      </c>
      <c r="F196" s="164" t="s">
        <v>109</v>
      </c>
      <c r="G196" s="164"/>
      <c r="H196" s="173"/>
      <c r="I196" s="164" t="s">
        <v>224</v>
      </c>
      <c r="J196" s="164"/>
      <c r="K196" s="164"/>
      <c r="L196" s="164"/>
      <c r="M196" s="164"/>
      <c r="N196" s="164"/>
      <c r="O196" s="164"/>
      <c r="P196" s="174"/>
      <c r="Q196" s="174"/>
      <c r="R196" s="174"/>
    </row>
    <row r="197" spans="1:20" x14ac:dyDescent="0.5">
      <c r="B197" s="150"/>
      <c r="C197" s="150"/>
      <c r="D197" s="150"/>
      <c r="E197" s="150"/>
      <c r="F197" s="123">
        <f>F$141</f>
        <v>42003</v>
      </c>
      <c r="G197" s="123">
        <f>G$141</f>
        <v>42367</v>
      </c>
      <c r="H197" s="124">
        <f>H$141</f>
        <v>42731</v>
      </c>
      <c r="I197" s="123">
        <f t="shared" ref="I197:R197" si="77">DATE(YEAR(H197)+1,MONTH(H197),DAY(H197))</f>
        <v>43096</v>
      </c>
      <c r="J197" s="123">
        <f t="shared" si="77"/>
        <v>43461</v>
      </c>
      <c r="K197" s="123">
        <f t="shared" si="77"/>
        <v>43826</v>
      </c>
      <c r="L197" s="123">
        <f t="shared" si="77"/>
        <v>44192</v>
      </c>
      <c r="M197" s="123">
        <f t="shared" si="77"/>
        <v>44557</v>
      </c>
      <c r="N197" s="123">
        <f t="shared" si="77"/>
        <v>44922</v>
      </c>
      <c r="O197" s="123">
        <f t="shared" si="77"/>
        <v>45287</v>
      </c>
      <c r="P197" s="123">
        <f t="shared" si="77"/>
        <v>45653</v>
      </c>
      <c r="Q197" s="123">
        <f t="shared" si="77"/>
        <v>46018</v>
      </c>
      <c r="R197" s="123">
        <f t="shared" si="77"/>
        <v>46383</v>
      </c>
    </row>
    <row r="198" spans="1:20" x14ac:dyDescent="0.5">
      <c r="B198" s="140" t="s">
        <v>110</v>
      </c>
      <c r="F198" s="182">
        <f t="shared" ref="F198:H198" si="78">F160</f>
        <v>400.05199999999974</v>
      </c>
      <c r="G198" s="182">
        <f t="shared" si="78"/>
        <v>394.09999999999985</v>
      </c>
      <c r="H198" s="183">
        <f t="shared" si="78"/>
        <v>403.19000000000017</v>
      </c>
      <c r="I198" s="182">
        <f t="shared" ref="I198:R198" ca="1" si="79">I160</f>
        <v>440.89999999999992</v>
      </c>
      <c r="J198" s="182">
        <f t="shared" ca="1" si="79"/>
        <v>489.40000000000043</v>
      </c>
      <c r="K198" s="182">
        <f t="shared" ca="1" si="79"/>
        <v>561.10000000000059</v>
      </c>
      <c r="L198" s="182">
        <f t="shared" ca="1" si="79"/>
        <v>631.60000000000036</v>
      </c>
      <c r="M198" s="182">
        <f t="shared" ca="1" si="79"/>
        <v>692.1000000000007</v>
      </c>
      <c r="N198" s="182">
        <f t="shared" ca="1" si="79"/>
        <v>753.3938633427083</v>
      </c>
      <c r="O198" s="182">
        <f t="shared" ca="1" si="79"/>
        <v>822.27034462822928</v>
      </c>
      <c r="P198" s="182">
        <f t="shared" ca="1" si="79"/>
        <v>899.79487626102991</v>
      </c>
      <c r="Q198" s="182">
        <f t="shared" ca="1" si="79"/>
        <v>987.2014339622616</v>
      </c>
      <c r="R198" s="182">
        <f t="shared" ca="1" si="79"/>
        <v>1085.9215773584885</v>
      </c>
    </row>
    <row r="199" spans="1:20" x14ac:dyDescent="0.5">
      <c r="B199" s="140" t="s">
        <v>211</v>
      </c>
      <c r="F199" s="145">
        <v>224.21700000000001</v>
      </c>
      <c r="G199" s="145">
        <v>223.93199999999999</v>
      </c>
      <c r="H199" s="188">
        <v>200.06299999999999</v>
      </c>
      <c r="I199" s="140">
        <f t="shared" ref="I199:R199" ca="1" si="80">I146*I337</f>
        <v>210.89375000000007</v>
      </c>
      <c r="J199" s="140">
        <f t="shared" ca="1" si="80"/>
        <v>199.77150000000009</v>
      </c>
      <c r="K199" s="140">
        <f t="shared" ca="1" si="80"/>
        <v>195.88400000000007</v>
      </c>
      <c r="L199" s="140">
        <f t="shared" ca="1" si="80"/>
        <v>196.36400000000006</v>
      </c>
      <c r="M199" s="140">
        <f t="shared" ca="1" si="80"/>
        <v>192.70400000000009</v>
      </c>
      <c r="N199" s="140">
        <f t="shared" ca="1" si="80"/>
        <v>215.59113045806779</v>
      </c>
      <c r="O199" s="140">
        <f t="shared" ca="1" si="80"/>
        <v>241.65382067709243</v>
      </c>
      <c r="P199" s="140">
        <f t="shared" ca="1" si="80"/>
        <v>271.38917195612709</v>
      </c>
      <c r="Q199" s="140">
        <f t="shared" ca="1" si="80"/>
        <v>305.37934937383739</v>
      </c>
      <c r="R199" s="140">
        <f t="shared" ca="1" si="80"/>
        <v>344.3073005041507</v>
      </c>
      <c r="T199" s="140" t="s">
        <v>756</v>
      </c>
    </row>
    <row r="200" spans="1:20" s="148" customFormat="1" x14ac:dyDescent="0.5">
      <c r="A200" s="141"/>
      <c r="B200" s="177" t="s">
        <v>217</v>
      </c>
      <c r="C200" s="177"/>
      <c r="D200" s="177"/>
      <c r="E200" s="177"/>
      <c r="F200" s="195"/>
      <c r="G200" s="195"/>
      <c r="H200" s="217"/>
      <c r="I200" s="195">
        <f t="shared" ref="I200:R200" ca="1" si="81">I198-I199</f>
        <v>230.00624999999985</v>
      </c>
      <c r="J200" s="195">
        <f t="shared" ca="1" si="81"/>
        <v>289.62850000000037</v>
      </c>
      <c r="K200" s="195">
        <f t="shared" ca="1" si="81"/>
        <v>365.21600000000052</v>
      </c>
      <c r="L200" s="195">
        <f t="shared" ca="1" si="81"/>
        <v>435.23600000000033</v>
      </c>
      <c r="M200" s="195">
        <f t="shared" ca="1" si="81"/>
        <v>499.39600000000064</v>
      </c>
      <c r="N200" s="195">
        <f t="shared" ca="1" si="81"/>
        <v>537.80273288464048</v>
      </c>
      <c r="O200" s="195">
        <f t="shared" ca="1" si="81"/>
        <v>580.61652395113686</v>
      </c>
      <c r="P200" s="195">
        <f t="shared" ca="1" si="81"/>
        <v>628.40570430490288</v>
      </c>
      <c r="Q200" s="195">
        <f t="shared" ca="1" si="81"/>
        <v>681.82208458842422</v>
      </c>
      <c r="R200" s="195">
        <f t="shared" ca="1" si="81"/>
        <v>741.61427685433785</v>
      </c>
    </row>
    <row r="201" spans="1:20" x14ac:dyDescent="0.5">
      <c r="H201" s="122"/>
    </row>
    <row r="202" spans="1:20" x14ac:dyDescent="0.5">
      <c r="B202" s="140" t="s">
        <v>277</v>
      </c>
      <c r="H202" s="122"/>
      <c r="I202" s="140">
        <f t="shared" ref="I202:R202" ca="1" si="82">I332</f>
        <v>-22.238721701761136</v>
      </c>
      <c r="J202" s="140">
        <f t="shared" ca="1" si="82"/>
        <v>15.027606132759246</v>
      </c>
      <c r="K202" s="140">
        <f t="shared" ca="1" si="82"/>
        <v>16.540767799138962</v>
      </c>
      <c r="L202" s="140">
        <f t="shared" ca="1" si="82"/>
        <v>38.400257450628089</v>
      </c>
      <c r="M202" s="140">
        <f t="shared" ca="1" si="82"/>
        <v>21.898841644166339</v>
      </c>
      <c r="N202" s="140">
        <f t="shared" ca="1" si="82"/>
        <v>26.110667812760482</v>
      </c>
      <c r="O202" s="140">
        <f t="shared" ca="1" si="82"/>
        <v>29.34079897856526</v>
      </c>
      <c r="P202" s="140">
        <f t="shared" ca="1" si="82"/>
        <v>33.646210133176965</v>
      </c>
      <c r="Q202" s="140">
        <f t="shared" ca="1" si="82"/>
        <v>36.613040152928818</v>
      </c>
      <c r="R202" s="140">
        <f t="shared" ca="1" si="82"/>
        <v>42.053946840236051</v>
      </c>
    </row>
    <row r="203" spans="1:20" x14ac:dyDescent="0.5">
      <c r="B203" s="140" t="s">
        <v>350</v>
      </c>
      <c r="H203" s="122"/>
      <c r="I203" s="140">
        <f t="shared" ref="I203:R203" ca="1" si="83">-(I233+I234)*I189</f>
        <v>-9.2606604478019978</v>
      </c>
      <c r="J203" s="140">
        <f t="shared" ca="1" si="83"/>
        <v>7.1009387375515631</v>
      </c>
      <c r="K203" s="140">
        <f t="shared" ca="1" si="83"/>
        <v>2.1597217094367402</v>
      </c>
      <c r="L203" s="140">
        <f t="shared" ca="1" si="83"/>
        <v>0</v>
      </c>
      <c r="M203" s="140">
        <f t="shared" ca="1" si="83"/>
        <v>0</v>
      </c>
      <c r="N203" s="140">
        <f t="shared" ca="1" si="83"/>
        <v>0</v>
      </c>
      <c r="O203" s="140">
        <f t="shared" ca="1" si="83"/>
        <v>0</v>
      </c>
      <c r="P203" s="140">
        <f t="shared" ca="1" si="83"/>
        <v>0</v>
      </c>
      <c r="Q203" s="140">
        <f t="shared" ca="1" si="83"/>
        <v>0</v>
      </c>
      <c r="R203" s="140">
        <f t="shared" ca="1" si="83"/>
        <v>0</v>
      </c>
      <c r="T203" s="140" t="s">
        <v>351</v>
      </c>
    </row>
    <row r="204" spans="1:20" x14ac:dyDescent="0.5">
      <c r="B204" s="140" t="s">
        <v>278</v>
      </c>
      <c r="H204" s="122"/>
      <c r="I204" s="140">
        <f t="shared" ref="I204:R204" si="84">I333</f>
        <v>0</v>
      </c>
      <c r="J204" s="140">
        <f t="shared" si="84"/>
        <v>0</v>
      </c>
      <c r="K204" s="140">
        <f t="shared" si="84"/>
        <v>0</v>
      </c>
      <c r="L204" s="140">
        <f t="shared" si="84"/>
        <v>0</v>
      </c>
      <c r="M204" s="140">
        <f t="shared" si="84"/>
        <v>0</v>
      </c>
      <c r="N204" s="140">
        <f t="shared" si="84"/>
        <v>0</v>
      </c>
      <c r="O204" s="140">
        <f t="shared" si="84"/>
        <v>0</v>
      </c>
      <c r="P204" s="140">
        <f t="shared" si="84"/>
        <v>0</v>
      </c>
      <c r="Q204" s="140">
        <f t="shared" si="84"/>
        <v>0</v>
      </c>
      <c r="R204" s="140">
        <f t="shared" si="84"/>
        <v>0</v>
      </c>
    </row>
    <row r="205" spans="1:20" x14ac:dyDescent="0.5">
      <c r="B205" s="140" t="s">
        <v>279</v>
      </c>
      <c r="H205" s="122"/>
      <c r="I205" s="140">
        <f t="shared" ref="I205:R205" si="85">I334</f>
        <v>0</v>
      </c>
      <c r="J205" s="140">
        <f t="shared" si="85"/>
        <v>0</v>
      </c>
      <c r="K205" s="140">
        <f t="shared" si="85"/>
        <v>0</v>
      </c>
      <c r="L205" s="140">
        <f t="shared" si="85"/>
        <v>0</v>
      </c>
      <c r="M205" s="140">
        <f t="shared" si="85"/>
        <v>0</v>
      </c>
      <c r="N205" s="140">
        <f t="shared" si="85"/>
        <v>0</v>
      </c>
      <c r="O205" s="140">
        <f t="shared" si="85"/>
        <v>0</v>
      </c>
      <c r="P205" s="140">
        <f t="shared" si="85"/>
        <v>0</v>
      </c>
      <c r="Q205" s="140">
        <f t="shared" si="85"/>
        <v>0</v>
      </c>
      <c r="R205" s="140">
        <f t="shared" si="85"/>
        <v>0</v>
      </c>
    </row>
    <row r="206" spans="1:20" x14ac:dyDescent="0.5">
      <c r="B206" s="140" t="s">
        <v>280</v>
      </c>
      <c r="H206" s="122"/>
      <c r="I206" s="140">
        <f t="shared" ref="I206:R206" ca="1" si="86">-I174</f>
        <v>0</v>
      </c>
      <c r="J206" s="140">
        <f t="shared" ca="1" si="86"/>
        <v>0</v>
      </c>
      <c r="K206" s="140">
        <f t="shared" ca="1" si="86"/>
        <v>-27.766398462424711</v>
      </c>
      <c r="L206" s="140">
        <f t="shared" ca="1" si="86"/>
        <v>-48.533088679934117</v>
      </c>
      <c r="M206" s="140">
        <f t="shared" ca="1" si="86"/>
        <v>-69.587988118573051</v>
      </c>
      <c r="N206" s="140">
        <f t="shared" ca="1" si="86"/>
        <v>-91.159152880921795</v>
      </c>
      <c r="O206" s="140">
        <f t="shared" ca="1" si="86"/>
        <v>-115.94379112740741</v>
      </c>
      <c r="P206" s="140">
        <f t="shared" ca="1" si="86"/>
        <v>-144.68629457326949</v>
      </c>
      <c r="Q206" s="140">
        <f t="shared" ca="1" si="86"/>
        <v>-176.10406784499983</v>
      </c>
      <c r="R206" s="140">
        <f t="shared" ca="1" si="86"/>
        <v>-210.05970749302776</v>
      </c>
    </row>
    <row r="207" spans="1:20" x14ac:dyDescent="0.5">
      <c r="B207" s="140" t="s">
        <v>281</v>
      </c>
      <c r="H207" s="122"/>
      <c r="I207" s="140">
        <f t="shared" ref="I207:R207" si="87">IF(H245&gt;=-$F$26,H245+$F$26,-($F$26+H245))</f>
        <v>-3.5527136788005009E-15</v>
      </c>
      <c r="J207" s="140">
        <f t="shared" ca="1" si="87"/>
        <v>0</v>
      </c>
      <c r="K207" s="140">
        <f t="shared" ca="1" si="87"/>
        <v>0</v>
      </c>
      <c r="L207" s="140">
        <f t="shared" ca="1" si="87"/>
        <v>0</v>
      </c>
      <c r="M207" s="140">
        <f t="shared" ca="1" si="87"/>
        <v>0</v>
      </c>
      <c r="N207" s="140">
        <f t="shared" ca="1" si="87"/>
        <v>0</v>
      </c>
      <c r="O207" s="140">
        <f t="shared" ca="1" si="87"/>
        <v>0</v>
      </c>
      <c r="P207" s="140">
        <f t="shared" ca="1" si="87"/>
        <v>0</v>
      </c>
      <c r="Q207" s="140">
        <f t="shared" ca="1" si="87"/>
        <v>0</v>
      </c>
      <c r="R207" s="140">
        <f t="shared" ca="1" si="87"/>
        <v>0</v>
      </c>
    </row>
    <row r="208" spans="1:20" x14ac:dyDescent="0.5">
      <c r="B208" s="167" t="s">
        <v>282</v>
      </c>
      <c r="C208" s="167"/>
      <c r="D208" s="167"/>
      <c r="E208" s="167"/>
      <c r="F208" s="167"/>
      <c r="G208" s="167"/>
      <c r="H208" s="208"/>
      <c r="I208" s="167">
        <f t="shared" ref="I208:R208" ca="1" si="88">SUM(I202:I207)</f>
        <v>-31.499382149563136</v>
      </c>
      <c r="J208" s="167">
        <f t="shared" ca="1" si="88"/>
        <v>22.128544870310808</v>
      </c>
      <c r="K208" s="167">
        <f t="shared" ca="1" si="88"/>
        <v>-9.0659089538490072</v>
      </c>
      <c r="L208" s="167">
        <f t="shared" ca="1" si="88"/>
        <v>-10.132831229306028</v>
      </c>
      <c r="M208" s="167">
        <f t="shared" ca="1" si="88"/>
        <v>-47.689146474406712</v>
      </c>
      <c r="N208" s="167">
        <f t="shared" ca="1" si="88"/>
        <v>-65.048485068161312</v>
      </c>
      <c r="O208" s="167">
        <f t="shared" ca="1" si="88"/>
        <v>-86.602992148842148</v>
      </c>
      <c r="P208" s="167">
        <f t="shared" ca="1" si="88"/>
        <v>-111.04008444009253</v>
      </c>
      <c r="Q208" s="167">
        <f t="shared" ca="1" si="88"/>
        <v>-139.49102769207101</v>
      </c>
      <c r="R208" s="167">
        <f t="shared" ca="1" si="88"/>
        <v>-168.00576065279171</v>
      </c>
    </row>
    <row r="209" spans="1:20" x14ac:dyDescent="0.5">
      <c r="H209" s="122"/>
    </row>
    <row r="210" spans="1:20" s="148" customFormat="1" x14ac:dyDescent="0.5">
      <c r="A210" s="141"/>
      <c r="B210" s="148" t="s">
        <v>659</v>
      </c>
      <c r="H210" s="210"/>
      <c r="I210" s="192">
        <f t="shared" ref="I210:R210" ca="1" si="89">I200+I208</f>
        <v>198.50686785043672</v>
      </c>
      <c r="J210" s="192">
        <f t="shared" ca="1" si="89"/>
        <v>311.75704487031118</v>
      </c>
      <c r="K210" s="192">
        <f t="shared" ca="1" si="89"/>
        <v>356.15009104615149</v>
      </c>
      <c r="L210" s="192">
        <f t="shared" ca="1" si="89"/>
        <v>425.10316877069431</v>
      </c>
      <c r="M210" s="192">
        <f t="shared" ca="1" si="89"/>
        <v>451.70685352559394</v>
      </c>
      <c r="N210" s="192">
        <f t="shared" ca="1" si="89"/>
        <v>472.75424781647916</v>
      </c>
      <c r="O210" s="192">
        <f t="shared" ca="1" si="89"/>
        <v>494.01353180229472</v>
      </c>
      <c r="P210" s="192">
        <f t="shared" ca="1" si="89"/>
        <v>517.36561986481036</v>
      </c>
      <c r="Q210" s="192">
        <f t="shared" ca="1" si="89"/>
        <v>542.33105689635318</v>
      </c>
      <c r="R210" s="192">
        <f t="shared" ca="1" si="89"/>
        <v>573.60851620154608</v>
      </c>
    </row>
    <row r="211" spans="1:20" x14ac:dyDescent="0.5">
      <c r="H211" s="122"/>
      <c r="I211" s="225"/>
    </row>
    <row r="212" spans="1:20" x14ac:dyDescent="0.5">
      <c r="B212" s="140" t="s">
        <v>275</v>
      </c>
      <c r="H212" s="122"/>
      <c r="I212" s="140">
        <f t="shared" ref="I212:R212" ca="1" si="90">I167</f>
        <v>168.99292647152706</v>
      </c>
      <c r="J212" s="140">
        <f t="shared" ca="1" si="90"/>
        <v>165.71535737055729</v>
      </c>
      <c r="K212" s="140">
        <f t="shared" ca="1" si="90"/>
        <v>159.33698184378864</v>
      </c>
      <c r="L212" s="140">
        <f t="shared" ca="1" si="90"/>
        <v>150.57721467786638</v>
      </c>
      <c r="M212" s="140">
        <f t="shared" ca="1" si="90"/>
        <v>136.84235913889822</v>
      </c>
      <c r="N212" s="140">
        <f t="shared" ca="1" si="90"/>
        <v>116.98053172080317</v>
      </c>
      <c r="O212" s="140">
        <f t="shared" ca="1" si="90"/>
        <v>93.104695812336502</v>
      </c>
      <c r="P212" s="140">
        <f t="shared" ca="1" si="90"/>
        <v>66.224796006451228</v>
      </c>
      <c r="Q212" s="140">
        <f t="shared" ca="1" si="90"/>
        <v>36.024880101131743</v>
      </c>
      <c r="R212" s="140">
        <f t="shared" ca="1" si="90"/>
        <v>10.028033064523106</v>
      </c>
    </row>
    <row r="213" spans="1:20" x14ac:dyDescent="0.5">
      <c r="B213" s="140" t="s">
        <v>658</v>
      </c>
      <c r="H213" s="122"/>
      <c r="I213" s="140">
        <f t="shared" ref="I213:R213" ca="1" si="91">I168</f>
        <v>0.64024649999999994</v>
      </c>
      <c r="J213" s="140">
        <f t="shared" ca="1" si="91"/>
        <v>0.64024650000000005</v>
      </c>
      <c r="K213" s="140">
        <f t="shared" ca="1" si="91"/>
        <v>0.64024650000000005</v>
      </c>
      <c r="L213" s="140">
        <f t="shared" ca="1" si="91"/>
        <v>0.64024650000000005</v>
      </c>
      <c r="M213" s="140">
        <f t="shared" ca="1" si="91"/>
        <v>0.64024650000000005</v>
      </c>
      <c r="N213" s="140">
        <f t="shared" ca="1" si="91"/>
        <v>0.64024650000000005</v>
      </c>
      <c r="O213" s="140">
        <f t="shared" ca="1" si="91"/>
        <v>0.64024650000000005</v>
      </c>
      <c r="P213" s="140">
        <f t="shared" ca="1" si="91"/>
        <v>0.64024650000000005</v>
      </c>
      <c r="Q213" s="140">
        <f t="shared" ca="1" si="91"/>
        <v>0.64024650000000005</v>
      </c>
      <c r="R213" s="140">
        <f t="shared" ca="1" si="91"/>
        <v>4.3844665472561655</v>
      </c>
    </row>
    <row r="214" spans="1:20" s="148" customFormat="1" x14ac:dyDescent="0.5">
      <c r="A214" s="141"/>
      <c r="B214" s="177" t="s">
        <v>660</v>
      </c>
      <c r="C214" s="177"/>
      <c r="D214" s="177"/>
      <c r="E214" s="177"/>
      <c r="F214" s="177"/>
      <c r="G214" s="177"/>
      <c r="H214" s="216"/>
      <c r="I214" s="195">
        <f t="shared" ref="I214:R214" ca="1" si="92">I210-I212+I213</f>
        <v>30.154187878909664</v>
      </c>
      <c r="J214" s="195">
        <f t="shared" ca="1" si="92"/>
        <v>146.68193399975388</v>
      </c>
      <c r="K214" s="195">
        <f t="shared" ca="1" si="92"/>
        <v>197.45335570236284</v>
      </c>
      <c r="L214" s="195">
        <f t="shared" ca="1" si="92"/>
        <v>275.16620059282792</v>
      </c>
      <c r="M214" s="195">
        <f t="shared" ca="1" si="92"/>
        <v>315.50474088669569</v>
      </c>
      <c r="N214" s="195">
        <f t="shared" ca="1" si="92"/>
        <v>356.41396259567597</v>
      </c>
      <c r="O214" s="195">
        <f t="shared" ca="1" si="92"/>
        <v>401.54908248995821</v>
      </c>
      <c r="P214" s="195">
        <f t="shared" ca="1" si="92"/>
        <v>451.7810703583591</v>
      </c>
      <c r="Q214" s="195">
        <f t="shared" ca="1" si="92"/>
        <v>506.94642329522139</v>
      </c>
      <c r="R214" s="195">
        <f t="shared" ca="1" si="92"/>
        <v>567.96494968427908</v>
      </c>
      <c r="T214" s="140" t="s">
        <v>341</v>
      </c>
    </row>
    <row r="215" spans="1:20" x14ac:dyDescent="0.5">
      <c r="H215" s="122"/>
      <c r="I215" s="225"/>
      <c r="J215" s="225"/>
      <c r="K215" s="225"/>
      <c r="L215" s="225"/>
      <c r="M215" s="225"/>
      <c r="N215" s="225"/>
    </row>
    <row r="216" spans="1:20" x14ac:dyDescent="0.5">
      <c r="B216" s="140" t="s">
        <v>696</v>
      </c>
      <c r="H216" s="122"/>
      <c r="I216" s="140">
        <f t="shared" ref="I216:R216" ca="1" si="93">IF(I214&gt;=0,-MIN(I214,H269),0)</f>
        <v>0</v>
      </c>
      <c r="J216" s="140">
        <f t="shared" ca="1" si="93"/>
        <v>0</v>
      </c>
      <c r="K216" s="140">
        <f t="shared" ca="1" si="93"/>
        <v>0</v>
      </c>
      <c r="L216" s="140">
        <f t="shared" ca="1" si="93"/>
        <v>0</v>
      </c>
      <c r="M216" s="140">
        <f t="shared" ca="1" si="93"/>
        <v>0</v>
      </c>
      <c r="N216" s="140">
        <f t="shared" ca="1" si="93"/>
        <v>0</v>
      </c>
      <c r="O216" s="140">
        <f t="shared" ca="1" si="93"/>
        <v>0</v>
      </c>
      <c r="P216" s="140">
        <f t="shared" ca="1" si="93"/>
        <v>0</v>
      </c>
      <c r="Q216" s="140">
        <f t="shared" ca="1" si="93"/>
        <v>0</v>
      </c>
      <c r="R216" s="140">
        <f t="shared" ca="1" si="93"/>
        <v>0</v>
      </c>
      <c r="T216" s="140" t="s">
        <v>360</v>
      </c>
    </row>
    <row r="217" spans="1:20" x14ac:dyDescent="0.5">
      <c r="B217" s="140" t="s">
        <v>697</v>
      </c>
      <c r="H217" s="122"/>
      <c r="I217" s="140">
        <f t="shared" ref="I217:R217" ca="1" si="94">-MIN(I214+I216,H270)</f>
        <v>-30.154187878909664</v>
      </c>
      <c r="J217" s="140">
        <f t="shared" ca="1" si="94"/>
        <v>-146.68193399975388</v>
      </c>
      <c r="K217" s="140">
        <f t="shared" ca="1" si="94"/>
        <v>-197.45335570236284</v>
      </c>
      <c r="L217" s="140">
        <f t="shared" ca="1" si="94"/>
        <v>-275.16620059282792</v>
      </c>
      <c r="M217" s="140">
        <f t="shared" ca="1" si="94"/>
        <v>-100.5446564680372</v>
      </c>
      <c r="N217" s="140">
        <f t="shared" ca="1" si="94"/>
        <v>2.5781048407225171E-8</v>
      </c>
      <c r="O217" s="140">
        <f t="shared" ca="1" si="94"/>
        <v>-1.347922875538643E-7</v>
      </c>
      <c r="P217" s="140">
        <f t="shared" ca="1" si="94"/>
        <v>9.6866841658993508E-7</v>
      </c>
      <c r="Q217" s="140">
        <f t="shared" ca="1" si="94"/>
        <v>8.3136927742089028E-7</v>
      </c>
      <c r="R217" s="140">
        <f t="shared" ca="1" si="94"/>
        <v>1.123115453083301E-5</v>
      </c>
    </row>
    <row r="218" spans="1:20" x14ac:dyDescent="0.5">
      <c r="B218" s="140" t="s">
        <v>698</v>
      </c>
      <c r="H218" s="122"/>
      <c r="I218" s="140">
        <f t="shared" ref="I218:R218" ca="1" si="95">-MIN(I214+I216+I217,H271)</f>
        <v>0</v>
      </c>
      <c r="J218" s="140">
        <f t="shared" ca="1" si="95"/>
        <v>0</v>
      </c>
      <c r="K218" s="140">
        <f t="shared" ca="1" si="95"/>
        <v>0</v>
      </c>
      <c r="L218" s="140">
        <f t="shared" ca="1" si="95"/>
        <v>0</v>
      </c>
      <c r="M218" s="140">
        <f t="shared" ca="1" si="95"/>
        <v>-214.96008441865848</v>
      </c>
      <c r="N218" s="140">
        <f t="shared" ca="1" si="95"/>
        <v>-356.41396262145702</v>
      </c>
      <c r="O218" s="140">
        <f t="shared" ca="1" si="95"/>
        <v>-401.54908235516592</v>
      </c>
      <c r="P218" s="140">
        <f t="shared" ca="1" si="95"/>
        <v>-451.78107132702752</v>
      </c>
      <c r="Q218" s="140">
        <f t="shared" ca="1" si="95"/>
        <v>-506.94642412659067</v>
      </c>
      <c r="R218" s="140">
        <f t="shared" ca="1" si="95"/>
        <v>-318.3502910089465</v>
      </c>
    </row>
    <row r="219" spans="1:20" x14ac:dyDescent="0.5">
      <c r="B219" s="140" t="s">
        <v>699</v>
      </c>
      <c r="H219" s="122"/>
      <c r="I219" s="140">
        <f t="shared" ref="I219:R219" ca="1" si="96">-MIN(I214+I216+I217+I218,H272)</f>
        <v>0</v>
      </c>
      <c r="J219" s="140">
        <f t="shared" ca="1" si="96"/>
        <v>0</v>
      </c>
      <c r="K219" s="140">
        <f ca="1">-MIN(K214+K216+K217+K218,J272)</f>
        <v>0</v>
      </c>
      <c r="L219" s="140">
        <f t="shared" ca="1" si="96"/>
        <v>0</v>
      </c>
      <c r="M219" s="140">
        <f t="shared" ca="1" si="96"/>
        <v>0</v>
      </c>
      <c r="N219" s="140">
        <f t="shared" ca="1" si="96"/>
        <v>0</v>
      </c>
      <c r="O219" s="140">
        <f t="shared" ca="1" si="96"/>
        <v>0</v>
      </c>
      <c r="P219" s="140">
        <f t="shared" ca="1" si="96"/>
        <v>0</v>
      </c>
      <c r="Q219" s="140">
        <f t="shared" ca="1" si="96"/>
        <v>0</v>
      </c>
      <c r="R219" s="140">
        <f t="shared" ca="1" si="96"/>
        <v>0</v>
      </c>
    </row>
    <row r="220" spans="1:20" x14ac:dyDescent="0.5">
      <c r="H220" s="122"/>
    </row>
    <row r="221" spans="1:20" x14ac:dyDescent="0.5">
      <c r="B221" s="140" t="s">
        <v>283</v>
      </c>
      <c r="H221" s="122"/>
      <c r="I221" s="140">
        <f t="shared" ref="I221:R221" ca="1" si="97">I214+I216+I217+I218+I219</f>
        <v>0</v>
      </c>
      <c r="J221" s="140">
        <f t="shared" ca="1" si="97"/>
        <v>0</v>
      </c>
      <c r="K221" s="140">
        <f t="shared" ca="1" si="97"/>
        <v>0</v>
      </c>
      <c r="L221" s="140">
        <f t="shared" ca="1" si="97"/>
        <v>0</v>
      </c>
      <c r="M221" s="140">
        <f t="shared" ca="1" si="97"/>
        <v>0</v>
      </c>
      <c r="N221" s="140">
        <f t="shared" ca="1" si="97"/>
        <v>0</v>
      </c>
      <c r="O221" s="140">
        <f t="shared" ca="1" si="97"/>
        <v>0</v>
      </c>
      <c r="P221" s="140">
        <f t="shared" ca="1" si="97"/>
        <v>0</v>
      </c>
      <c r="Q221" s="140">
        <f t="shared" ca="1" si="97"/>
        <v>0</v>
      </c>
      <c r="R221" s="140">
        <f t="shared" ca="1" si="97"/>
        <v>249.61466990648711</v>
      </c>
    </row>
    <row r="222" spans="1:20" x14ac:dyDescent="0.5">
      <c r="B222" s="140" t="s">
        <v>661</v>
      </c>
      <c r="H222" s="122"/>
      <c r="I222" s="140">
        <f>-F26</f>
        <v>21.341550000000002</v>
      </c>
      <c r="J222" s="140">
        <f t="shared" ref="J222:R222" si="98">I222</f>
        <v>21.341550000000002</v>
      </c>
      <c r="K222" s="140">
        <f t="shared" si="98"/>
        <v>21.341550000000002</v>
      </c>
      <c r="L222" s="140">
        <f t="shared" si="98"/>
        <v>21.341550000000002</v>
      </c>
      <c r="M222" s="140">
        <f t="shared" si="98"/>
        <v>21.341550000000002</v>
      </c>
      <c r="N222" s="140">
        <f t="shared" si="98"/>
        <v>21.341550000000002</v>
      </c>
      <c r="O222" s="140">
        <f t="shared" si="98"/>
        <v>21.341550000000002</v>
      </c>
      <c r="P222" s="140">
        <f t="shared" si="98"/>
        <v>21.341550000000002</v>
      </c>
      <c r="Q222" s="140">
        <f t="shared" si="98"/>
        <v>21.341550000000002</v>
      </c>
      <c r="R222" s="140">
        <f t="shared" si="98"/>
        <v>21.341550000000002</v>
      </c>
    </row>
    <row r="223" spans="1:20" s="148" customFormat="1" x14ac:dyDescent="0.5">
      <c r="A223" s="141"/>
      <c r="B223" s="177" t="s">
        <v>284</v>
      </c>
      <c r="C223" s="177"/>
      <c r="D223" s="177"/>
      <c r="E223" s="177"/>
      <c r="F223" s="177"/>
      <c r="G223" s="177"/>
      <c r="H223" s="216"/>
      <c r="I223" s="195">
        <f t="shared" ref="I223:R223" ca="1" si="99">I221+I222</f>
        <v>21.341550000000002</v>
      </c>
      <c r="J223" s="195">
        <f t="shared" ca="1" si="99"/>
        <v>21.341550000000002</v>
      </c>
      <c r="K223" s="195">
        <f t="shared" ca="1" si="99"/>
        <v>21.341550000000002</v>
      </c>
      <c r="L223" s="195">
        <f t="shared" ca="1" si="99"/>
        <v>21.341550000000002</v>
      </c>
      <c r="M223" s="195">
        <f t="shared" ca="1" si="99"/>
        <v>21.341550000000002</v>
      </c>
      <c r="N223" s="195">
        <f t="shared" ca="1" si="99"/>
        <v>21.341550000000002</v>
      </c>
      <c r="O223" s="195">
        <f t="shared" ca="1" si="99"/>
        <v>21.341550000000002</v>
      </c>
      <c r="P223" s="195">
        <f t="shared" ca="1" si="99"/>
        <v>21.341550000000002</v>
      </c>
      <c r="Q223" s="195">
        <f t="shared" ca="1" si="99"/>
        <v>21.341550000000002</v>
      </c>
      <c r="R223" s="195">
        <f t="shared" ca="1" si="99"/>
        <v>270.95621990648709</v>
      </c>
    </row>
    <row r="224" spans="1:20" x14ac:dyDescent="0.5">
      <c r="H224" s="122"/>
    </row>
    <row r="225" spans="1:18" x14ac:dyDescent="0.5">
      <c r="B225" s="148" t="s">
        <v>285</v>
      </c>
      <c r="H225" s="122"/>
    </row>
    <row r="226" spans="1:18" x14ac:dyDescent="0.5">
      <c r="B226" s="140" t="s">
        <v>218</v>
      </c>
      <c r="H226" s="215">
        <f t="shared" ref="H226:R226" ca="1" si="100">H273/H$160</f>
        <v>7.4406637992195366</v>
      </c>
      <c r="I226" s="126">
        <f t="shared" ca="1" si="100"/>
        <v>6.7358744598054576</v>
      </c>
      <c r="J226" s="126">
        <f t="shared" ca="1" si="100"/>
        <v>5.7686250824032239</v>
      </c>
      <c r="K226" s="126">
        <f t="shared" ca="1" si="100"/>
        <v>4.6795789692349281</v>
      </c>
      <c r="L226" s="126">
        <f t="shared" ca="1" si="100"/>
        <v>3.7215730827191411</v>
      </c>
      <c r="M226" s="126">
        <f t="shared" ca="1" si="100"/>
        <v>2.9403855196661546</v>
      </c>
      <c r="N226" s="126">
        <f t="shared" ca="1" si="100"/>
        <v>2.2280867116601786</v>
      </c>
      <c r="O226" s="126">
        <f t="shared" ca="1" si="100"/>
        <v>1.5531117976011002</v>
      </c>
      <c r="P226" s="126">
        <f t="shared" ca="1" si="100"/>
        <v>0.91720538132441254</v>
      </c>
      <c r="Q226" s="126">
        <f t="shared" ca="1" si="100"/>
        <v>0.32247752973782834</v>
      </c>
      <c r="R226" s="126">
        <f t="shared" ca="1" si="100"/>
        <v>3.0782698142484924E-9</v>
      </c>
    </row>
    <row r="227" spans="1:18" x14ac:dyDescent="0.5">
      <c r="B227" s="140" t="s">
        <v>219</v>
      </c>
      <c r="H227" s="215">
        <f t="shared" ref="H227:R227" ca="1" si="101">(H273-H245)/H$160</f>
        <v>7.3877320548806384</v>
      </c>
      <c r="I227" s="126">
        <f t="shared" ca="1" si="101"/>
        <v>6.6874699463103333</v>
      </c>
      <c r="J227" s="126">
        <f t="shared" ca="1" si="101"/>
        <v>5.7250175016921494</v>
      </c>
      <c r="K227" s="126">
        <f t="shared" ca="1" si="101"/>
        <v>4.6415437705181217</v>
      </c>
      <c r="L227" s="126">
        <f t="shared" ca="1" si="101"/>
        <v>3.6877834215411802</v>
      </c>
      <c r="M227" s="126">
        <f t="shared" ca="1" si="101"/>
        <v>2.909549585552587</v>
      </c>
      <c r="N227" s="126">
        <f t="shared" ca="1" si="101"/>
        <v>2.199759496589285</v>
      </c>
      <c r="O227" s="126">
        <f t="shared" ca="1" si="101"/>
        <v>1.5271573774527618</v>
      </c>
      <c r="P227" s="126">
        <f t="shared" ca="1" si="101"/>
        <v>0.89348714224232106</v>
      </c>
      <c r="Q227" s="126">
        <f t="shared" ca="1" si="101"/>
        <v>0.30085929736316197</v>
      </c>
      <c r="R227" s="126">
        <f t="shared" ca="1" si="101"/>
        <v>-0.24951729675859369</v>
      </c>
    </row>
    <row r="228" spans="1:18" x14ac:dyDescent="0.5">
      <c r="B228" s="140" t="s">
        <v>286</v>
      </c>
      <c r="H228" s="122"/>
      <c r="I228" s="126">
        <f t="shared" ref="I228:Q228" ca="1" si="102">I198/I212</f>
        <v>2.6089849392263491</v>
      </c>
      <c r="J228" s="126">
        <f t="shared" ca="1" si="102"/>
        <v>2.9532567636785143</v>
      </c>
      <c r="K228" s="126">
        <f t="shared" ca="1" si="102"/>
        <v>3.521467480475398</v>
      </c>
      <c r="L228" s="126">
        <f t="shared" ca="1" si="102"/>
        <v>4.1945257212467242</v>
      </c>
      <c r="M228" s="126">
        <f t="shared" ca="1" si="102"/>
        <v>5.0576444629802308</v>
      </c>
      <c r="N228" s="126">
        <f t="shared" ca="1" si="102"/>
        <v>6.4403354324019446</v>
      </c>
      <c r="O228" s="126">
        <f t="shared" ca="1" si="102"/>
        <v>8.8316742507339505</v>
      </c>
      <c r="P228" s="126">
        <f t="shared" ca="1" si="102"/>
        <v>13.586978450992543</v>
      </c>
      <c r="Q228" s="126">
        <f t="shared" ca="1" si="102"/>
        <v>27.403323236355423</v>
      </c>
      <c r="R228" s="273">
        <f ca="1">R198/R212</f>
        <v>108.28859162822583</v>
      </c>
    </row>
    <row r="229" spans="1:18" ht="13.2" thickBot="1" x14ac:dyDescent="0.55000000000000004">
      <c r="B229" s="163" t="s">
        <v>287</v>
      </c>
      <c r="C229" s="163"/>
      <c r="D229" s="163"/>
      <c r="E229" s="163"/>
      <c r="F229" s="163"/>
      <c r="G229" s="163"/>
      <c r="H229" s="214"/>
      <c r="I229" s="186">
        <f t="shared" ref="I229:R229" ca="1" si="103">I200/I212</f>
        <v>1.3610406944384899</v>
      </c>
      <c r="J229" s="186">
        <f t="shared" ca="1" si="103"/>
        <v>1.747746887166046</v>
      </c>
      <c r="K229" s="186">
        <f t="shared" ca="1" si="103"/>
        <v>2.2920981417738431</v>
      </c>
      <c r="L229" s="186">
        <f t="shared" ca="1" si="103"/>
        <v>2.8904505965999681</v>
      </c>
      <c r="M229" s="186">
        <f t="shared" ca="1" si="103"/>
        <v>3.6494255371109316</v>
      </c>
      <c r="N229" s="186">
        <f t="shared" ca="1" si="103"/>
        <v>4.59736953639612</v>
      </c>
      <c r="O229" s="186">
        <f t="shared" ca="1" si="103"/>
        <v>6.2361679922292854</v>
      </c>
      <c r="P229" s="186">
        <f t="shared" ca="1" si="103"/>
        <v>9.4889790863785723</v>
      </c>
      <c r="Q229" s="186">
        <f t="shared" ca="1" si="103"/>
        <v>18.926422035947439</v>
      </c>
      <c r="R229" s="186">
        <f t="shared" ca="1" si="103"/>
        <v>73.954111647078633</v>
      </c>
    </row>
    <row r="230" spans="1:18" x14ac:dyDescent="0.5">
      <c r="I230" s="126"/>
      <c r="J230" s="126"/>
      <c r="K230" s="126"/>
      <c r="L230" s="126"/>
      <c r="M230" s="126"/>
      <c r="N230" s="126"/>
      <c r="O230" s="126"/>
      <c r="P230" s="126"/>
      <c r="Q230" s="126"/>
      <c r="R230" s="126"/>
    </row>
    <row r="231" spans="1:18" ht="13.2" thickBot="1" x14ac:dyDescent="0.55000000000000004">
      <c r="B231" s="163" t="s">
        <v>343</v>
      </c>
      <c r="C231" s="163"/>
      <c r="D231" s="163"/>
      <c r="E231" s="163"/>
      <c r="F231" s="163"/>
      <c r="G231" s="163"/>
      <c r="H231" s="163"/>
      <c r="I231" s="186"/>
      <c r="J231" s="186"/>
      <c r="K231" s="186"/>
      <c r="L231" s="186"/>
      <c r="M231" s="186"/>
      <c r="N231" s="186"/>
      <c r="O231" s="186"/>
      <c r="P231" s="186"/>
      <c r="Q231" s="186"/>
      <c r="R231" s="186"/>
    </row>
    <row r="232" spans="1:18" x14ac:dyDescent="0.5">
      <c r="B232" s="140" t="s">
        <v>347</v>
      </c>
      <c r="I232" s="247">
        <v>0</v>
      </c>
      <c r="J232" s="182">
        <f t="shared" ref="J232:R232" ca="1" si="104">I235</f>
        <v>26.459029850862855</v>
      </c>
      <c r="K232" s="182">
        <f t="shared" ca="1" si="104"/>
        <v>6.1706334576813617</v>
      </c>
      <c r="L232" s="182">
        <f t="shared" ca="1" si="104"/>
        <v>0</v>
      </c>
      <c r="M232" s="182">
        <f t="shared" ca="1" si="104"/>
        <v>0</v>
      </c>
      <c r="N232" s="182">
        <f t="shared" ca="1" si="104"/>
        <v>0</v>
      </c>
      <c r="O232" s="182">
        <f t="shared" ca="1" si="104"/>
        <v>0</v>
      </c>
      <c r="P232" s="182">
        <f t="shared" ca="1" si="104"/>
        <v>0</v>
      </c>
      <c r="Q232" s="182">
        <f t="shared" ca="1" si="104"/>
        <v>0</v>
      </c>
      <c r="R232" s="182">
        <f t="shared" ca="1" si="104"/>
        <v>0</v>
      </c>
    </row>
    <row r="233" spans="1:18" x14ac:dyDescent="0.5">
      <c r="B233" s="140" t="s">
        <v>344</v>
      </c>
      <c r="I233" s="140">
        <f t="shared" ref="I233:R233" ca="1" si="105">MAX(0,-I170)</f>
        <v>26.459029850992081</v>
      </c>
      <c r="J233" s="140">
        <f t="shared" ca="1" si="105"/>
        <v>0</v>
      </c>
      <c r="K233" s="140">
        <f t="shared" ca="1" si="105"/>
        <v>0</v>
      </c>
      <c r="L233" s="140">
        <f t="shared" ca="1" si="105"/>
        <v>0</v>
      </c>
      <c r="M233" s="140">
        <f t="shared" ca="1" si="105"/>
        <v>0</v>
      </c>
      <c r="N233" s="140">
        <f t="shared" ca="1" si="105"/>
        <v>0</v>
      </c>
      <c r="O233" s="140">
        <f t="shared" ca="1" si="105"/>
        <v>0</v>
      </c>
      <c r="P233" s="140">
        <f t="shared" ca="1" si="105"/>
        <v>0</v>
      </c>
      <c r="Q233" s="140">
        <f t="shared" ca="1" si="105"/>
        <v>0</v>
      </c>
      <c r="R233" s="140">
        <f t="shared" ca="1" si="105"/>
        <v>0</v>
      </c>
    </row>
    <row r="234" spans="1:18" x14ac:dyDescent="0.5">
      <c r="B234" s="140" t="s">
        <v>345</v>
      </c>
      <c r="I234" s="140">
        <f t="shared" ref="I234:R234" ca="1" si="106">-MIN(I232+I233,MAX(I170,0))</f>
        <v>0</v>
      </c>
      <c r="J234" s="140">
        <f t="shared" ca="1" si="106"/>
        <v>-20.288396392835253</v>
      </c>
      <c r="K234" s="140">
        <f t="shared" ca="1" si="106"/>
        <v>-6.1706334576813617</v>
      </c>
      <c r="L234" s="140">
        <f t="shared" ca="1" si="106"/>
        <v>0</v>
      </c>
      <c r="M234" s="140">
        <f t="shared" ca="1" si="106"/>
        <v>0</v>
      </c>
      <c r="N234" s="140">
        <f t="shared" ca="1" si="106"/>
        <v>0</v>
      </c>
      <c r="O234" s="140">
        <f t="shared" ca="1" si="106"/>
        <v>0</v>
      </c>
      <c r="P234" s="140">
        <f t="shared" ca="1" si="106"/>
        <v>0</v>
      </c>
      <c r="Q234" s="140">
        <f t="shared" ca="1" si="106"/>
        <v>0</v>
      </c>
      <c r="R234" s="140">
        <f t="shared" ca="1" si="106"/>
        <v>0</v>
      </c>
    </row>
    <row r="235" spans="1:18" ht="13.2" thickBot="1" x14ac:dyDescent="0.55000000000000004">
      <c r="B235" s="248" t="s">
        <v>348</v>
      </c>
      <c r="C235" s="248"/>
      <c r="D235" s="248"/>
      <c r="E235" s="248"/>
      <c r="F235" s="248"/>
      <c r="G235" s="248"/>
      <c r="H235" s="248"/>
      <c r="I235" s="249">
        <f t="shared" ref="I235:R235" ca="1" si="107">SUM(I232:I234)</f>
        <v>26.459029850992081</v>
      </c>
      <c r="J235" s="249">
        <f t="shared" ca="1" si="107"/>
        <v>6.1706334580276021</v>
      </c>
      <c r="K235" s="249">
        <f t="shared" ca="1" si="107"/>
        <v>0</v>
      </c>
      <c r="L235" s="249">
        <f t="shared" ca="1" si="107"/>
        <v>0</v>
      </c>
      <c r="M235" s="249">
        <f t="shared" ca="1" si="107"/>
        <v>0</v>
      </c>
      <c r="N235" s="249">
        <f t="shared" ca="1" si="107"/>
        <v>0</v>
      </c>
      <c r="O235" s="249">
        <f t="shared" ca="1" si="107"/>
        <v>0</v>
      </c>
      <c r="P235" s="249">
        <f t="shared" ca="1" si="107"/>
        <v>0</v>
      </c>
      <c r="Q235" s="249">
        <f t="shared" ca="1" si="107"/>
        <v>0</v>
      </c>
      <c r="R235" s="249">
        <f t="shared" ca="1" si="107"/>
        <v>0</v>
      </c>
    </row>
    <row r="236" spans="1:18" x14ac:dyDescent="0.5">
      <c r="I236" s="182"/>
      <c r="J236" s="182"/>
      <c r="K236" s="182"/>
      <c r="L236" s="182"/>
      <c r="M236" s="182"/>
      <c r="N236" s="182"/>
      <c r="O236" s="182"/>
      <c r="P236" s="182"/>
      <c r="Q236" s="182"/>
      <c r="R236" s="182"/>
    </row>
    <row r="237" spans="1:18" ht="15.6" x14ac:dyDescent="0.6">
      <c r="A237" s="138" t="s">
        <v>31</v>
      </c>
      <c r="B237" s="161" t="s">
        <v>118</v>
      </c>
      <c r="C237" s="171"/>
      <c r="D237" s="171"/>
      <c r="E237" s="171"/>
      <c r="F237" s="171"/>
      <c r="G237" s="171"/>
      <c r="H237" s="171"/>
      <c r="I237" s="171"/>
      <c r="J237" s="171"/>
      <c r="K237" s="171"/>
      <c r="L237" s="171"/>
      <c r="M237" s="171"/>
      <c r="N237" s="171"/>
      <c r="O237" s="171"/>
      <c r="P237" s="171"/>
      <c r="Q237" s="171"/>
      <c r="R237" s="171"/>
    </row>
    <row r="238" spans="1:18" x14ac:dyDescent="0.5">
      <c r="B238" s="128" t="str">
        <f>$B$12</f>
        <v>($ in millions)</v>
      </c>
    </row>
    <row r="240" spans="1:18" x14ac:dyDescent="0.5">
      <c r="B240" s="172" t="str">
        <f>$B$138</f>
        <v>Base Case</v>
      </c>
    </row>
    <row r="241" spans="2:18" ht="13.2" thickBot="1" x14ac:dyDescent="0.55000000000000004">
      <c r="B241" s="163"/>
      <c r="C241" s="163"/>
      <c r="D241" s="163"/>
      <c r="E241" s="163"/>
      <c r="F241" s="163"/>
      <c r="G241" s="163"/>
      <c r="H241" s="163"/>
      <c r="I241" s="163"/>
      <c r="J241" s="163"/>
      <c r="K241" s="163"/>
      <c r="L241" s="163"/>
      <c r="M241" s="163"/>
      <c r="N241" s="163"/>
      <c r="O241" s="163"/>
      <c r="P241" s="163"/>
      <c r="Q241" s="163"/>
      <c r="R241" s="163"/>
    </row>
    <row r="242" spans="2:18" x14ac:dyDescent="0.5">
      <c r="B242" s="128" t="str">
        <f>$B$140</f>
        <v>For the FYE December 27</v>
      </c>
      <c r="F242" s="164" t="s">
        <v>109</v>
      </c>
      <c r="G242" s="164"/>
      <c r="H242" s="173"/>
      <c r="I242" s="164" t="s">
        <v>224</v>
      </c>
      <c r="J242" s="164"/>
      <c r="K242" s="164"/>
      <c r="L242" s="164"/>
      <c r="M242" s="164"/>
      <c r="N242" s="164"/>
      <c r="O242" s="164"/>
      <c r="P242" s="174"/>
      <c r="Q242" s="174"/>
      <c r="R242" s="174"/>
    </row>
    <row r="243" spans="2:18" x14ac:dyDescent="0.5">
      <c r="B243" s="150"/>
      <c r="C243" s="150"/>
      <c r="D243" s="150"/>
      <c r="E243" s="150"/>
      <c r="F243" s="123">
        <f>F$141</f>
        <v>42003</v>
      </c>
      <c r="G243" s="123">
        <f>G$141</f>
        <v>42367</v>
      </c>
      <c r="H243" s="124">
        <f>H$141</f>
        <v>42731</v>
      </c>
      <c r="I243" s="123">
        <f t="shared" ref="I243:R243" si="108">DATE(YEAR(H243)+1,MONTH(H243),DAY(H243))</f>
        <v>43096</v>
      </c>
      <c r="J243" s="123">
        <f t="shared" si="108"/>
        <v>43461</v>
      </c>
      <c r="K243" s="123">
        <f t="shared" si="108"/>
        <v>43826</v>
      </c>
      <c r="L243" s="123">
        <f t="shared" si="108"/>
        <v>44192</v>
      </c>
      <c r="M243" s="123">
        <f t="shared" si="108"/>
        <v>44557</v>
      </c>
      <c r="N243" s="123">
        <f t="shared" si="108"/>
        <v>44922</v>
      </c>
      <c r="O243" s="123">
        <f t="shared" si="108"/>
        <v>45287</v>
      </c>
      <c r="P243" s="123">
        <f t="shared" si="108"/>
        <v>45653</v>
      </c>
      <c r="Q243" s="123">
        <f t="shared" si="108"/>
        <v>46018</v>
      </c>
      <c r="R243" s="123">
        <f t="shared" si="108"/>
        <v>46383</v>
      </c>
    </row>
    <row r="244" spans="2:18" x14ac:dyDescent="0.5">
      <c r="B244" s="166" t="s">
        <v>241</v>
      </c>
      <c r="H244" s="147"/>
    </row>
    <row r="245" spans="2:18" x14ac:dyDescent="0.5">
      <c r="B245" s="140" t="s">
        <v>242</v>
      </c>
      <c r="H245" s="183">
        <f>L82</f>
        <v>21.341549999999998</v>
      </c>
      <c r="I245" s="182">
        <f t="shared" ref="I245:R245" ca="1" si="109">I223</f>
        <v>21.341550000000002</v>
      </c>
      <c r="J245" s="182">
        <f t="shared" ca="1" si="109"/>
        <v>21.341550000000002</v>
      </c>
      <c r="K245" s="182">
        <f t="shared" ca="1" si="109"/>
        <v>21.341550000000002</v>
      </c>
      <c r="L245" s="182">
        <f t="shared" ca="1" si="109"/>
        <v>21.341550000000002</v>
      </c>
      <c r="M245" s="182">
        <f t="shared" ca="1" si="109"/>
        <v>21.341550000000002</v>
      </c>
      <c r="N245" s="182">
        <f t="shared" ca="1" si="109"/>
        <v>21.341550000000002</v>
      </c>
      <c r="O245" s="182">
        <f t="shared" ca="1" si="109"/>
        <v>21.341550000000002</v>
      </c>
      <c r="P245" s="182">
        <f t="shared" ca="1" si="109"/>
        <v>21.341550000000002</v>
      </c>
      <c r="Q245" s="182">
        <f t="shared" ca="1" si="109"/>
        <v>21.341550000000002</v>
      </c>
      <c r="R245" s="182">
        <f t="shared" ca="1" si="109"/>
        <v>270.95621990648709</v>
      </c>
    </row>
    <row r="246" spans="2:18" x14ac:dyDescent="0.5">
      <c r="B246" s="140" t="s">
        <v>298</v>
      </c>
      <c r="H246" s="122">
        <f>L83</f>
        <v>112.923</v>
      </c>
      <c r="I246" s="140">
        <f t="shared" ref="I246:R246" ca="1" si="110">I317</f>
        <v>116.18390176125247</v>
      </c>
      <c r="J246" s="140">
        <f t="shared" ca="1" si="110"/>
        <v>125.85986845401179</v>
      </c>
      <c r="K246" s="140">
        <f t="shared" ca="1" si="110"/>
        <v>137.75029589041102</v>
      </c>
      <c r="L246" s="140">
        <f t="shared" ca="1" si="110"/>
        <v>158.23681939890716</v>
      </c>
      <c r="M246" s="140">
        <f t="shared" ca="1" si="110"/>
        <v>172.26881972602746</v>
      </c>
      <c r="N246" s="140">
        <f t="shared" ca="1" si="110"/>
        <v>187.52531661158829</v>
      </c>
      <c r="O246" s="140">
        <f t="shared" ca="1" si="110"/>
        <v>204.66918330417391</v>
      </c>
      <c r="P246" s="140">
        <f t="shared" ca="1" si="110"/>
        <v>223.35368591942904</v>
      </c>
      <c r="Q246" s="140">
        <f t="shared" ca="1" si="110"/>
        <v>245.72175388024931</v>
      </c>
      <c r="R246" s="140">
        <f t="shared" ca="1" si="110"/>
        <v>270.29392926827427</v>
      </c>
    </row>
    <row r="247" spans="2:18" x14ac:dyDescent="0.5">
      <c r="B247" s="140" t="s">
        <v>40</v>
      </c>
      <c r="H247" s="122">
        <f>L84</f>
        <v>23.774999999999999</v>
      </c>
      <c r="I247" s="140">
        <f t="shared" ref="I247:R247" ca="1" si="111">I319</f>
        <v>23.084969570254412</v>
      </c>
      <c r="J247" s="140">
        <f t="shared" ca="1" si="111"/>
        <v>24.884866317495113</v>
      </c>
      <c r="K247" s="140">
        <f t="shared" ca="1" si="111"/>
        <v>26.970716339726035</v>
      </c>
      <c r="L247" s="140">
        <f t="shared" ca="1" si="111"/>
        <v>31.134627150819679</v>
      </c>
      <c r="M247" s="140">
        <f t="shared" ca="1" si="111"/>
        <v>33.829239434520559</v>
      </c>
      <c r="N247" s="140">
        <f t="shared" ca="1" si="111"/>
        <v>36.825229578845416</v>
      </c>
      <c r="O247" s="140">
        <f t="shared" ca="1" si="111"/>
        <v>40.191851420797676</v>
      </c>
      <c r="P247" s="140">
        <f t="shared" ca="1" si="111"/>
        <v>43.861015194553381</v>
      </c>
      <c r="Q247" s="140">
        <f t="shared" ca="1" si="111"/>
        <v>48.253538043073782</v>
      </c>
      <c r="R247" s="140">
        <f t="shared" ca="1" si="111"/>
        <v>53.078891847381151</v>
      </c>
    </row>
    <row r="248" spans="2:18" x14ac:dyDescent="0.5">
      <c r="B248" s="140" t="s">
        <v>299</v>
      </c>
      <c r="H248" s="122">
        <f>L85</f>
        <v>69.194000000000003</v>
      </c>
      <c r="I248" s="140">
        <f t="shared" ref="I248:R248" ca="1" si="112">I321</f>
        <v>63.866836628571455</v>
      </c>
      <c r="J248" s="140">
        <f t="shared" ca="1" si="112"/>
        <v>69.185760977142891</v>
      </c>
      <c r="K248" s="140">
        <f t="shared" ca="1" si="112"/>
        <v>75.721984800000044</v>
      </c>
      <c r="L248" s="140">
        <f t="shared" ca="1" si="112"/>
        <v>87.221834040000047</v>
      </c>
      <c r="M248" s="140">
        <f t="shared" ca="1" si="112"/>
        <v>94.696979520000056</v>
      </c>
      <c r="N248" s="140">
        <f t="shared" ca="1" si="112"/>
        <v>103.08354753281041</v>
      </c>
      <c r="O248" s="140">
        <f t="shared" ca="1" si="112"/>
        <v>112.50761159538034</v>
      </c>
      <c r="P248" s="140">
        <f t="shared" ca="1" si="112"/>
        <v>123.11495010763137</v>
      </c>
      <c r="Q248" s="140">
        <f t="shared" ca="1" si="112"/>
        <v>135.07440250547452</v>
      </c>
      <c r="R248" s="140">
        <f t="shared" ca="1" si="112"/>
        <v>148.58184275602196</v>
      </c>
    </row>
    <row r="249" spans="2:18" x14ac:dyDescent="0.5">
      <c r="B249" s="140" t="s">
        <v>700</v>
      </c>
      <c r="H249" s="122">
        <f>L86</f>
        <v>0</v>
      </c>
      <c r="I249" s="140">
        <f t="shared" ref="I249:R249" si="113">H249</f>
        <v>0</v>
      </c>
      <c r="J249" s="140">
        <f t="shared" si="113"/>
        <v>0</v>
      </c>
      <c r="K249" s="140">
        <f t="shared" si="113"/>
        <v>0</v>
      </c>
      <c r="L249" s="140">
        <f t="shared" si="113"/>
        <v>0</v>
      </c>
      <c r="M249" s="140">
        <f t="shared" si="113"/>
        <v>0</v>
      </c>
      <c r="N249" s="140">
        <f t="shared" si="113"/>
        <v>0</v>
      </c>
      <c r="O249" s="140">
        <f t="shared" si="113"/>
        <v>0</v>
      </c>
      <c r="P249" s="140">
        <f t="shared" si="113"/>
        <v>0</v>
      </c>
      <c r="Q249" s="140">
        <f t="shared" si="113"/>
        <v>0</v>
      </c>
      <c r="R249" s="140">
        <f t="shared" si="113"/>
        <v>0</v>
      </c>
    </row>
    <row r="250" spans="2:18" x14ac:dyDescent="0.5">
      <c r="B250" s="167" t="s">
        <v>208</v>
      </c>
      <c r="C250" s="167"/>
      <c r="D250" s="167"/>
      <c r="E250" s="167"/>
      <c r="F250" s="167"/>
      <c r="G250" s="167"/>
      <c r="H250" s="194">
        <f t="shared" ref="H250" si="114">SUM(H245:H249)</f>
        <v>227.23354999999998</v>
      </c>
      <c r="I250" s="191">
        <f t="shared" ref="I250:R250" ca="1" si="115">SUM(I245:I249)</f>
        <v>224.47725796007833</v>
      </c>
      <c r="J250" s="191">
        <f t="shared" ca="1" si="115"/>
        <v>241.27204574864982</v>
      </c>
      <c r="K250" s="191">
        <f t="shared" ca="1" si="115"/>
        <v>261.78454703013711</v>
      </c>
      <c r="L250" s="191">
        <f t="shared" ca="1" si="115"/>
        <v>297.93483058972691</v>
      </c>
      <c r="M250" s="191">
        <f t="shared" ca="1" si="115"/>
        <v>322.13658868054807</v>
      </c>
      <c r="N250" s="191">
        <f t="shared" ca="1" si="115"/>
        <v>348.77564372324412</v>
      </c>
      <c r="O250" s="191">
        <f t="shared" ca="1" si="115"/>
        <v>378.71019632035194</v>
      </c>
      <c r="P250" s="191">
        <f t="shared" ca="1" si="115"/>
        <v>411.67120122161384</v>
      </c>
      <c r="Q250" s="191">
        <f t="shared" ca="1" si="115"/>
        <v>450.39124442879756</v>
      </c>
      <c r="R250" s="191">
        <f t="shared" ca="1" si="115"/>
        <v>742.91088377816448</v>
      </c>
    </row>
    <row r="251" spans="2:18" x14ac:dyDescent="0.5">
      <c r="H251" s="122"/>
    </row>
    <row r="252" spans="2:18" x14ac:dyDescent="0.5">
      <c r="B252" s="140" t="s">
        <v>701</v>
      </c>
      <c r="H252" s="122">
        <f>L89</f>
        <v>802.75900000000001</v>
      </c>
      <c r="I252" s="140">
        <f t="shared" ref="I252:R252" ca="1" si="116">H252+I199-I162</f>
        <v>851.26846428571434</v>
      </c>
      <c r="J252" s="140">
        <f t="shared" ca="1" si="116"/>
        <v>883.62553571428577</v>
      </c>
      <c r="K252" s="140">
        <f t="shared" ca="1" si="116"/>
        <v>899.23153571428588</v>
      </c>
      <c r="L252" s="140">
        <f t="shared" ca="1" si="116"/>
        <v>889.22053571428592</v>
      </c>
      <c r="M252" s="140">
        <f t="shared" ca="1" si="116"/>
        <v>861.47153571428589</v>
      </c>
      <c r="N252" s="140">
        <f t="shared" ca="1" si="116"/>
        <v>837.08587473254715</v>
      </c>
      <c r="O252" s="140">
        <f t="shared" ca="1" si="116"/>
        <v>816.8238389086614</v>
      </c>
      <c r="P252" s="140">
        <f t="shared" ca="1" si="116"/>
        <v>801.60344598056236</v>
      </c>
      <c r="Q252" s="140">
        <f t="shared" ca="1" si="116"/>
        <v>792.5318233542805</v>
      </c>
      <c r="R252" s="140">
        <f t="shared" ca="1" si="116"/>
        <v>790.9430546583003</v>
      </c>
    </row>
    <row r="253" spans="2:18" x14ac:dyDescent="0.5">
      <c r="H253" s="122"/>
    </row>
    <row r="254" spans="2:18" x14ac:dyDescent="0.5">
      <c r="B254" s="140" t="s">
        <v>77</v>
      </c>
      <c r="H254" s="122">
        <f t="shared" ref="H254:H259" si="117">L91</f>
        <v>0</v>
      </c>
      <c r="I254" s="140">
        <f t="shared" ref="I254:R254" si="118">H254</f>
        <v>0</v>
      </c>
      <c r="J254" s="140">
        <f t="shared" si="118"/>
        <v>0</v>
      </c>
      <c r="K254" s="140">
        <f t="shared" si="118"/>
        <v>0</v>
      </c>
      <c r="L254" s="140">
        <f t="shared" si="118"/>
        <v>0</v>
      </c>
      <c r="M254" s="140">
        <f t="shared" si="118"/>
        <v>0</v>
      </c>
      <c r="N254" s="140">
        <f t="shared" si="118"/>
        <v>0</v>
      </c>
      <c r="O254" s="140">
        <f t="shared" si="118"/>
        <v>0</v>
      </c>
      <c r="P254" s="140">
        <f t="shared" si="118"/>
        <v>0</v>
      </c>
      <c r="Q254" s="140">
        <f t="shared" si="118"/>
        <v>0</v>
      </c>
      <c r="R254" s="140">
        <f t="shared" si="118"/>
        <v>0</v>
      </c>
    </row>
    <row r="255" spans="2:18" x14ac:dyDescent="0.5">
      <c r="B255" s="140" t="s">
        <v>702</v>
      </c>
      <c r="H255" s="196">
        <f ca="1">L92</f>
        <v>2961.0331265000464</v>
      </c>
      <c r="I255" s="140">
        <f t="shared" ref="I255:R255" ca="1" si="119">H255</f>
        <v>2961.0331265000464</v>
      </c>
      <c r="J255" s="140">
        <f t="shared" ca="1" si="119"/>
        <v>2961.0331265000464</v>
      </c>
      <c r="K255" s="140">
        <f t="shared" ca="1" si="119"/>
        <v>2961.0331265000464</v>
      </c>
      <c r="L255" s="140">
        <f t="shared" ca="1" si="119"/>
        <v>2961.0331265000464</v>
      </c>
      <c r="M255" s="140">
        <f t="shared" ca="1" si="119"/>
        <v>2961.0331265000464</v>
      </c>
      <c r="N255" s="140">
        <f t="shared" ca="1" si="119"/>
        <v>2961.0331265000464</v>
      </c>
      <c r="O255" s="140">
        <f t="shared" ca="1" si="119"/>
        <v>2961.0331265000464</v>
      </c>
      <c r="P255" s="140">
        <f t="shared" ca="1" si="119"/>
        <v>2961.0331265000464</v>
      </c>
      <c r="Q255" s="140">
        <f t="shared" ca="1" si="119"/>
        <v>2961.0331265000464</v>
      </c>
      <c r="R255" s="140">
        <f t="shared" ca="1" si="119"/>
        <v>2961.0331265000464</v>
      </c>
    </row>
    <row r="256" spans="2:18" x14ac:dyDescent="0.5">
      <c r="B256" s="140" t="s">
        <v>703</v>
      </c>
      <c r="H256" s="196">
        <f ca="1">L93</f>
        <v>3925.0904235000603</v>
      </c>
      <c r="I256" s="140">
        <f t="shared" ref="I256:R256" ca="1" si="120">H256-I163</f>
        <v>3794.2540760500583</v>
      </c>
      <c r="J256" s="140">
        <f t="shared" ca="1" si="120"/>
        <v>3663.4177286000563</v>
      </c>
      <c r="K256" s="140">
        <f t="shared" ca="1" si="120"/>
        <v>3532.5813811500543</v>
      </c>
      <c r="L256" s="140">
        <f t="shared" ca="1" si="120"/>
        <v>3401.7450337000523</v>
      </c>
      <c r="M256" s="140">
        <f t="shared" ca="1" si="120"/>
        <v>3270.9086862500503</v>
      </c>
      <c r="N256" s="140">
        <f t="shared" ca="1" si="120"/>
        <v>3140.0723388000483</v>
      </c>
      <c r="O256" s="140">
        <f t="shared" ca="1" si="120"/>
        <v>3009.2359913500463</v>
      </c>
      <c r="P256" s="140">
        <f t="shared" ca="1" si="120"/>
        <v>2878.3996439000443</v>
      </c>
      <c r="Q256" s="140">
        <f t="shared" ca="1" si="120"/>
        <v>2747.5632964500423</v>
      </c>
      <c r="R256" s="140">
        <f t="shared" ca="1" si="120"/>
        <v>2616.7269490000403</v>
      </c>
    </row>
    <row r="257" spans="2:18" x14ac:dyDescent="0.5">
      <c r="B257" s="140" t="s">
        <v>196</v>
      </c>
      <c r="H257" s="196">
        <f ca="1">L94</f>
        <v>67.500027837164836</v>
      </c>
      <c r="I257" s="140">
        <f t="shared" ref="I257:R257" ca="1" si="121">H257-I169</f>
        <v>61.714311121987599</v>
      </c>
      <c r="J257" s="140">
        <f t="shared" ca="1" si="121"/>
        <v>55.928594406810362</v>
      </c>
      <c r="K257" s="140">
        <f t="shared" ca="1" si="121"/>
        <v>50.142877691633124</v>
      </c>
      <c r="L257" s="140">
        <f t="shared" ca="1" si="121"/>
        <v>44.357160976455887</v>
      </c>
      <c r="M257" s="140">
        <f t="shared" ca="1" si="121"/>
        <v>38.57144426127865</v>
      </c>
      <c r="N257" s="140">
        <f t="shared" ca="1" si="121"/>
        <v>32.785727546101413</v>
      </c>
      <c r="O257" s="140">
        <f t="shared" ca="1" si="121"/>
        <v>27.000010830924172</v>
      </c>
      <c r="P257" s="140">
        <f t="shared" ca="1" si="121"/>
        <v>23.625009477057858</v>
      </c>
      <c r="Q257" s="140">
        <f t="shared" ca="1" si="121"/>
        <v>20.250008123191545</v>
      </c>
      <c r="R257" s="140">
        <f t="shared" ca="1" si="121"/>
        <v>16.875006769325232</v>
      </c>
    </row>
    <row r="258" spans="2:18" x14ac:dyDescent="0.5">
      <c r="B258" s="140" t="s">
        <v>346</v>
      </c>
      <c r="H258" s="196">
        <f t="shared" si="117"/>
        <v>0</v>
      </c>
      <c r="I258" s="140">
        <f t="shared" ref="I258:R258" ca="1" si="122">H258-I203</f>
        <v>9.2606604478019978</v>
      </c>
      <c r="J258" s="140">
        <f t="shared" ca="1" si="122"/>
        <v>2.1597217102504347</v>
      </c>
      <c r="K258" s="140">
        <f t="shared" ca="1" si="122"/>
        <v>8.1369444515644318E-10</v>
      </c>
      <c r="L258" s="140">
        <f t="shared" ca="1" si="122"/>
        <v>8.1369444515644318E-10</v>
      </c>
      <c r="M258" s="140">
        <f t="shared" ca="1" si="122"/>
        <v>8.1369444515644318E-10</v>
      </c>
      <c r="N258" s="140">
        <f t="shared" ca="1" si="122"/>
        <v>8.1369444515644318E-10</v>
      </c>
      <c r="O258" s="140">
        <f t="shared" ca="1" si="122"/>
        <v>8.1369444515644318E-10</v>
      </c>
      <c r="P258" s="140">
        <f t="shared" ca="1" si="122"/>
        <v>8.1369444515644318E-10</v>
      </c>
      <c r="Q258" s="140">
        <f t="shared" ca="1" si="122"/>
        <v>8.1369444515644318E-10</v>
      </c>
      <c r="R258" s="140">
        <f t="shared" ca="1" si="122"/>
        <v>8.1369444515644318E-10</v>
      </c>
    </row>
    <row r="259" spans="2:18" x14ac:dyDescent="0.5">
      <c r="B259" s="140" t="s">
        <v>704</v>
      </c>
      <c r="H259" s="122">
        <f t="shared" si="117"/>
        <v>65.054000000000002</v>
      </c>
      <c r="I259" s="140">
        <f t="shared" ref="I259:R259" si="123">H259-I204</f>
        <v>65.054000000000002</v>
      </c>
      <c r="J259" s="140">
        <f t="shared" si="123"/>
        <v>65.054000000000002</v>
      </c>
      <c r="K259" s="140">
        <f t="shared" si="123"/>
        <v>65.054000000000002</v>
      </c>
      <c r="L259" s="140">
        <f t="shared" si="123"/>
        <v>65.054000000000002</v>
      </c>
      <c r="M259" s="140">
        <f t="shared" si="123"/>
        <v>65.054000000000002</v>
      </c>
      <c r="N259" s="140">
        <f t="shared" si="123"/>
        <v>65.054000000000002</v>
      </c>
      <c r="O259" s="140">
        <f t="shared" si="123"/>
        <v>65.054000000000002</v>
      </c>
      <c r="P259" s="140">
        <f t="shared" si="123"/>
        <v>65.054000000000002</v>
      </c>
      <c r="Q259" s="140">
        <f t="shared" si="123"/>
        <v>65.054000000000002</v>
      </c>
      <c r="R259" s="140">
        <f t="shared" si="123"/>
        <v>65.054000000000002</v>
      </c>
    </row>
    <row r="260" spans="2:18" x14ac:dyDescent="0.5">
      <c r="H260" s="122"/>
    </row>
    <row r="261" spans="2:18" x14ac:dyDescent="0.5">
      <c r="B261" s="148" t="s">
        <v>243</v>
      </c>
      <c r="C261" s="148"/>
      <c r="D261" s="148"/>
      <c r="E261" s="148"/>
      <c r="F261" s="148"/>
      <c r="G261" s="148"/>
      <c r="H261" s="197">
        <f t="shared" ref="H261:R261" ca="1" si="124">SUM(H250,H252,H254:H259)</f>
        <v>8048.6701278372711</v>
      </c>
      <c r="I261" s="192">
        <f t="shared" ca="1" si="124"/>
        <v>7967.061896365688</v>
      </c>
      <c r="J261" s="192">
        <f t="shared" ca="1" si="124"/>
        <v>7872.4907526800998</v>
      </c>
      <c r="K261" s="192">
        <f t="shared" ca="1" si="124"/>
        <v>7769.8274680869699</v>
      </c>
      <c r="L261" s="192">
        <f t="shared" ca="1" si="124"/>
        <v>7659.3446874813817</v>
      </c>
      <c r="M261" s="192">
        <f t="shared" ca="1" si="124"/>
        <v>7519.1753814070244</v>
      </c>
      <c r="N261" s="192">
        <f t="shared" ca="1" si="124"/>
        <v>7384.8067113028001</v>
      </c>
      <c r="O261" s="192">
        <f t="shared" ca="1" si="124"/>
        <v>7257.857163910845</v>
      </c>
      <c r="P261" s="192">
        <f t="shared" ca="1" si="124"/>
        <v>7141.3864270801387</v>
      </c>
      <c r="Q261" s="192">
        <f t="shared" ca="1" si="124"/>
        <v>7036.8234988571721</v>
      </c>
      <c r="R261" s="192">
        <f t="shared" ca="1" si="124"/>
        <v>7193.5430207066902</v>
      </c>
    </row>
    <row r="262" spans="2:18" x14ac:dyDescent="0.5">
      <c r="H262" s="122"/>
    </row>
    <row r="263" spans="2:18" x14ac:dyDescent="0.5">
      <c r="B263" s="166" t="s">
        <v>244</v>
      </c>
      <c r="H263" s="122"/>
    </row>
    <row r="264" spans="2:18" x14ac:dyDescent="0.5">
      <c r="B264" s="140" t="s">
        <v>301</v>
      </c>
      <c r="H264" s="122">
        <f>L101</f>
        <v>22.454999999999998</v>
      </c>
      <c r="I264" s="140">
        <f t="shared" ref="I264:R264" ca="1" si="125">I323</f>
        <v>21.26247197260275</v>
      </c>
      <c r="J264" s="140">
        <f t="shared" ca="1" si="125"/>
        <v>22.920271608219185</v>
      </c>
      <c r="K264" s="140">
        <f t="shared" ca="1" si="125"/>
        <v>24.841449260273983</v>
      </c>
      <c r="L264" s="140">
        <f t="shared" ca="1" si="125"/>
        <v>28.676630270491813</v>
      </c>
      <c r="M264" s="140">
        <f t="shared" ca="1" si="125"/>
        <v>31.15851000547946</v>
      </c>
      <c r="N264" s="140">
        <f t="shared" ca="1" si="125"/>
        <v>33.917974612094461</v>
      </c>
      <c r="O264" s="140">
        <f t="shared" ca="1" si="125"/>
        <v>37.018810519155757</v>
      </c>
      <c r="P264" s="140">
        <f t="shared" ca="1" si="125"/>
        <v>40.398303468667592</v>
      </c>
      <c r="Q264" s="140">
        <f t="shared" ca="1" si="125"/>
        <v>44.444048197567959</v>
      </c>
      <c r="R264" s="140">
        <f t="shared" ca="1" si="125"/>
        <v>48.88845301732475</v>
      </c>
    </row>
    <row r="265" spans="2:18" x14ac:dyDescent="0.5">
      <c r="B265" s="140" t="s">
        <v>302</v>
      </c>
      <c r="H265" s="122">
        <f>L102</f>
        <v>408.637</v>
      </c>
      <c r="I265" s="140">
        <f t="shared" ref="I265:R265" ca="1" si="126">I325</f>
        <v>384.83451428571448</v>
      </c>
      <c r="J265" s="140">
        <f t="shared" ca="1" si="126"/>
        <v>414.99910857142868</v>
      </c>
      <c r="K265" s="140">
        <f t="shared" ca="1" si="126"/>
        <v>450.13120000000021</v>
      </c>
      <c r="L265" s="140">
        <f t="shared" ca="1" si="126"/>
        <v>520.84656000000018</v>
      </c>
      <c r="M265" s="140">
        <f t="shared" ca="1" si="126"/>
        <v>564.46528000000012</v>
      </c>
      <c r="N265" s="140">
        <f t="shared" ca="1" si="126"/>
        <v>614.45553824884166</v>
      </c>
      <c r="O265" s="140">
        <f t="shared" ca="1" si="126"/>
        <v>670.63005391745344</v>
      </c>
      <c r="P265" s="140">
        <f t="shared" ca="1" si="126"/>
        <v>733.85777600238043</v>
      </c>
      <c r="Q265" s="140">
        <f t="shared" ca="1" si="126"/>
        <v>805.14511463359258</v>
      </c>
      <c r="R265" s="140">
        <f t="shared" ca="1" si="126"/>
        <v>885.65962609695168</v>
      </c>
    </row>
    <row r="266" spans="2:18" x14ac:dyDescent="0.5">
      <c r="B266" s="140" t="s">
        <v>705</v>
      </c>
      <c r="H266" s="122">
        <f>L103</f>
        <v>0</v>
      </c>
      <c r="I266" s="140">
        <f t="shared" ref="I266:R266" si="127">H266</f>
        <v>0</v>
      </c>
      <c r="J266" s="140">
        <f t="shared" si="127"/>
        <v>0</v>
      </c>
      <c r="K266" s="140">
        <f t="shared" si="127"/>
        <v>0</v>
      </c>
      <c r="L266" s="140">
        <f t="shared" si="127"/>
        <v>0</v>
      </c>
      <c r="M266" s="140">
        <f t="shared" si="127"/>
        <v>0</v>
      </c>
      <c r="N266" s="140">
        <f t="shared" si="127"/>
        <v>0</v>
      </c>
      <c r="O266" s="140">
        <f t="shared" si="127"/>
        <v>0</v>
      </c>
      <c r="P266" s="140">
        <f t="shared" si="127"/>
        <v>0</v>
      </c>
      <c r="Q266" s="140">
        <f t="shared" si="127"/>
        <v>0</v>
      </c>
      <c r="R266" s="140">
        <f t="shared" si="127"/>
        <v>0</v>
      </c>
    </row>
    <row r="267" spans="2:18" x14ac:dyDescent="0.5">
      <c r="B267" s="167" t="s">
        <v>209</v>
      </c>
      <c r="C267" s="167"/>
      <c r="D267" s="167"/>
      <c r="E267" s="167"/>
      <c r="F267" s="167"/>
      <c r="G267" s="167"/>
      <c r="H267" s="194">
        <f t="shared" ref="H267" si="128">SUM(H264:H266)</f>
        <v>431.09199999999998</v>
      </c>
      <c r="I267" s="191">
        <f t="shared" ref="I267:R267" ca="1" si="129">SUM(I264:I266)</f>
        <v>406.0969862583172</v>
      </c>
      <c r="J267" s="191">
        <f t="shared" ca="1" si="129"/>
        <v>437.91938017964787</v>
      </c>
      <c r="K267" s="191">
        <f t="shared" ca="1" si="129"/>
        <v>474.97264926027418</v>
      </c>
      <c r="L267" s="191">
        <f t="shared" ca="1" si="129"/>
        <v>549.52319027049202</v>
      </c>
      <c r="M267" s="191">
        <f t="shared" ca="1" si="129"/>
        <v>595.62379000547958</v>
      </c>
      <c r="N267" s="191">
        <f t="shared" ca="1" si="129"/>
        <v>648.3735128609361</v>
      </c>
      <c r="O267" s="191">
        <f t="shared" ca="1" si="129"/>
        <v>707.64886443660919</v>
      </c>
      <c r="P267" s="191">
        <f t="shared" ca="1" si="129"/>
        <v>774.256079471048</v>
      </c>
      <c r="Q267" s="191">
        <f t="shared" ca="1" si="129"/>
        <v>849.58916283116059</v>
      </c>
      <c r="R267" s="191">
        <f t="shared" ca="1" si="129"/>
        <v>934.54807911427645</v>
      </c>
    </row>
    <row r="268" spans="2:18" x14ac:dyDescent="0.5">
      <c r="H268" s="122"/>
    </row>
    <row r="269" spans="2:18" x14ac:dyDescent="0.5">
      <c r="B269" s="140" t="s">
        <v>229</v>
      </c>
      <c r="H269" s="122">
        <f>L106</f>
        <v>0</v>
      </c>
      <c r="I269" s="140">
        <f t="shared" ref="I269:R269" ca="1" si="130">H269+I216</f>
        <v>0</v>
      </c>
      <c r="J269" s="140">
        <f t="shared" ca="1" si="130"/>
        <v>0</v>
      </c>
      <c r="K269" s="140">
        <f t="shared" ca="1" si="130"/>
        <v>0</v>
      </c>
      <c r="L269" s="140">
        <f t="shared" ca="1" si="130"/>
        <v>0</v>
      </c>
      <c r="M269" s="140">
        <f t="shared" ca="1" si="130"/>
        <v>0</v>
      </c>
      <c r="N269" s="140">
        <f t="shared" ca="1" si="130"/>
        <v>0</v>
      </c>
      <c r="O269" s="140">
        <f t="shared" ca="1" si="130"/>
        <v>0</v>
      </c>
      <c r="P269" s="140">
        <f t="shared" ca="1" si="130"/>
        <v>0</v>
      </c>
      <c r="Q269" s="140">
        <f t="shared" ca="1" si="130"/>
        <v>0</v>
      </c>
      <c r="R269" s="140">
        <f t="shared" ca="1" si="130"/>
        <v>0</v>
      </c>
    </row>
    <row r="270" spans="2:18" x14ac:dyDescent="0.5">
      <c r="B270" s="140" t="s">
        <v>175</v>
      </c>
      <c r="C270" s="144"/>
      <c r="D270" s="144"/>
      <c r="E270" s="144"/>
      <c r="F270" s="144"/>
      <c r="G270" s="144"/>
      <c r="H270" s="213">
        <f ca="1">L107</f>
        <v>750.00033463006582</v>
      </c>
      <c r="I270" s="140">
        <f t="shared" ref="I270:R270" ca="1" si="131">H270+I217</f>
        <v>719.8461467511562</v>
      </c>
      <c r="J270" s="140">
        <f t="shared" ca="1" si="131"/>
        <v>573.16421275140237</v>
      </c>
      <c r="K270" s="140">
        <f t="shared" ca="1" si="131"/>
        <v>375.71085704903953</v>
      </c>
      <c r="L270" s="140">
        <f t="shared" ca="1" si="131"/>
        <v>100.54465645621161</v>
      </c>
      <c r="M270" s="140">
        <f t="shared" ca="1" si="131"/>
        <v>-1.1825591172964778E-8</v>
      </c>
      <c r="N270" s="140">
        <f t="shared" ca="1" si="131"/>
        <v>1.3955457234260393E-8</v>
      </c>
      <c r="O270" s="140">
        <f t="shared" ca="1" si="131"/>
        <v>-1.2083683031960391E-7</v>
      </c>
      <c r="P270" s="140">
        <f t="shared" ca="1" si="131"/>
        <v>8.4783158627033117E-7</v>
      </c>
      <c r="Q270" s="140">
        <f t="shared" ca="1" si="131"/>
        <v>1.6792008636912215E-6</v>
      </c>
      <c r="R270" s="140">
        <f t="shared" ca="1" si="131"/>
        <v>1.2910355394524231E-5</v>
      </c>
    </row>
    <row r="271" spans="2:18" x14ac:dyDescent="0.5">
      <c r="B271" s="140" t="s">
        <v>176</v>
      </c>
      <c r="C271" s="144"/>
      <c r="D271" s="144"/>
      <c r="E271" s="144"/>
      <c r="F271" s="144"/>
      <c r="G271" s="144"/>
      <c r="H271" s="213">
        <f ca="1">L108</f>
        <v>2250.000902577543</v>
      </c>
      <c r="I271" s="140">
        <f t="shared" ref="I271:R271" ca="1" si="132">H271+I218</f>
        <v>2250.000902577543</v>
      </c>
      <c r="J271" s="140">
        <f t="shared" ca="1" si="132"/>
        <v>2250.000902577543</v>
      </c>
      <c r="K271" s="140">
        <f t="shared" ca="1" si="132"/>
        <v>2250.000902577543</v>
      </c>
      <c r="L271" s="140">
        <f t="shared" ca="1" si="132"/>
        <v>2250.000902577543</v>
      </c>
      <c r="M271" s="140">
        <f t="shared" ca="1" si="132"/>
        <v>2035.0408181588846</v>
      </c>
      <c r="N271" s="140">
        <f t="shared" ca="1" si="132"/>
        <v>1678.6268555374277</v>
      </c>
      <c r="O271" s="140">
        <f t="shared" ca="1" si="132"/>
        <v>1277.0777731822618</v>
      </c>
      <c r="P271" s="140">
        <f t="shared" ca="1" si="132"/>
        <v>825.29670185523423</v>
      </c>
      <c r="Q271" s="140">
        <f t="shared" ca="1" si="132"/>
        <v>318.35027772864356</v>
      </c>
      <c r="R271" s="140">
        <f t="shared" ca="1" si="132"/>
        <v>-1.3280302937346278E-5</v>
      </c>
    </row>
    <row r="272" spans="2:18" x14ac:dyDescent="0.5">
      <c r="B272" s="140" t="s">
        <v>706</v>
      </c>
      <c r="C272" s="169"/>
      <c r="D272" s="169"/>
      <c r="E272" s="169"/>
      <c r="F272" s="169"/>
      <c r="G272" s="169"/>
      <c r="H272" s="213">
        <f ca="1">L109</f>
        <v>0</v>
      </c>
      <c r="I272" s="140">
        <f t="shared" ref="I272:R272" ca="1" si="133">H272+I219</f>
        <v>0</v>
      </c>
      <c r="J272" s="140">
        <f t="shared" ca="1" si="133"/>
        <v>0</v>
      </c>
      <c r="K272" s="140">
        <f t="shared" ca="1" si="133"/>
        <v>0</v>
      </c>
      <c r="L272" s="140">
        <f t="shared" ca="1" si="133"/>
        <v>0</v>
      </c>
      <c r="M272" s="140">
        <f t="shared" ca="1" si="133"/>
        <v>0</v>
      </c>
      <c r="N272" s="140">
        <f t="shared" ca="1" si="133"/>
        <v>0</v>
      </c>
      <c r="O272" s="140">
        <f t="shared" ca="1" si="133"/>
        <v>0</v>
      </c>
      <c r="P272" s="140">
        <f t="shared" ca="1" si="133"/>
        <v>0</v>
      </c>
      <c r="Q272" s="140">
        <f t="shared" ca="1" si="133"/>
        <v>0</v>
      </c>
      <c r="R272" s="140">
        <f t="shared" ca="1" si="133"/>
        <v>0</v>
      </c>
    </row>
    <row r="273" spans="2:18" x14ac:dyDescent="0.5">
      <c r="B273" s="167" t="s">
        <v>214</v>
      </c>
      <c r="C273" s="167"/>
      <c r="D273" s="167"/>
      <c r="E273" s="167"/>
      <c r="F273" s="167"/>
      <c r="G273" s="167"/>
      <c r="H273" s="194">
        <f t="shared" ref="H273:R273" ca="1" si="134">SUM(H269:H272)</f>
        <v>3000.0012372076089</v>
      </c>
      <c r="I273" s="191">
        <f t="shared" ca="1" si="134"/>
        <v>2969.8470493286991</v>
      </c>
      <c r="J273" s="191">
        <f t="shared" ca="1" si="134"/>
        <v>2823.1651153289454</v>
      </c>
      <c r="K273" s="191">
        <f t="shared" ca="1" si="134"/>
        <v>2625.7117596265825</v>
      </c>
      <c r="L273" s="191">
        <f t="shared" ca="1" si="134"/>
        <v>2350.5455590337547</v>
      </c>
      <c r="M273" s="191">
        <f t="shared" ca="1" si="134"/>
        <v>2035.0408181470589</v>
      </c>
      <c r="N273" s="191">
        <f t="shared" ca="1" si="134"/>
        <v>1678.6268555513832</v>
      </c>
      <c r="O273" s="191">
        <f t="shared" ca="1" si="134"/>
        <v>1277.077773061425</v>
      </c>
      <c r="P273" s="191">
        <f t="shared" ca="1" si="134"/>
        <v>825.29670270306588</v>
      </c>
      <c r="Q273" s="191">
        <f t="shared" ca="1" si="134"/>
        <v>318.35027940784443</v>
      </c>
      <c r="R273" s="191">
        <f t="shared" ca="1" si="134"/>
        <v>-3.6994754282204667E-7</v>
      </c>
    </row>
    <row r="274" spans="2:18" x14ac:dyDescent="0.5">
      <c r="H274" s="122"/>
    </row>
    <row r="275" spans="2:18" x14ac:dyDescent="0.5">
      <c r="B275" s="140" t="s">
        <v>707</v>
      </c>
      <c r="H275" s="122">
        <f>L112</f>
        <v>32.301000000000002</v>
      </c>
      <c r="I275" s="140">
        <f t="shared" ref="I275:R275" si="135">H275</f>
        <v>32.301000000000002</v>
      </c>
      <c r="J275" s="140">
        <f t="shared" si="135"/>
        <v>32.301000000000002</v>
      </c>
      <c r="K275" s="140">
        <f t="shared" si="135"/>
        <v>32.301000000000002</v>
      </c>
      <c r="L275" s="140">
        <f t="shared" si="135"/>
        <v>32.301000000000002</v>
      </c>
      <c r="M275" s="140">
        <f t="shared" si="135"/>
        <v>32.301000000000002</v>
      </c>
      <c r="N275" s="140">
        <f t="shared" si="135"/>
        <v>32.301000000000002</v>
      </c>
      <c r="O275" s="140">
        <f t="shared" si="135"/>
        <v>32.301000000000002</v>
      </c>
      <c r="P275" s="140">
        <f t="shared" si="135"/>
        <v>32.301000000000002</v>
      </c>
      <c r="Q275" s="140">
        <f t="shared" si="135"/>
        <v>32.301000000000002</v>
      </c>
      <c r="R275" s="140">
        <f t="shared" si="135"/>
        <v>32.301000000000002</v>
      </c>
    </row>
    <row r="276" spans="2:18" x14ac:dyDescent="0.5">
      <c r="B276" s="140" t="s">
        <v>708</v>
      </c>
      <c r="H276" s="122">
        <f>L113</f>
        <v>118.005</v>
      </c>
      <c r="I276" s="140">
        <f t="shared" ref="I276:R276" si="136">H276+I205</f>
        <v>118.005</v>
      </c>
      <c r="J276" s="140">
        <f t="shared" si="136"/>
        <v>118.005</v>
      </c>
      <c r="K276" s="140">
        <f t="shared" si="136"/>
        <v>118.005</v>
      </c>
      <c r="L276" s="140">
        <f t="shared" si="136"/>
        <v>118.005</v>
      </c>
      <c r="M276" s="140">
        <f t="shared" si="136"/>
        <v>118.005</v>
      </c>
      <c r="N276" s="140">
        <f t="shared" si="136"/>
        <v>118.005</v>
      </c>
      <c r="O276" s="140">
        <f t="shared" si="136"/>
        <v>118.005</v>
      </c>
      <c r="P276" s="140">
        <f t="shared" si="136"/>
        <v>118.005</v>
      </c>
      <c r="Q276" s="140">
        <f t="shared" si="136"/>
        <v>118.005</v>
      </c>
      <c r="R276" s="140">
        <f t="shared" si="136"/>
        <v>118.005</v>
      </c>
    </row>
    <row r="277" spans="2:18" x14ac:dyDescent="0.5">
      <c r="H277" s="122"/>
    </row>
    <row r="278" spans="2:18" x14ac:dyDescent="0.5">
      <c r="B278" s="148" t="s">
        <v>245</v>
      </c>
      <c r="C278" s="148"/>
      <c r="D278" s="148"/>
      <c r="E278" s="148"/>
      <c r="F278" s="148"/>
      <c r="G278" s="148"/>
      <c r="H278" s="197">
        <f t="shared" ref="H278:R278" ca="1" si="137">SUM(H267,H273,H275:H276)</f>
        <v>3581.3992372076091</v>
      </c>
      <c r="I278" s="192">
        <f t="shared" ca="1" si="137"/>
        <v>3526.2500355870166</v>
      </c>
      <c r="J278" s="192">
        <f t="shared" ca="1" si="137"/>
        <v>3411.3904955085932</v>
      </c>
      <c r="K278" s="192">
        <f t="shared" ca="1" si="137"/>
        <v>3250.9904088868566</v>
      </c>
      <c r="L278" s="192">
        <f t="shared" ca="1" si="137"/>
        <v>3050.374749304247</v>
      </c>
      <c r="M278" s="192">
        <f t="shared" ca="1" si="137"/>
        <v>2780.9706081525387</v>
      </c>
      <c r="N278" s="192">
        <f t="shared" ca="1" si="137"/>
        <v>2477.3063684123194</v>
      </c>
      <c r="O278" s="192">
        <f t="shared" ca="1" si="137"/>
        <v>2135.0326374980341</v>
      </c>
      <c r="P278" s="192">
        <f t="shared" ca="1" si="137"/>
        <v>1749.8587821741139</v>
      </c>
      <c r="Q278" s="192">
        <f t="shared" ca="1" si="137"/>
        <v>1318.2454422390051</v>
      </c>
      <c r="R278" s="192">
        <f t="shared" ca="1" si="137"/>
        <v>1084.8540787443289</v>
      </c>
    </row>
    <row r="279" spans="2:18" x14ac:dyDescent="0.5">
      <c r="H279" s="122"/>
    </row>
    <row r="280" spans="2:18" x14ac:dyDescent="0.5">
      <c r="B280" s="140" t="s">
        <v>709</v>
      </c>
      <c r="H280" s="122">
        <f>L117</f>
        <v>3.6030000000000002</v>
      </c>
      <c r="I280" s="140">
        <f t="shared" ref="I280:R280" si="138">H280</f>
        <v>3.6030000000000002</v>
      </c>
      <c r="J280" s="140">
        <f t="shared" si="138"/>
        <v>3.6030000000000002</v>
      </c>
      <c r="K280" s="140">
        <f t="shared" si="138"/>
        <v>3.6030000000000002</v>
      </c>
      <c r="L280" s="140">
        <f t="shared" si="138"/>
        <v>3.6030000000000002</v>
      </c>
      <c r="M280" s="140">
        <f t="shared" si="138"/>
        <v>3.6030000000000002</v>
      </c>
      <c r="N280" s="140">
        <f t="shared" si="138"/>
        <v>3.6030000000000002</v>
      </c>
      <c r="O280" s="140">
        <f t="shared" si="138"/>
        <v>3.6030000000000002</v>
      </c>
      <c r="P280" s="140">
        <f t="shared" si="138"/>
        <v>3.6030000000000002</v>
      </c>
      <c r="Q280" s="140">
        <f t="shared" si="138"/>
        <v>3.6030000000000002</v>
      </c>
      <c r="R280" s="140">
        <f t="shared" si="138"/>
        <v>3.6030000000000002</v>
      </c>
    </row>
    <row r="281" spans="2:18" x14ac:dyDescent="0.5">
      <c r="H281" s="122"/>
    </row>
    <row r="282" spans="2:18" x14ac:dyDescent="0.5">
      <c r="B282" s="148" t="s">
        <v>311</v>
      </c>
      <c r="H282" s="122"/>
    </row>
    <row r="283" spans="2:18" x14ac:dyDescent="0.5">
      <c r="B283" s="140" t="s">
        <v>178</v>
      </c>
      <c r="C283" s="145"/>
      <c r="D283" s="145"/>
      <c r="E283" s="145"/>
      <c r="F283" s="145"/>
      <c r="G283" s="145"/>
      <c r="H283" s="213">
        <f ca="1">L120</f>
        <v>4463.6678906295874</v>
      </c>
      <c r="I283" s="140">
        <f t="shared" ref="I283:R283" ca="1" si="139">H283+I179</f>
        <v>4437.2088607785954</v>
      </c>
      <c r="J283" s="140">
        <f t="shared" ca="1" si="139"/>
        <v>4457.4972571714306</v>
      </c>
      <c r="K283" s="140">
        <f t="shared" ca="1" si="139"/>
        <v>4515.2340592000382</v>
      </c>
      <c r="L283" s="140">
        <f t="shared" ca="1" si="139"/>
        <v>4605.3669381770587</v>
      </c>
      <c r="M283" s="140">
        <f t="shared" ca="1" si="139"/>
        <v>4734.6017732544087</v>
      </c>
      <c r="N283" s="140">
        <f t="shared" ca="1" si="139"/>
        <v>4903.8973428904064</v>
      </c>
      <c r="O283" s="140">
        <f t="shared" ca="1" si="139"/>
        <v>5119.2215264127344</v>
      </c>
      <c r="P283" s="140">
        <f t="shared" ca="1" si="139"/>
        <v>5387.9246449059492</v>
      </c>
      <c r="Q283" s="140">
        <f t="shared" ca="1" si="139"/>
        <v>5714.9750566180919</v>
      </c>
      <c r="R283" s="140">
        <f t="shared" ca="1" si="139"/>
        <v>6105.0859419622866</v>
      </c>
    </row>
    <row r="284" spans="2:18" x14ac:dyDescent="0.5">
      <c r="B284" s="140" t="s">
        <v>246</v>
      </c>
      <c r="H284" s="122">
        <f>L121</f>
        <v>0</v>
      </c>
      <c r="I284" s="140">
        <f t="shared" ref="I284:R284" si="140">H284</f>
        <v>0</v>
      </c>
      <c r="J284" s="140">
        <f t="shared" si="140"/>
        <v>0</v>
      </c>
      <c r="K284" s="140">
        <f t="shared" si="140"/>
        <v>0</v>
      </c>
      <c r="L284" s="140">
        <f t="shared" si="140"/>
        <v>0</v>
      </c>
      <c r="M284" s="140">
        <f t="shared" si="140"/>
        <v>0</v>
      </c>
      <c r="N284" s="140">
        <f t="shared" si="140"/>
        <v>0</v>
      </c>
      <c r="O284" s="140">
        <f t="shared" si="140"/>
        <v>0</v>
      </c>
      <c r="P284" s="140">
        <f t="shared" si="140"/>
        <v>0</v>
      </c>
      <c r="Q284" s="140">
        <f t="shared" si="140"/>
        <v>0</v>
      </c>
      <c r="R284" s="140">
        <f t="shared" si="140"/>
        <v>0</v>
      </c>
    </row>
    <row r="285" spans="2:18" x14ac:dyDescent="0.5">
      <c r="B285" s="167" t="s">
        <v>312</v>
      </c>
      <c r="C285" s="167"/>
      <c r="D285" s="167"/>
      <c r="E285" s="167"/>
      <c r="F285" s="167"/>
      <c r="G285" s="167"/>
      <c r="H285" s="194">
        <f t="shared" ref="H285:R285" ca="1" si="141">SUM(H283:H284)</f>
        <v>4463.6678906295874</v>
      </c>
      <c r="I285" s="191">
        <f t="shared" ca="1" si="141"/>
        <v>4437.2088607785954</v>
      </c>
      <c r="J285" s="191">
        <f t="shared" ca="1" si="141"/>
        <v>4457.4972571714306</v>
      </c>
      <c r="K285" s="191">
        <f t="shared" ca="1" si="141"/>
        <v>4515.2340592000382</v>
      </c>
      <c r="L285" s="191">
        <f t="shared" ca="1" si="141"/>
        <v>4605.3669381770587</v>
      </c>
      <c r="M285" s="191">
        <f t="shared" ca="1" si="141"/>
        <v>4734.6017732544087</v>
      </c>
      <c r="N285" s="191">
        <f t="shared" ca="1" si="141"/>
        <v>4903.8973428904064</v>
      </c>
      <c r="O285" s="191">
        <f t="shared" ca="1" si="141"/>
        <v>5119.2215264127344</v>
      </c>
      <c r="P285" s="191">
        <f t="shared" ca="1" si="141"/>
        <v>5387.9246449059492</v>
      </c>
      <c r="Q285" s="191">
        <f t="shared" ca="1" si="141"/>
        <v>5714.9750566180919</v>
      </c>
      <c r="R285" s="191">
        <f t="shared" ca="1" si="141"/>
        <v>6105.0859419622866</v>
      </c>
    </row>
    <row r="286" spans="2:18" x14ac:dyDescent="0.5">
      <c r="H286" s="122"/>
    </row>
    <row r="287" spans="2:18" ht="13.2" thickBot="1" x14ac:dyDescent="0.55000000000000004">
      <c r="B287" s="170" t="s">
        <v>313</v>
      </c>
      <c r="C287" s="170"/>
      <c r="D287" s="170"/>
      <c r="E287" s="170"/>
      <c r="F287" s="170"/>
      <c r="G287" s="170"/>
      <c r="H287" s="198">
        <f t="shared" ref="H287:R287" ca="1" si="142">H278+H280+H285</f>
        <v>8048.6701278371966</v>
      </c>
      <c r="I287" s="193">
        <f t="shared" ca="1" si="142"/>
        <v>7967.0618963656125</v>
      </c>
      <c r="J287" s="193">
        <f t="shared" ca="1" si="142"/>
        <v>7872.4907526800234</v>
      </c>
      <c r="K287" s="193">
        <f t="shared" ca="1" si="142"/>
        <v>7769.8274680868944</v>
      </c>
      <c r="L287" s="193">
        <f t="shared" ca="1" si="142"/>
        <v>7659.3446874813053</v>
      </c>
      <c r="M287" s="193">
        <f t="shared" ca="1" si="142"/>
        <v>7519.1753814069471</v>
      </c>
      <c r="N287" s="193">
        <f t="shared" ca="1" si="142"/>
        <v>7384.8067113027264</v>
      </c>
      <c r="O287" s="193">
        <f t="shared" ca="1" si="142"/>
        <v>7257.8571639107686</v>
      </c>
      <c r="P287" s="193">
        <f t="shared" ca="1" si="142"/>
        <v>7141.3864270800632</v>
      </c>
      <c r="Q287" s="193">
        <f t="shared" ca="1" si="142"/>
        <v>7036.8234988570966</v>
      </c>
      <c r="R287" s="193">
        <f t="shared" ca="1" si="142"/>
        <v>7193.5430207066156</v>
      </c>
    </row>
    <row r="288" spans="2:18" x14ac:dyDescent="0.5">
      <c r="B288" s="140" t="s">
        <v>309</v>
      </c>
      <c r="H288" s="185">
        <f t="shared" ref="H288:R288" ca="1" si="143">ROUND(H261-H287,3)</f>
        <v>0</v>
      </c>
      <c r="I288" s="185">
        <f t="shared" ca="1" si="143"/>
        <v>0</v>
      </c>
      <c r="J288" s="185">
        <f t="shared" ca="1" si="143"/>
        <v>0</v>
      </c>
      <c r="K288" s="185">
        <f t="shared" ca="1" si="143"/>
        <v>0</v>
      </c>
      <c r="L288" s="185">
        <f t="shared" ca="1" si="143"/>
        <v>0</v>
      </c>
      <c r="M288" s="185">
        <f t="shared" ca="1" si="143"/>
        <v>0</v>
      </c>
      <c r="N288" s="185">
        <f t="shared" ca="1" si="143"/>
        <v>0</v>
      </c>
      <c r="O288" s="185">
        <f t="shared" ca="1" si="143"/>
        <v>0</v>
      </c>
      <c r="P288" s="185">
        <f t="shared" ca="1" si="143"/>
        <v>0</v>
      </c>
      <c r="Q288" s="185">
        <f t="shared" ca="1" si="143"/>
        <v>0</v>
      </c>
      <c r="R288" s="185">
        <f t="shared" ca="1" si="143"/>
        <v>0</v>
      </c>
    </row>
    <row r="290" spans="1:18" ht="15.6" x14ac:dyDescent="0.6">
      <c r="A290" s="138" t="s">
        <v>31</v>
      </c>
      <c r="B290" s="161" t="s">
        <v>662</v>
      </c>
      <c r="C290" s="171"/>
      <c r="D290" s="171"/>
      <c r="E290" s="171"/>
      <c r="F290" s="171"/>
      <c r="G290" s="171"/>
      <c r="H290" s="171"/>
      <c r="I290" s="171"/>
      <c r="J290" s="171"/>
      <c r="K290" s="171"/>
      <c r="L290" s="171"/>
      <c r="M290" s="171"/>
      <c r="N290" s="171"/>
      <c r="O290" s="171"/>
      <c r="P290" s="171"/>
      <c r="Q290" s="171"/>
      <c r="R290" s="171"/>
    </row>
    <row r="291" spans="1:18" x14ac:dyDescent="0.5">
      <c r="B291" s="128" t="str">
        <f>$B$12</f>
        <v>($ in millions)</v>
      </c>
    </row>
    <row r="292" spans="1:18" x14ac:dyDescent="0.5">
      <c r="I292" s="225"/>
      <c r="J292" s="225"/>
      <c r="K292" s="225"/>
      <c r="L292" s="225"/>
      <c r="M292" s="225"/>
      <c r="N292" s="225"/>
      <c r="O292" s="225"/>
      <c r="P292" s="225"/>
      <c r="Q292" s="225"/>
      <c r="R292" s="225"/>
    </row>
    <row r="293" spans="1:18" x14ac:dyDescent="0.5">
      <c r="B293" s="172" t="str">
        <f>$B$138</f>
        <v>Base Case</v>
      </c>
    </row>
    <row r="294" spans="1:18" ht="13.2" thickBot="1" x14ac:dyDescent="0.55000000000000004">
      <c r="B294" s="163"/>
      <c r="C294" s="163"/>
      <c r="D294" s="163"/>
      <c r="E294" s="163"/>
      <c r="F294" s="163"/>
      <c r="G294" s="163"/>
      <c r="H294" s="163"/>
      <c r="I294" s="163"/>
      <c r="J294" s="163"/>
      <c r="K294" s="163"/>
      <c r="L294" s="163"/>
      <c r="M294" s="163"/>
      <c r="N294" s="163"/>
      <c r="O294" s="163"/>
      <c r="P294" s="163"/>
      <c r="Q294" s="163"/>
      <c r="R294" s="163"/>
    </row>
    <row r="295" spans="1:18" x14ac:dyDescent="0.5">
      <c r="B295" s="128" t="str">
        <f>$B$140</f>
        <v>For the FYE December 27</v>
      </c>
      <c r="F295" s="164" t="s">
        <v>109</v>
      </c>
      <c r="G295" s="164"/>
      <c r="H295" s="173"/>
      <c r="I295" s="164" t="s">
        <v>224</v>
      </c>
      <c r="J295" s="164"/>
      <c r="K295" s="164"/>
      <c r="L295" s="164"/>
      <c r="M295" s="164"/>
      <c r="N295" s="164"/>
      <c r="O295" s="164"/>
      <c r="P295" s="174"/>
      <c r="Q295" s="174"/>
      <c r="R295" s="174"/>
    </row>
    <row r="296" spans="1:18" x14ac:dyDescent="0.5">
      <c r="B296" s="150"/>
      <c r="C296" s="150"/>
      <c r="D296" s="150"/>
      <c r="E296" s="150"/>
      <c r="F296" s="123">
        <f>F$141</f>
        <v>42003</v>
      </c>
      <c r="G296" s="123">
        <f>G$141</f>
        <v>42367</v>
      </c>
      <c r="H296" s="124">
        <f>H$141</f>
        <v>42731</v>
      </c>
      <c r="I296" s="123">
        <f t="shared" ref="I296:R296" si="144">DATE(YEAR(H296)+1,MONTH(H296),DAY(H296))</f>
        <v>43096</v>
      </c>
      <c r="J296" s="123">
        <f t="shared" si="144"/>
        <v>43461</v>
      </c>
      <c r="K296" s="123">
        <f t="shared" si="144"/>
        <v>43826</v>
      </c>
      <c r="L296" s="123">
        <f t="shared" si="144"/>
        <v>44192</v>
      </c>
      <c r="M296" s="123">
        <f t="shared" si="144"/>
        <v>44557</v>
      </c>
      <c r="N296" s="123">
        <f t="shared" si="144"/>
        <v>44922</v>
      </c>
      <c r="O296" s="123">
        <f t="shared" si="144"/>
        <v>45287</v>
      </c>
      <c r="P296" s="123">
        <f t="shared" si="144"/>
        <v>45653</v>
      </c>
      <c r="Q296" s="123">
        <f t="shared" si="144"/>
        <v>46018</v>
      </c>
      <c r="R296" s="123">
        <f t="shared" si="144"/>
        <v>46383</v>
      </c>
    </row>
    <row r="297" spans="1:18" x14ac:dyDescent="0.5">
      <c r="B297" s="166" t="s">
        <v>291</v>
      </c>
      <c r="H297" s="147"/>
    </row>
    <row r="298" spans="1:18" x14ac:dyDescent="0.5">
      <c r="B298" s="154" t="s">
        <v>293</v>
      </c>
      <c r="G298" s="178" t="s">
        <v>294</v>
      </c>
      <c r="H298" s="212" t="s">
        <v>295</v>
      </c>
    </row>
    <row r="299" spans="1:18" x14ac:dyDescent="0.5">
      <c r="B299" s="175" t="s">
        <v>229</v>
      </c>
      <c r="G299" s="178"/>
      <c r="H299" s="120">
        <f>M22</f>
        <v>6.3899999999999998E-2</v>
      </c>
      <c r="I299" s="125">
        <f t="shared" ref="I299:R299" si="145">H299</f>
        <v>6.3899999999999998E-2</v>
      </c>
      <c r="J299" s="125">
        <f t="shared" si="145"/>
        <v>6.3899999999999998E-2</v>
      </c>
      <c r="K299" s="125">
        <f t="shared" si="145"/>
        <v>6.3899999999999998E-2</v>
      </c>
      <c r="L299" s="125">
        <f t="shared" si="145"/>
        <v>6.3899999999999998E-2</v>
      </c>
      <c r="M299" s="125">
        <f t="shared" si="145"/>
        <v>6.3899999999999998E-2</v>
      </c>
      <c r="N299" s="125">
        <f t="shared" si="145"/>
        <v>6.3899999999999998E-2</v>
      </c>
      <c r="O299" s="125">
        <f t="shared" si="145"/>
        <v>6.3899999999999998E-2</v>
      </c>
      <c r="P299" s="125">
        <f t="shared" si="145"/>
        <v>6.3899999999999998E-2</v>
      </c>
      <c r="Q299" s="125">
        <f t="shared" si="145"/>
        <v>6.3899999999999998E-2</v>
      </c>
      <c r="R299" s="125">
        <f t="shared" si="145"/>
        <v>6.3899999999999998E-2</v>
      </c>
    </row>
    <row r="300" spans="1:18" x14ac:dyDescent="0.5">
      <c r="B300" s="175" t="s">
        <v>175</v>
      </c>
      <c r="H300" s="120">
        <f>M15</f>
        <v>3.7069000000000005E-2</v>
      </c>
      <c r="I300" s="125">
        <f t="shared" ref="I300:R300" si="146">H300</f>
        <v>3.7069000000000005E-2</v>
      </c>
      <c r="J300" s="125">
        <f t="shared" si="146"/>
        <v>3.7069000000000005E-2</v>
      </c>
      <c r="K300" s="125">
        <f t="shared" si="146"/>
        <v>3.7069000000000005E-2</v>
      </c>
      <c r="L300" s="125">
        <f t="shared" si="146"/>
        <v>3.7069000000000005E-2</v>
      </c>
      <c r="M300" s="125">
        <f t="shared" si="146"/>
        <v>3.7069000000000005E-2</v>
      </c>
      <c r="N300" s="125">
        <f t="shared" si="146"/>
        <v>3.7069000000000005E-2</v>
      </c>
      <c r="O300" s="125">
        <f t="shared" si="146"/>
        <v>3.7069000000000005E-2</v>
      </c>
      <c r="P300" s="125">
        <f t="shared" si="146"/>
        <v>3.7069000000000005E-2</v>
      </c>
      <c r="Q300" s="125">
        <f t="shared" si="146"/>
        <v>3.7069000000000005E-2</v>
      </c>
      <c r="R300" s="125">
        <f t="shared" si="146"/>
        <v>3.7069000000000005E-2</v>
      </c>
    </row>
    <row r="301" spans="1:18" x14ac:dyDescent="0.5">
      <c r="B301" s="175" t="s">
        <v>176</v>
      </c>
      <c r="H301" s="120">
        <f>M16</f>
        <v>6.3E-2</v>
      </c>
      <c r="I301" s="125">
        <f t="shared" ref="I301:R301" si="147">H301</f>
        <v>6.3E-2</v>
      </c>
      <c r="J301" s="125">
        <f t="shared" si="147"/>
        <v>6.3E-2</v>
      </c>
      <c r="K301" s="125">
        <f t="shared" si="147"/>
        <v>6.3E-2</v>
      </c>
      <c r="L301" s="125">
        <f t="shared" si="147"/>
        <v>6.3E-2</v>
      </c>
      <c r="M301" s="125">
        <f t="shared" si="147"/>
        <v>6.3E-2</v>
      </c>
      <c r="N301" s="125">
        <f t="shared" si="147"/>
        <v>6.3E-2</v>
      </c>
      <c r="O301" s="125">
        <f t="shared" si="147"/>
        <v>6.3E-2</v>
      </c>
      <c r="P301" s="125">
        <f t="shared" si="147"/>
        <v>6.3E-2</v>
      </c>
      <c r="Q301" s="125">
        <f t="shared" si="147"/>
        <v>6.3E-2</v>
      </c>
      <c r="R301" s="125">
        <f t="shared" si="147"/>
        <v>6.3E-2</v>
      </c>
    </row>
    <row r="302" spans="1:18" x14ac:dyDescent="0.5">
      <c r="B302" s="175" t="s">
        <v>177</v>
      </c>
      <c r="H302" s="120">
        <f>M17</f>
        <v>9.5000000000000001E-2</v>
      </c>
      <c r="I302" s="125">
        <f t="shared" ref="I302:R302" si="148">H302</f>
        <v>9.5000000000000001E-2</v>
      </c>
      <c r="J302" s="125">
        <f t="shared" si="148"/>
        <v>9.5000000000000001E-2</v>
      </c>
      <c r="K302" s="125">
        <f t="shared" si="148"/>
        <v>9.5000000000000001E-2</v>
      </c>
      <c r="L302" s="125">
        <f t="shared" si="148"/>
        <v>9.5000000000000001E-2</v>
      </c>
      <c r="M302" s="125">
        <f t="shared" si="148"/>
        <v>9.5000000000000001E-2</v>
      </c>
      <c r="N302" s="125">
        <f t="shared" si="148"/>
        <v>9.5000000000000001E-2</v>
      </c>
      <c r="O302" s="125">
        <f t="shared" si="148"/>
        <v>9.5000000000000001E-2</v>
      </c>
      <c r="P302" s="125">
        <f t="shared" si="148"/>
        <v>9.5000000000000001E-2</v>
      </c>
      <c r="Q302" s="125">
        <f t="shared" si="148"/>
        <v>9.5000000000000001E-2</v>
      </c>
      <c r="R302" s="125">
        <f t="shared" si="148"/>
        <v>9.5000000000000001E-2</v>
      </c>
    </row>
    <row r="303" spans="1:18" x14ac:dyDescent="0.5">
      <c r="B303" s="175"/>
      <c r="H303" s="122"/>
    </row>
    <row r="304" spans="1:18" x14ac:dyDescent="0.5">
      <c r="B304" s="199" t="s">
        <v>275</v>
      </c>
      <c r="H304" s="122"/>
    </row>
    <row r="305" spans="1:18" x14ac:dyDescent="0.5">
      <c r="B305" s="175" t="s">
        <v>229</v>
      </c>
      <c r="H305" s="122"/>
      <c r="I305" s="140">
        <f t="shared" ref="I305:R305" ca="1" si="149">I299*AVERAGE(H269:I269)</f>
        <v>0</v>
      </c>
      <c r="J305" s="140">
        <f t="shared" ca="1" si="149"/>
        <v>0</v>
      </c>
      <c r="K305" s="140">
        <f t="shared" ca="1" si="149"/>
        <v>0</v>
      </c>
      <c r="L305" s="140">
        <f t="shared" ca="1" si="149"/>
        <v>0</v>
      </c>
      <c r="M305" s="140">
        <f t="shared" ca="1" si="149"/>
        <v>0</v>
      </c>
      <c r="N305" s="140">
        <f t="shared" ca="1" si="149"/>
        <v>0</v>
      </c>
      <c r="O305" s="140">
        <f t="shared" ca="1" si="149"/>
        <v>0</v>
      </c>
      <c r="P305" s="140">
        <f t="shared" ca="1" si="149"/>
        <v>0</v>
      </c>
      <c r="Q305" s="140">
        <f t="shared" ca="1" si="149"/>
        <v>0</v>
      </c>
      <c r="R305" s="140">
        <f t="shared" ca="1" si="149"/>
        <v>0</v>
      </c>
    </row>
    <row r="306" spans="1:18" x14ac:dyDescent="0.5">
      <c r="B306" s="175" t="s">
        <v>175</v>
      </c>
      <c r="H306" s="122"/>
      <c r="I306" s="140">
        <f t="shared" ref="I306:R306" ca="1" si="150">I300*AVERAGE(H270:I270)</f>
        <v>27.242869609160262</v>
      </c>
      <c r="J306" s="140">
        <f t="shared" ca="1" si="150"/>
        <v>23.965300508200173</v>
      </c>
      <c r="K306" s="140">
        <f t="shared" ca="1" si="150"/>
        <v>17.586924981216292</v>
      </c>
      <c r="L306" s="140">
        <f t="shared" ca="1" si="150"/>
        <v>8.8271578150630781</v>
      </c>
      <c r="M306" s="140">
        <f t="shared" ca="1" si="150"/>
        <v>1.8635449348684729</v>
      </c>
      <c r="N306" s="140">
        <f t="shared" ca="1" si="150"/>
        <v>3.9476002513083592E-11</v>
      </c>
      <c r="O306" s="140">
        <f t="shared" ca="1" si="150"/>
        <v>-1.9809928094502997E-9</v>
      </c>
      <c r="P306" s="140">
        <f t="shared" ca="1" si="150"/>
        <v>1.3474484304168756E-8</v>
      </c>
      <c r="Q306" s="140">
        <f t="shared" ca="1" si="150"/>
        <v>4.6837282943812406E-8</v>
      </c>
      <c r="R306" s="140">
        <f t="shared" ca="1" si="150"/>
        <v>2.7041013046789432E-7</v>
      </c>
    </row>
    <row r="307" spans="1:18" x14ac:dyDescent="0.5">
      <c r="B307" s="175" t="s">
        <v>176</v>
      </c>
      <c r="H307" s="122"/>
      <c r="I307" s="140">
        <f t="shared" ref="I307:R307" ca="1" si="151">I301*AVERAGE(H271:I271)</f>
        <v>141.75005686238521</v>
      </c>
      <c r="J307" s="140">
        <f t="shared" ca="1" si="151"/>
        <v>141.75005686238521</v>
      </c>
      <c r="K307" s="140">
        <f t="shared" ca="1" si="151"/>
        <v>141.75005686238521</v>
      </c>
      <c r="L307" s="140">
        <f t="shared" ca="1" si="151"/>
        <v>141.75005686238521</v>
      </c>
      <c r="M307" s="140">
        <f t="shared" ca="1" si="151"/>
        <v>134.97881420319749</v>
      </c>
      <c r="N307" s="140">
        <f t="shared" ca="1" si="151"/>
        <v>116.98053172143383</v>
      </c>
      <c r="O307" s="140">
        <f t="shared" ca="1" si="151"/>
        <v>93.104695804670214</v>
      </c>
      <c r="P307" s="140">
        <f t="shared" ca="1" si="151"/>
        <v>66.224795963681132</v>
      </c>
      <c r="Q307" s="140">
        <f t="shared" ca="1" si="151"/>
        <v>36.024879856892149</v>
      </c>
      <c r="R307" s="140">
        <f t="shared" ca="1" si="151"/>
        <v>10.02803333012273</v>
      </c>
    </row>
    <row r="308" spans="1:18" x14ac:dyDescent="0.5">
      <c r="B308" s="175" t="s">
        <v>177</v>
      </c>
      <c r="H308" s="122"/>
      <c r="I308" s="140">
        <f t="shared" ref="I308:R308" ca="1" si="152">I302*AVERAGE(H272:I272)</f>
        <v>0</v>
      </c>
      <c r="J308" s="140">
        <f t="shared" ca="1" si="152"/>
        <v>0</v>
      </c>
      <c r="K308" s="140">
        <f t="shared" ca="1" si="152"/>
        <v>0</v>
      </c>
      <c r="L308" s="140">
        <f t="shared" ca="1" si="152"/>
        <v>0</v>
      </c>
      <c r="M308" s="140">
        <f t="shared" ca="1" si="152"/>
        <v>0</v>
      </c>
      <c r="N308" s="140">
        <f t="shared" ca="1" si="152"/>
        <v>0</v>
      </c>
      <c r="O308" s="140">
        <f t="shared" ca="1" si="152"/>
        <v>0</v>
      </c>
      <c r="P308" s="140">
        <f t="shared" ca="1" si="152"/>
        <v>0</v>
      </c>
      <c r="Q308" s="140">
        <f t="shared" ca="1" si="152"/>
        <v>0</v>
      </c>
      <c r="R308" s="140">
        <f t="shared" ca="1" si="152"/>
        <v>0</v>
      </c>
    </row>
    <row r="309" spans="1:18" s="148" customFormat="1" x14ac:dyDescent="0.5">
      <c r="A309" s="141"/>
      <c r="B309" s="200" t="s">
        <v>276</v>
      </c>
      <c r="C309" s="201"/>
      <c r="D309" s="201"/>
      <c r="E309" s="201"/>
      <c r="F309" s="201"/>
      <c r="G309" s="201"/>
      <c r="H309" s="211"/>
      <c r="I309" s="202">
        <f t="shared" ref="I309:R309" ca="1" si="153">SUM(I305:I308)</f>
        <v>168.99292647154547</v>
      </c>
      <c r="J309" s="202">
        <f t="shared" ca="1" si="153"/>
        <v>165.71535737058537</v>
      </c>
      <c r="K309" s="202">
        <f t="shared" ca="1" si="153"/>
        <v>159.33698184360151</v>
      </c>
      <c r="L309" s="202">
        <f t="shared" ca="1" si="153"/>
        <v>150.5772146774483</v>
      </c>
      <c r="M309" s="202">
        <f t="shared" ca="1" si="153"/>
        <v>136.84235913806597</v>
      </c>
      <c r="N309" s="202">
        <f t="shared" ca="1" si="153"/>
        <v>116.98053172147331</v>
      </c>
      <c r="O309" s="202">
        <f t="shared" ca="1" si="153"/>
        <v>93.104695802689221</v>
      </c>
      <c r="P309" s="202">
        <f t="shared" ca="1" si="153"/>
        <v>66.224795977155622</v>
      </c>
      <c r="Q309" s="202">
        <f t="shared" ca="1" si="153"/>
        <v>36.024879903729435</v>
      </c>
      <c r="R309" s="202">
        <f t="shared" ca="1" si="153"/>
        <v>10.02803360053286</v>
      </c>
    </row>
    <row r="310" spans="1:18" s="148" customFormat="1" x14ac:dyDescent="0.5">
      <c r="A310" s="141"/>
      <c r="B310" s="203"/>
      <c r="H310" s="210"/>
      <c r="I310" s="192"/>
      <c r="J310" s="192"/>
      <c r="K310" s="192"/>
      <c r="L310" s="192"/>
      <c r="M310" s="192"/>
      <c r="N310" s="192"/>
      <c r="O310" s="192"/>
      <c r="P310" s="192"/>
      <c r="Q310" s="192"/>
      <c r="R310" s="192"/>
    </row>
    <row r="311" spans="1:18" x14ac:dyDescent="0.5">
      <c r="B311" s="140" t="s">
        <v>292</v>
      </c>
      <c r="H311" s="120">
        <f>M14</f>
        <v>0.03</v>
      </c>
      <c r="I311" s="125">
        <f t="shared" ref="I311:R311" si="154">H311</f>
        <v>0.03</v>
      </c>
      <c r="J311" s="125">
        <f t="shared" si="154"/>
        <v>0.03</v>
      </c>
      <c r="K311" s="125">
        <f t="shared" si="154"/>
        <v>0.03</v>
      </c>
      <c r="L311" s="125">
        <f t="shared" si="154"/>
        <v>0.03</v>
      </c>
      <c r="M311" s="125">
        <f t="shared" si="154"/>
        <v>0.03</v>
      </c>
      <c r="N311" s="125">
        <f t="shared" si="154"/>
        <v>0.03</v>
      </c>
      <c r="O311" s="125">
        <f t="shared" si="154"/>
        <v>0.03</v>
      </c>
      <c r="P311" s="125">
        <f t="shared" si="154"/>
        <v>0.03</v>
      </c>
      <c r="Q311" s="125">
        <f t="shared" si="154"/>
        <v>0.03</v>
      </c>
      <c r="R311" s="125">
        <f t="shared" si="154"/>
        <v>0.03</v>
      </c>
    </row>
    <row r="312" spans="1:18" x14ac:dyDescent="0.5">
      <c r="B312" s="181" t="s">
        <v>314</v>
      </c>
      <c r="H312" s="122"/>
      <c r="I312" s="140">
        <f t="shared" ref="I312:R312" ca="1" si="155">I311*AVERAGE(H245:I245)</f>
        <v>0.64024649999999994</v>
      </c>
      <c r="J312" s="140">
        <f t="shared" ca="1" si="155"/>
        <v>0.64024650000000005</v>
      </c>
      <c r="K312" s="140">
        <f t="shared" ca="1" si="155"/>
        <v>0.64024650000000005</v>
      </c>
      <c r="L312" s="140">
        <f t="shared" ca="1" si="155"/>
        <v>0.64024650000000005</v>
      </c>
      <c r="M312" s="140">
        <f t="shared" ca="1" si="155"/>
        <v>0.64024650000000005</v>
      </c>
      <c r="N312" s="140">
        <f t="shared" ca="1" si="155"/>
        <v>0.64024650000000005</v>
      </c>
      <c r="O312" s="140">
        <f t="shared" ca="1" si="155"/>
        <v>0.64024650000000005</v>
      </c>
      <c r="P312" s="140">
        <f t="shared" ca="1" si="155"/>
        <v>0.64024650000000005</v>
      </c>
      <c r="Q312" s="140">
        <f t="shared" ca="1" si="155"/>
        <v>0.64024650000000005</v>
      </c>
      <c r="R312" s="140">
        <f t="shared" ca="1" si="155"/>
        <v>4.384466548597306</v>
      </c>
    </row>
    <row r="313" spans="1:18" s="148" customFormat="1" x14ac:dyDescent="0.5">
      <c r="A313" s="141"/>
      <c r="B313" s="203"/>
      <c r="H313" s="210"/>
      <c r="I313" s="192"/>
      <c r="J313" s="192"/>
      <c r="K313" s="192"/>
      <c r="L313" s="192"/>
      <c r="M313" s="192"/>
      <c r="N313" s="192"/>
      <c r="O313" s="192"/>
      <c r="P313" s="192"/>
      <c r="Q313" s="192"/>
      <c r="R313" s="192"/>
    </row>
    <row r="314" spans="1:18" x14ac:dyDescent="0.5">
      <c r="B314" s="166" t="s">
        <v>296</v>
      </c>
      <c r="H314" s="122"/>
    </row>
    <row r="315" spans="1:18" x14ac:dyDescent="0.5">
      <c r="B315" s="140" t="s">
        <v>205</v>
      </c>
      <c r="G315" s="140">
        <f t="shared" ref="G315:R315" si="156">G296-F296</f>
        <v>364</v>
      </c>
      <c r="H315" s="122">
        <f t="shared" si="156"/>
        <v>364</v>
      </c>
      <c r="I315" s="140">
        <f t="shared" si="156"/>
        <v>365</v>
      </c>
      <c r="J315" s="140">
        <f t="shared" si="156"/>
        <v>365</v>
      </c>
      <c r="K315" s="140">
        <f t="shared" si="156"/>
        <v>365</v>
      </c>
      <c r="L315" s="140">
        <f t="shared" si="156"/>
        <v>366</v>
      </c>
      <c r="M315" s="140">
        <f t="shared" si="156"/>
        <v>365</v>
      </c>
      <c r="N315" s="140">
        <f t="shared" si="156"/>
        <v>365</v>
      </c>
      <c r="O315" s="140">
        <f t="shared" si="156"/>
        <v>365</v>
      </c>
      <c r="P315" s="140">
        <f t="shared" si="156"/>
        <v>366</v>
      </c>
      <c r="Q315" s="140">
        <f t="shared" si="156"/>
        <v>365</v>
      </c>
      <c r="R315" s="140">
        <f t="shared" si="156"/>
        <v>365</v>
      </c>
    </row>
    <row r="316" spans="1:18" x14ac:dyDescent="0.5">
      <c r="B316" s="166"/>
      <c r="H316" s="122"/>
    </row>
    <row r="317" spans="1:18" x14ac:dyDescent="0.5">
      <c r="B317" s="140" t="s">
        <v>298</v>
      </c>
      <c r="G317" s="140">
        <f>F83</f>
        <v>115.786</v>
      </c>
      <c r="H317" s="122">
        <f>H83</f>
        <v>112.923</v>
      </c>
      <c r="I317" s="140">
        <f t="shared" ref="I317:R317" ca="1" si="157">I318/I315*I146</f>
        <v>116.18390176125247</v>
      </c>
      <c r="J317" s="140">
        <f t="shared" ca="1" si="157"/>
        <v>125.85986845401179</v>
      </c>
      <c r="K317" s="140">
        <f t="shared" ca="1" si="157"/>
        <v>137.75029589041102</v>
      </c>
      <c r="L317" s="140">
        <f t="shared" ca="1" si="157"/>
        <v>158.23681939890716</v>
      </c>
      <c r="M317" s="140">
        <f t="shared" ca="1" si="157"/>
        <v>172.26881972602746</v>
      </c>
      <c r="N317" s="140">
        <f t="shared" ca="1" si="157"/>
        <v>187.52531661158829</v>
      </c>
      <c r="O317" s="140">
        <f t="shared" ca="1" si="157"/>
        <v>204.66918330417391</v>
      </c>
      <c r="P317" s="140">
        <f t="shared" ca="1" si="157"/>
        <v>223.35368591942904</v>
      </c>
      <c r="Q317" s="140">
        <f t="shared" ca="1" si="157"/>
        <v>245.72175388024931</v>
      </c>
      <c r="R317" s="140">
        <f t="shared" ca="1" si="157"/>
        <v>270.29392926827427</v>
      </c>
    </row>
    <row r="318" spans="1:18" s="128" customFormat="1" x14ac:dyDescent="0.5">
      <c r="A318" s="179"/>
      <c r="B318" s="180" t="s">
        <v>206</v>
      </c>
      <c r="G318" s="128">
        <f>G317/G$146*G315</f>
        <v>15.716892279924522</v>
      </c>
      <c r="H318" s="209">
        <f>AVERAGE(G317:H317)/H$146*H315</f>
        <v>14.890734483689963</v>
      </c>
      <c r="I318" s="129">
        <v>14.9</v>
      </c>
      <c r="J318" s="128">
        <f t="shared" ref="J318:R318" si="158">I318</f>
        <v>14.9</v>
      </c>
      <c r="K318" s="128">
        <f t="shared" si="158"/>
        <v>14.9</v>
      </c>
      <c r="L318" s="128">
        <f t="shared" si="158"/>
        <v>14.9</v>
      </c>
      <c r="M318" s="128">
        <f t="shared" si="158"/>
        <v>14.9</v>
      </c>
      <c r="N318" s="128">
        <f t="shared" si="158"/>
        <v>14.9</v>
      </c>
      <c r="O318" s="128">
        <f t="shared" si="158"/>
        <v>14.9</v>
      </c>
      <c r="P318" s="128">
        <f t="shared" si="158"/>
        <v>14.9</v>
      </c>
      <c r="Q318" s="128">
        <f t="shared" si="158"/>
        <v>14.9</v>
      </c>
      <c r="R318" s="128">
        <f t="shared" si="158"/>
        <v>14.9</v>
      </c>
    </row>
    <row r="319" spans="1:18" x14ac:dyDescent="0.5">
      <c r="B319" s="140" t="s">
        <v>40</v>
      </c>
      <c r="G319" s="140">
        <f>F84</f>
        <v>22.481999999999999</v>
      </c>
      <c r="H319" s="122">
        <f>H84</f>
        <v>23.774999999999999</v>
      </c>
      <c r="I319" s="140">
        <f t="shared" ref="I319:R319" ca="1" si="159">I320/I315*I155</f>
        <v>23.084969570254412</v>
      </c>
      <c r="J319" s="140">
        <f t="shared" ca="1" si="159"/>
        <v>24.884866317495113</v>
      </c>
      <c r="K319" s="140">
        <f t="shared" ca="1" si="159"/>
        <v>26.970716339726035</v>
      </c>
      <c r="L319" s="140">
        <f t="shared" ca="1" si="159"/>
        <v>31.134627150819679</v>
      </c>
      <c r="M319" s="140">
        <f t="shared" ca="1" si="159"/>
        <v>33.829239434520559</v>
      </c>
      <c r="N319" s="140">
        <f t="shared" ca="1" si="159"/>
        <v>36.825229578845416</v>
      </c>
      <c r="O319" s="140">
        <f t="shared" ca="1" si="159"/>
        <v>40.191851420797676</v>
      </c>
      <c r="P319" s="140">
        <f t="shared" ca="1" si="159"/>
        <v>43.861015194553381</v>
      </c>
      <c r="Q319" s="140">
        <f t="shared" ca="1" si="159"/>
        <v>48.253538043073782</v>
      </c>
      <c r="R319" s="140">
        <f t="shared" ca="1" si="159"/>
        <v>53.078891847381151</v>
      </c>
    </row>
    <row r="320" spans="1:18" s="128" customFormat="1" x14ac:dyDescent="0.5">
      <c r="A320" s="179"/>
      <c r="B320" s="180" t="s">
        <v>303</v>
      </c>
      <c r="G320" s="128">
        <f>G319/G155*G315</f>
        <v>3.8321226024789654</v>
      </c>
      <c r="H320" s="209">
        <f>AVERAGE(G319:H319)/H155*H315</f>
        <v>3.8173456062392308</v>
      </c>
      <c r="I320" s="129">
        <v>3.8</v>
      </c>
      <c r="J320" s="128">
        <f t="shared" ref="J320:R320" si="160">I320</f>
        <v>3.8</v>
      </c>
      <c r="K320" s="128">
        <f t="shared" si="160"/>
        <v>3.8</v>
      </c>
      <c r="L320" s="128">
        <f t="shared" si="160"/>
        <v>3.8</v>
      </c>
      <c r="M320" s="128">
        <f t="shared" si="160"/>
        <v>3.8</v>
      </c>
      <c r="N320" s="128">
        <f t="shared" si="160"/>
        <v>3.8</v>
      </c>
      <c r="O320" s="128">
        <f t="shared" si="160"/>
        <v>3.8</v>
      </c>
      <c r="P320" s="128">
        <f t="shared" si="160"/>
        <v>3.8</v>
      </c>
      <c r="Q320" s="128">
        <f t="shared" si="160"/>
        <v>3.8</v>
      </c>
      <c r="R320" s="128">
        <f t="shared" si="160"/>
        <v>3.8</v>
      </c>
    </row>
    <row r="321" spans="1:20" x14ac:dyDescent="0.5">
      <c r="B321" s="181" t="s">
        <v>299</v>
      </c>
      <c r="G321" s="140">
        <f>F85</f>
        <v>59.457000000000001</v>
      </c>
      <c r="H321" s="122">
        <f>H85</f>
        <v>69.194000000000003</v>
      </c>
      <c r="I321" s="140">
        <f t="shared" ref="I321:R321" ca="1" si="161">I322*(I158+I159)</f>
        <v>63.866836628571455</v>
      </c>
      <c r="J321" s="140">
        <f t="shared" ca="1" si="161"/>
        <v>69.185760977142891</v>
      </c>
      <c r="K321" s="140">
        <f t="shared" ca="1" si="161"/>
        <v>75.721984800000044</v>
      </c>
      <c r="L321" s="140">
        <f t="shared" ca="1" si="161"/>
        <v>87.221834040000047</v>
      </c>
      <c r="M321" s="140">
        <f t="shared" ca="1" si="161"/>
        <v>94.696979520000056</v>
      </c>
      <c r="N321" s="140">
        <f t="shared" ca="1" si="161"/>
        <v>103.08354753281041</v>
      </c>
      <c r="O321" s="140">
        <f t="shared" ca="1" si="161"/>
        <v>112.50761159538034</v>
      </c>
      <c r="P321" s="140">
        <f t="shared" ca="1" si="161"/>
        <v>123.11495010763137</v>
      </c>
      <c r="Q321" s="140">
        <f t="shared" ca="1" si="161"/>
        <v>135.07440250547452</v>
      </c>
      <c r="R321" s="140">
        <f t="shared" ca="1" si="161"/>
        <v>148.58184275602196</v>
      </c>
    </row>
    <row r="322" spans="1:20" x14ac:dyDescent="0.5">
      <c r="B322" s="175" t="s">
        <v>300</v>
      </c>
      <c r="G322" s="121">
        <f>G321/(G158+G159)</f>
        <v>0.39118248866724126</v>
      </c>
      <c r="H322" s="119">
        <f>AVERAGE(G321:H321)/(H158+H159)</f>
        <v>0.34440101726676486</v>
      </c>
      <c r="I322" s="127">
        <v>0.34</v>
      </c>
      <c r="J322" s="121">
        <f t="shared" ref="J322:R322" si="162">I322</f>
        <v>0.34</v>
      </c>
      <c r="K322" s="121">
        <f t="shared" si="162"/>
        <v>0.34</v>
      </c>
      <c r="L322" s="121">
        <f t="shared" si="162"/>
        <v>0.34</v>
      </c>
      <c r="M322" s="121">
        <f t="shared" si="162"/>
        <v>0.34</v>
      </c>
      <c r="N322" s="121">
        <f t="shared" si="162"/>
        <v>0.34</v>
      </c>
      <c r="O322" s="121">
        <f t="shared" si="162"/>
        <v>0.34</v>
      </c>
      <c r="P322" s="121">
        <f t="shared" si="162"/>
        <v>0.34</v>
      </c>
      <c r="Q322" s="121">
        <f t="shared" si="162"/>
        <v>0.34</v>
      </c>
      <c r="R322" s="121">
        <f t="shared" si="162"/>
        <v>0.34</v>
      </c>
    </row>
    <row r="323" spans="1:20" x14ac:dyDescent="0.5">
      <c r="B323" s="181" t="s">
        <v>301</v>
      </c>
      <c r="G323" s="140">
        <f>F101</f>
        <v>19.805</v>
      </c>
      <c r="H323" s="122">
        <f>H101</f>
        <v>22.454999999999998</v>
      </c>
      <c r="I323" s="140">
        <f t="shared" ref="I323:R323" ca="1" si="163">I324/I315*I155</f>
        <v>21.26247197260275</v>
      </c>
      <c r="J323" s="140">
        <f t="shared" ca="1" si="163"/>
        <v>22.920271608219185</v>
      </c>
      <c r="K323" s="140">
        <f t="shared" ca="1" si="163"/>
        <v>24.841449260273983</v>
      </c>
      <c r="L323" s="140">
        <f t="shared" ca="1" si="163"/>
        <v>28.676630270491813</v>
      </c>
      <c r="M323" s="140">
        <f t="shared" ca="1" si="163"/>
        <v>31.15851000547946</v>
      </c>
      <c r="N323" s="140">
        <f t="shared" ca="1" si="163"/>
        <v>33.917974612094461</v>
      </c>
      <c r="O323" s="140">
        <f t="shared" ca="1" si="163"/>
        <v>37.018810519155757</v>
      </c>
      <c r="P323" s="140">
        <f t="shared" ca="1" si="163"/>
        <v>40.398303468667592</v>
      </c>
      <c r="Q323" s="140">
        <f t="shared" ca="1" si="163"/>
        <v>44.444048197567959</v>
      </c>
      <c r="R323" s="140">
        <f t="shared" ca="1" si="163"/>
        <v>48.88845301732475</v>
      </c>
    </row>
    <row r="324" spans="1:20" s="128" customFormat="1" x14ac:dyDescent="0.5">
      <c r="A324" s="179"/>
      <c r="B324" s="180" t="s">
        <v>207</v>
      </c>
      <c r="G324" s="128">
        <f>G323/G155*G315</f>
        <v>3.3758201290853096</v>
      </c>
      <c r="H324" s="209">
        <f>AVERAGE(G323:H323)/H155*H315</f>
        <v>3.4874943320939509</v>
      </c>
      <c r="I324" s="129">
        <v>3.5</v>
      </c>
      <c r="J324" s="128">
        <f t="shared" ref="J324:R324" si="164">I324</f>
        <v>3.5</v>
      </c>
      <c r="K324" s="128">
        <f t="shared" si="164"/>
        <v>3.5</v>
      </c>
      <c r="L324" s="128">
        <f t="shared" si="164"/>
        <v>3.5</v>
      </c>
      <c r="M324" s="128">
        <f t="shared" si="164"/>
        <v>3.5</v>
      </c>
      <c r="N324" s="128">
        <f t="shared" si="164"/>
        <v>3.5</v>
      </c>
      <c r="O324" s="128">
        <f t="shared" si="164"/>
        <v>3.5</v>
      </c>
      <c r="P324" s="128">
        <f t="shared" si="164"/>
        <v>3.5</v>
      </c>
      <c r="Q324" s="128">
        <f t="shared" si="164"/>
        <v>3.5</v>
      </c>
      <c r="R324" s="128">
        <f t="shared" si="164"/>
        <v>3.5</v>
      </c>
    </row>
    <row r="325" spans="1:20" x14ac:dyDescent="0.5">
      <c r="B325" s="140" t="s">
        <v>302</v>
      </c>
      <c r="G325" s="140">
        <f>F102</f>
        <v>359.464</v>
      </c>
      <c r="H325" s="122">
        <f>H102</f>
        <v>408.637</v>
      </c>
      <c r="I325" s="140">
        <f t="shared" ref="I325:R325" ca="1" si="165">I326*(I155+I158+I159)</f>
        <v>384.83451428571448</v>
      </c>
      <c r="J325" s="140">
        <f t="shared" ca="1" si="165"/>
        <v>414.99910857142868</v>
      </c>
      <c r="K325" s="140">
        <f t="shared" ca="1" si="165"/>
        <v>450.13120000000021</v>
      </c>
      <c r="L325" s="140">
        <f t="shared" ca="1" si="165"/>
        <v>520.84656000000018</v>
      </c>
      <c r="M325" s="140">
        <f t="shared" ca="1" si="165"/>
        <v>564.46528000000012</v>
      </c>
      <c r="N325" s="140">
        <f t="shared" ca="1" si="165"/>
        <v>614.45553824884166</v>
      </c>
      <c r="O325" s="140">
        <f t="shared" ca="1" si="165"/>
        <v>670.63005391745344</v>
      </c>
      <c r="P325" s="140">
        <f t="shared" ca="1" si="165"/>
        <v>733.85777600238043</v>
      </c>
      <c r="Q325" s="140">
        <f t="shared" ca="1" si="165"/>
        <v>805.14511463359258</v>
      </c>
      <c r="R325" s="140">
        <f t="shared" ca="1" si="165"/>
        <v>885.65962609695168</v>
      </c>
    </row>
    <row r="326" spans="1:20" x14ac:dyDescent="0.5">
      <c r="B326" s="175" t="s">
        <v>210</v>
      </c>
      <c r="G326" s="121">
        <f>G325/(G155+G158+G159)</f>
        <v>0.1571441061779775</v>
      </c>
      <c r="H326" s="120">
        <f>AVERAGE(G325:H325)/(H155+H158+H159)</f>
        <v>0.1605444835766614</v>
      </c>
      <c r="I326" s="127">
        <v>0.16</v>
      </c>
      <c r="J326" s="121">
        <f t="shared" ref="J326:R326" si="166">I326</f>
        <v>0.16</v>
      </c>
      <c r="K326" s="121">
        <f t="shared" si="166"/>
        <v>0.16</v>
      </c>
      <c r="L326" s="121">
        <f t="shared" si="166"/>
        <v>0.16</v>
      </c>
      <c r="M326" s="121">
        <f t="shared" si="166"/>
        <v>0.16</v>
      </c>
      <c r="N326" s="121">
        <f t="shared" si="166"/>
        <v>0.16</v>
      </c>
      <c r="O326" s="121">
        <f t="shared" si="166"/>
        <v>0.16</v>
      </c>
      <c r="P326" s="121">
        <f t="shared" si="166"/>
        <v>0.16</v>
      </c>
      <c r="Q326" s="121">
        <f t="shared" si="166"/>
        <v>0.16</v>
      </c>
      <c r="R326" s="121">
        <f t="shared" si="166"/>
        <v>0.16</v>
      </c>
      <c r="T326" s="140" t="s">
        <v>304</v>
      </c>
    </row>
    <row r="327" spans="1:20" x14ac:dyDescent="0.5">
      <c r="H327" s="122"/>
    </row>
    <row r="328" spans="1:20" x14ac:dyDescent="0.5">
      <c r="B328" s="140" t="s">
        <v>208</v>
      </c>
      <c r="G328" s="140">
        <f t="shared" ref="G328:H328" si="167">G317+G319+G321</f>
        <v>197.72499999999999</v>
      </c>
      <c r="H328" s="122">
        <f t="shared" si="167"/>
        <v>205.892</v>
      </c>
      <c r="I328" s="140">
        <f t="shared" ref="I328:R328" ca="1" si="168">I317+I319+I321</f>
        <v>203.13570796007835</v>
      </c>
      <c r="J328" s="140">
        <f t="shared" ca="1" si="168"/>
        <v>219.93049574864978</v>
      </c>
      <c r="K328" s="140">
        <f t="shared" ca="1" si="168"/>
        <v>240.44299703013712</v>
      </c>
      <c r="L328" s="140">
        <f t="shared" ca="1" si="168"/>
        <v>276.59328058972687</v>
      </c>
      <c r="M328" s="140">
        <f t="shared" ca="1" si="168"/>
        <v>300.79503868054809</v>
      </c>
      <c r="N328" s="140">
        <f t="shared" ca="1" si="168"/>
        <v>327.43409372324413</v>
      </c>
      <c r="O328" s="140">
        <f t="shared" ca="1" si="168"/>
        <v>357.36864632035196</v>
      </c>
      <c r="P328" s="140">
        <f t="shared" ca="1" si="168"/>
        <v>390.3296512216138</v>
      </c>
      <c r="Q328" s="140">
        <f t="shared" ca="1" si="168"/>
        <v>429.04969442879758</v>
      </c>
      <c r="R328" s="140">
        <f t="shared" ca="1" si="168"/>
        <v>471.95466387167738</v>
      </c>
    </row>
    <row r="329" spans="1:20" x14ac:dyDescent="0.5">
      <c r="B329" s="140" t="s">
        <v>209</v>
      </c>
      <c r="G329" s="140">
        <f t="shared" ref="G329:H329" si="169">G323+G325</f>
        <v>379.26900000000001</v>
      </c>
      <c r="H329" s="122">
        <f t="shared" si="169"/>
        <v>431.09199999999998</v>
      </c>
      <c r="I329" s="140">
        <f t="shared" ref="I329:R329" ca="1" si="170">I323+I325</f>
        <v>406.0969862583172</v>
      </c>
      <c r="J329" s="140">
        <f t="shared" ca="1" si="170"/>
        <v>437.91938017964787</v>
      </c>
      <c r="K329" s="140">
        <f t="shared" ca="1" si="170"/>
        <v>474.97264926027418</v>
      </c>
      <c r="L329" s="140">
        <f t="shared" ca="1" si="170"/>
        <v>549.52319027049202</v>
      </c>
      <c r="M329" s="140">
        <f t="shared" ca="1" si="170"/>
        <v>595.62379000547958</v>
      </c>
      <c r="N329" s="140">
        <f t="shared" ca="1" si="170"/>
        <v>648.3735128609361</v>
      </c>
      <c r="O329" s="140">
        <f t="shared" ca="1" si="170"/>
        <v>707.64886443660919</v>
      </c>
      <c r="P329" s="140">
        <f t="shared" ca="1" si="170"/>
        <v>774.256079471048</v>
      </c>
      <c r="Q329" s="140">
        <f t="shared" ca="1" si="170"/>
        <v>849.58916283116059</v>
      </c>
      <c r="R329" s="140">
        <f t="shared" ca="1" si="170"/>
        <v>934.54807911427645</v>
      </c>
    </row>
    <row r="330" spans="1:20" x14ac:dyDescent="0.5">
      <c r="B330" s="167" t="s">
        <v>305</v>
      </c>
      <c r="C330" s="167"/>
      <c r="D330" s="167"/>
      <c r="E330" s="167"/>
      <c r="F330" s="167"/>
      <c r="G330" s="167">
        <f t="shared" ref="G330:H330" si="171">G328-G329</f>
        <v>-181.54400000000001</v>
      </c>
      <c r="H330" s="208">
        <f t="shared" si="171"/>
        <v>-225.2</v>
      </c>
      <c r="I330" s="167">
        <f t="shared" ref="I330:R330" ca="1" si="172">I328-I329</f>
        <v>-202.96127829823885</v>
      </c>
      <c r="J330" s="167">
        <f t="shared" ca="1" si="172"/>
        <v>-217.9888844309981</v>
      </c>
      <c r="K330" s="167">
        <f t="shared" ca="1" si="172"/>
        <v>-234.52965223013706</v>
      </c>
      <c r="L330" s="167">
        <f t="shared" ca="1" si="172"/>
        <v>-272.92990968076515</v>
      </c>
      <c r="M330" s="167">
        <f t="shared" ca="1" si="172"/>
        <v>-294.82875132493149</v>
      </c>
      <c r="N330" s="167">
        <f t="shared" ca="1" si="172"/>
        <v>-320.93941913769197</v>
      </c>
      <c r="O330" s="167">
        <f t="shared" ca="1" si="172"/>
        <v>-350.28021811625723</v>
      </c>
      <c r="P330" s="167">
        <f t="shared" ca="1" si="172"/>
        <v>-383.9264282494342</v>
      </c>
      <c r="Q330" s="167">
        <f t="shared" ca="1" si="172"/>
        <v>-420.53946840236301</v>
      </c>
      <c r="R330" s="167">
        <f t="shared" ca="1" si="172"/>
        <v>-462.59341524259906</v>
      </c>
    </row>
    <row r="331" spans="1:20" x14ac:dyDescent="0.5">
      <c r="H331" s="122"/>
    </row>
    <row r="332" spans="1:20" x14ac:dyDescent="0.5">
      <c r="B332" s="140" t="s">
        <v>308</v>
      </c>
      <c r="H332" s="122"/>
      <c r="I332" s="140">
        <f t="shared" ref="I332:R332" ca="1" si="173">H330-I330</f>
        <v>-22.238721701761136</v>
      </c>
      <c r="J332" s="140">
        <f t="shared" ca="1" si="173"/>
        <v>15.027606132759246</v>
      </c>
      <c r="K332" s="140">
        <f t="shared" ca="1" si="173"/>
        <v>16.540767799138962</v>
      </c>
      <c r="L332" s="140">
        <f t="shared" ca="1" si="173"/>
        <v>38.400257450628089</v>
      </c>
      <c r="M332" s="140">
        <f t="shared" ca="1" si="173"/>
        <v>21.898841644166339</v>
      </c>
      <c r="N332" s="140">
        <f t="shared" ca="1" si="173"/>
        <v>26.110667812760482</v>
      </c>
      <c r="O332" s="140">
        <f t="shared" ca="1" si="173"/>
        <v>29.34079897856526</v>
      </c>
      <c r="P332" s="140">
        <f t="shared" ca="1" si="173"/>
        <v>33.646210133176965</v>
      </c>
      <c r="Q332" s="140">
        <f t="shared" ca="1" si="173"/>
        <v>36.613040152928818</v>
      </c>
      <c r="R332" s="140">
        <f t="shared" ca="1" si="173"/>
        <v>42.053946840236051</v>
      </c>
    </row>
    <row r="333" spans="1:20" x14ac:dyDescent="0.5">
      <c r="B333" s="140" t="s">
        <v>306</v>
      </c>
      <c r="H333" s="122"/>
      <c r="I333" s="145">
        <v>0</v>
      </c>
      <c r="J333" s="140">
        <f t="shared" ref="J333:R333" si="174">I333</f>
        <v>0</v>
      </c>
      <c r="K333" s="140">
        <f t="shared" si="174"/>
        <v>0</v>
      </c>
      <c r="L333" s="140">
        <f t="shared" si="174"/>
        <v>0</v>
      </c>
      <c r="M333" s="140">
        <f t="shared" si="174"/>
        <v>0</v>
      </c>
      <c r="N333" s="140">
        <f t="shared" si="174"/>
        <v>0</v>
      </c>
      <c r="O333" s="140">
        <f t="shared" si="174"/>
        <v>0</v>
      </c>
      <c r="P333" s="140">
        <f t="shared" si="174"/>
        <v>0</v>
      </c>
      <c r="Q333" s="140">
        <f t="shared" si="174"/>
        <v>0</v>
      </c>
      <c r="R333" s="140">
        <f t="shared" si="174"/>
        <v>0</v>
      </c>
    </row>
    <row r="334" spans="1:20" x14ac:dyDescent="0.5">
      <c r="B334" s="140" t="s">
        <v>307</v>
      </c>
      <c r="H334" s="122"/>
      <c r="I334" s="145">
        <v>0</v>
      </c>
      <c r="J334" s="140">
        <f t="shared" ref="J334:R334" si="175">I334</f>
        <v>0</v>
      </c>
      <c r="K334" s="140">
        <f t="shared" si="175"/>
        <v>0</v>
      </c>
      <c r="L334" s="140">
        <f t="shared" si="175"/>
        <v>0</v>
      </c>
      <c r="M334" s="140">
        <f t="shared" si="175"/>
        <v>0</v>
      </c>
      <c r="N334" s="140">
        <f t="shared" si="175"/>
        <v>0</v>
      </c>
      <c r="O334" s="140">
        <f t="shared" si="175"/>
        <v>0</v>
      </c>
      <c r="P334" s="140">
        <f t="shared" si="175"/>
        <v>0</v>
      </c>
      <c r="Q334" s="140">
        <f t="shared" si="175"/>
        <v>0</v>
      </c>
      <c r="R334" s="140">
        <f t="shared" si="175"/>
        <v>0</v>
      </c>
    </row>
    <row r="335" spans="1:20" x14ac:dyDescent="0.5">
      <c r="H335" s="122"/>
    </row>
    <row r="336" spans="1:20" x14ac:dyDescent="0.5">
      <c r="B336" s="166" t="s">
        <v>297</v>
      </c>
      <c r="H336" s="122"/>
    </row>
    <row r="337" spans="1:20" x14ac:dyDescent="0.5">
      <c r="B337" s="140" t="s">
        <v>290</v>
      </c>
      <c r="F337" s="125">
        <f>F199/F146</f>
        <v>8.8651527462295321E-2</v>
      </c>
      <c r="G337" s="125">
        <f>G199/G146</f>
        <v>8.3507484393529188E-2</v>
      </c>
      <c r="H337" s="120">
        <f>H199/H146</f>
        <v>7.1569544585411912E-2</v>
      </c>
      <c r="I337" s="224">
        <f ca="1">'LBO Model'!I418</f>
        <v>7.409879680627382E-2</v>
      </c>
      <c r="J337" s="224">
        <f ca="1">'LBO Model'!J418</f>
        <v>6.4794726496988628E-2</v>
      </c>
      <c r="K337" s="224">
        <f ca="1">'LBO Model'!K418</f>
        <v>5.804967964865073E-2</v>
      </c>
      <c r="L337" s="224">
        <f ca="1">'LBO Model'!L418</f>
        <v>5.0519554060044387E-2</v>
      </c>
      <c r="M337" s="224">
        <f ca="1">'LBO Model'!M418</f>
        <v>4.566436840878027E-2</v>
      </c>
      <c r="N337" s="224">
        <f ca="1">'LBO Model'!N418</f>
        <v>4.6931494727024216E-2</v>
      </c>
      <c r="O337" s="224">
        <f ca="1">'LBO Model'!O418</f>
        <v>4.8198621045268161E-2</v>
      </c>
      <c r="P337" s="224">
        <f ca="1">'LBO Model'!P418</f>
        <v>4.9465747363512107E-2</v>
      </c>
      <c r="Q337" s="224">
        <f ca="1">'LBO Model'!Q418</f>
        <v>5.0732873681756052E-2</v>
      </c>
      <c r="R337" s="224">
        <f ca="1">'LBO Model'!R418</f>
        <v>5.1999999999999998E-2</v>
      </c>
    </row>
    <row r="338" spans="1:20" ht="13.2" thickBot="1" x14ac:dyDescent="0.55000000000000004">
      <c r="B338" s="163" t="s">
        <v>289</v>
      </c>
      <c r="C338" s="163"/>
      <c r="D338" s="163"/>
      <c r="E338" s="163"/>
      <c r="F338" s="130">
        <f>F162/F146</f>
        <v>4.9070554069575494E-2</v>
      </c>
      <c r="G338" s="130">
        <f>G162/G146</f>
        <v>5.0491874193572449E-2</v>
      </c>
      <c r="H338" s="190">
        <f>H162/H146</f>
        <v>5.5218191542070527E-2</v>
      </c>
      <c r="I338" s="391">
        <f ca="1">'LBO Model'!I419</f>
        <v>5.7054702624780324E-2</v>
      </c>
      <c r="J338" s="391">
        <f ca="1">'LBO Model'!J419</f>
        <v>5.4299898188356968E-2</v>
      </c>
      <c r="K338" s="391">
        <f ca="1">'LBO Model'!K419</f>
        <v>5.3424884869103399E-2</v>
      </c>
      <c r="L338" s="391">
        <f ca="1">'LBO Model'!L419</f>
        <v>5.3095134388898478E-2</v>
      </c>
      <c r="M338" s="391">
        <f ca="1">'LBO Model'!M419</f>
        <v>5.2239948360287482E-2</v>
      </c>
      <c r="N338" s="391">
        <f ca="1">'LBO Model'!N419</f>
        <v>5.2239948360287482E-2</v>
      </c>
      <c r="O338" s="391">
        <f ca="1">'LBO Model'!O419</f>
        <v>5.2239948360287482E-2</v>
      </c>
      <c r="P338" s="391">
        <f ca="1">'LBO Model'!P419</f>
        <v>5.2239948360287482E-2</v>
      </c>
      <c r="Q338" s="391">
        <f ca="1">'LBO Model'!Q419</f>
        <v>5.2239948360287482E-2</v>
      </c>
      <c r="R338" s="391">
        <f ca="1">'LBO Model'!R419</f>
        <v>5.2239948360287482E-2</v>
      </c>
    </row>
    <row r="340" spans="1:20" ht="15.6" x14ac:dyDescent="0.6">
      <c r="A340" s="138" t="s">
        <v>31</v>
      </c>
      <c r="B340" s="161" t="s">
        <v>220</v>
      </c>
      <c r="C340" s="171"/>
      <c r="D340" s="171"/>
      <c r="E340" s="171"/>
      <c r="F340" s="171"/>
      <c r="G340" s="171"/>
      <c r="H340" s="171"/>
      <c r="I340" s="171"/>
      <c r="J340" s="171"/>
      <c r="K340" s="171"/>
      <c r="L340" s="171"/>
      <c r="M340" s="171"/>
      <c r="N340" s="171"/>
      <c r="O340" s="171"/>
      <c r="P340" s="171"/>
      <c r="Q340" s="171"/>
      <c r="R340" s="171"/>
    </row>
    <row r="341" spans="1:20" ht="13.2" thickBot="1" x14ac:dyDescent="0.55000000000000004">
      <c r="B341" s="128" t="str">
        <f>$B$12</f>
        <v>($ in millions)</v>
      </c>
    </row>
    <row r="342" spans="1:20" x14ac:dyDescent="0.5">
      <c r="B342" s="479"/>
      <c r="C342" s="479"/>
      <c r="D342" s="479"/>
      <c r="E342" s="479"/>
      <c r="F342" s="507" t="s">
        <v>333</v>
      </c>
      <c r="G342" s="507" t="s">
        <v>332</v>
      </c>
      <c r="H342" s="507" t="s">
        <v>331</v>
      </c>
      <c r="I342" s="507" t="s">
        <v>330</v>
      </c>
      <c r="J342" s="507" t="s">
        <v>329</v>
      </c>
      <c r="K342" s="507" t="s">
        <v>328</v>
      </c>
      <c r="L342" s="507" t="s">
        <v>327</v>
      </c>
      <c r="M342" s="507" t="s">
        <v>265</v>
      </c>
      <c r="N342" s="507" t="s">
        <v>126</v>
      </c>
      <c r="O342" s="479"/>
      <c r="P342" s="507" t="s">
        <v>326</v>
      </c>
      <c r="Q342" s="507" t="s">
        <v>325</v>
      </c>
      <c r="R342" s="507" t="s">
        <v>324</v>
      </c>
      <c r="T342" s="165" t="s">
        <v>221</v>
      </c>
    </row>
    <row r="343" spans="1:20" ht="13.2" thickBot="1" x14ac:dyDescent="0.55000000000000004">
      <c r="B343" s="163"/>
      <c r="C343" s="163"/>
      <c r="D343" s="163"/>
      <c r="E343" s="163"/>
      <c r="F343" s="205" t="s">
        <v>258</v>
      </c>
      <c r="G343" s="205" t="s">
        <v>228</v>
      </c>
      <c r="H343" s="205" t="s">
        <v>315</v>
      </c>
      <c r="I343" s="205" t="s">
        <v>174</v>
      </c>
      <c r="J343" s="205" t="s">
        <v>315</v>
      </c>
      <c r="K343" s="205" t="s">
        <v>228</v>
      </c>
      <c r="L343" s="205" t="s">
        <v>184</v>
      </c>
      <c r="M343" s="205" t="s">
        <v>184</v>
      </c>
      <c r="N343" s="205" t="s">
        <v>184</v>
      </c>
      <c r="O343" s="163"/>
      <c r="P343" s="205" t="s">
        <v>188</v>
      </c>
      <c r="Q343" s="205" t="s">
        <v>228</v>
      </c>
      <c r="R343" s="205" t="s">
        <v>323</v>
      </c>
      <c r="T343" s="436">
        <v>0</v>
      </c>
    </row>
    <row r="344" spans="1:20" x14ac:dyDescent="0.5">
      <c r="B344" s="140" t="s">
        <v>322</v>
      </c>
      <c r="E344" s="389">
        <v>44557</v>
      </c>
      <c r="F344" s="540">
        <v>0</v>
      </c>
      <c r="G344" s="182">
        <f ca="1">$E$345*F344</f>
        <v>0</v>
      </c>
      <c r="H344" s="182">
        <f ca="1">-HLOOKUP(E344,I243:R287,31)</f>
        <v>-2035.0408181470589</v>
      </c>
      <c r="I344" s="182">
        <f ca="1">HLOOKUP(E344,I243:R287,3)</f>
        <v>21.341550000000002</v>
      </c>
      <c r="J344" s="182">
        <f t="shared" ref="J344:J350" ca="1" si="176">H344+I344</f>
        <v>-2013.6992681470588</v>
      </c>
      <c r="K344" s="182">
        <f t="shared" ref="K344:K350" ca="1" si="177">MAX(0,G344+J344)</f>
        <v>0</v>
      </c>
      <c r="L344" s="121">
        <f t="shared" ref="L344:L350" ca="1" si="178">IFERROR(IF(M344=0,$F$54,$G$54),-1)</f>
        <v>1.0000000000000753</v>
      </c>
      <c r="M344" s="121">
        <f t="shared" ref="M344:M350" ca="1" si="179">IFERROR(IF($G$55*Q344&gt;($G$55*$D$56/(1-$G$55)),$G$55,0),-1)</f>
        <v>0</v>
      </c>
      <c r="N344" s="121">
        <f t="shared" ref="N344:N350" ca="1" si="180">L344+M344</f>
        <v>1.0000000000000753</v>
      </c>
      <c r="P344" s="182">
        <f t="shared" ref="P344:P350" ca="1" si="181">IF(M344=0,0,MAX(0,$G$55*$D$56/(1-$G$55)))</f>
        <v>0</v>
      </c>
      <c r="Q344" s="182">
        <f t="shared" ref="Q344:Q350" ca="1" si="182">K344-P344</f>
        <v>0</v>
      </c>
      <c r="R344" s="182">
        <f t="shared" ref="R344:R350" ca="1" si="183">Q344*M344-P344</f>
        <v>0</v>
      </c>
      <c r="T344" s="218" t="str">
        <f t="shared" ref="T344:T350" ca="1" si="184">IF(OR(L344=-1,M344=-1,N344=-1),"Invalid Management Ownership Value","")</f>
        <v/>
      </c>
    </row>
    <row r="345" spans="1:20" x14ac:dyDescent="0.5">
      <c r="B345" s="140" t="s">
        <v>110</v>
      </c>
      <c r="E345" s="182">
        <f ca="1">HLOOKUP(E344,I197:R198,2)</f>
        <v>692.1000000000007</v>
      </c>
      <c r="F345" s="220">
        <f>F344+$T$343</f>
        <v>0</v>
      </c>
      <c r="G345" s="140">
        <f t="shared" ref="G345:G350" ca="1" si="185">$E$345*F345</f>
        <v>0</v>
      </c>
      <c r="H345" s="140">
        <f t="shared" ref="H345:H350" ca="1" si="186">H344</f>
        <v>-2035.0408181470589</v>
      </c>
      <c r="I345" s="140">
        <f t="shared" ref="I345:I350" ca="1" si="187">I344</f>
        <v>21.341550000000002</v>
      </c>
      <c r="J345" s="140">
        <f t="shared" ca="1" si="176"/>
        <v>-2013.6992681470588</v>
      </c>
      <c r="K345" s="140">
        <f t="shared" ca="1" si="177"/>
        <v>0</v>
      </c>
      <c r="L345" s="121">
        <f t="shared" ca="1" si="178"/>
        <v>1.0000000000000753</v>
      </c>
      <c r="M345" s="121">
        <f t="shared" ca="1" si="179"/>
        <v>0</v>
      </c>
      <c r="N345" s="121">
        <f t="shared" ca="1" si="180"/>
        <v>1.0000000000000753</v>
      </c>
      <c r="P345" s="140">
        <f t="shared" ca="1" si="181"/>
        <v>0</v>
      </c>
      <c r="Q345" s="140">
        <f t="shared" ca="1" si="182"/>
        <v>0</v>
      </c>
      <c r="R345" s="140">
        <f t="shared" ca="1" si="183"/>
        <v>0</v>
      </c>
      <c r="T345" s="218" t="str">
        <f t="shared" ca="1" si="184"/>
        <v/>
      </c>
    </row>
    <row r="346" spans="1:20" x14ac:dyDescent="0.5">
      <c r="F346" s="220">
        <f t="shared" ref="F346:F350" si="188">F345+$T$343</f>
        <v>0</v>
      </c>
      <c r="G346" s="140">
        <f t="shared" ca="1" si="185"/>
        <v>0</v>
      </c>
      <c r="H346" s="140">
        <f t="shared" ca="1" si="186"/>
        <v>-2035.0408181470589</v>
      </c>
      <c r="I346" s="140">
        <f t="shared" ca="1" si="187"/>
        <v>21.341550000000002</v>
      </c>
      <c r="J346" s="140">
        <f t="shared" ca="1" si="176"/>
        <v>-2013.6992681470588</v>
      </c>
      <c r="K346" s="140">
        <f t="shared" ca="1" si="177"/>
        <v>0</v>
      </c>
      <c r="L346" s="121">
        <f t="shared" ca="1" si="178"/>
        <v>1.0000000000000753</v>
      </c>
      <c r="M346" s="121">
        <f t="shared" ca="1" si="179"/>
        <v>0</v>
      </c>
      <c r="N346" s="121">
        <f t="shared" ca="1" si="180"/>
        <v>1.0000000000000753</v>
      </c>
      <c r="P346" s="140">
        <f t="shared" ca="1" si="181"/>
        <v>0</v>
      </c>
      <c r="Q346" s="140">
        <f t="shared" ca="1" si="182"/>
        <v>0</v>
      </c>
      <c r="R346" s="140">
        <f t="shared" ca="1" si="183"/>
        <v>0</v>
      </c>
      <c r="T346" s="218" t="str">
        <f t="shared" ca="1" si="184"/>
        <v/>
      </c>
    </row>
    <row r="347" spans="1:20" x14ac:dyDescent="0.5">
      <c r="F347" s="220">
        <f t="shared" si="188"/>
        <v>0</v>
      </c>
      <c r="G347" s="140">
        <f ca="1">$E$345*F347</f>
        <v>0</v>
      </c>
      <c r="H347" s="140">
        <f t="shared" ca="1" si="186"/>
        <v>-2035.0408181470589</v>
      </c>
      <c r="I347" s="140">
        <f t="shared" ca="1" si="187"/>
        <v>21.341550000000002</v>
      </c>
      <c r="J347" s="140">
        <f t="shared" ca="1" si="176"/>
        <v>-2013.6992681470588</v>
      </c>
      <c r="K347" s="140">
        <f t="shared" ca="1" si="177"/>
        <v>0</v>
      </c>
      <c r="L347" s="121">
        <f t="shared" ca="1" si="178"/>
        <v>1.0000000000000753</v>
      </c>
      <c r="M347" s="121">
        <f t="shared" ca="1" si="179"/>
        <v>0</v>
      </c>
      <c r="N347" s="121">
        <f t="shared" ca="1" si="180"/>
        <v>1.0000000000000753</v>
      </c>
      <c r="P347" s="140">
        <f t="shared" ca="1" si="181"/>
        <v>0</v>
      </c>
      <c r="Q347" s="140">
        <f t="shared" ca="1" si="182"/>
        <v>0</v>
      </c>
      <c r="R347" s="140">
        <f t="shared" ca="1" si="183"/>
        <v>0</v>
      </c>
      <c r="T347" s="218" t="str">
        <f t="shared" ca="1" si="184"/>
        <v/>
      </c>
    </row>
    <row r="348" spans="1:20" x14ac:dyDescent="0.5">
      <c r="F348" s="220">
        <f>F347+$T$343</f>
        <v>0</v>
      </c>
      <c r="G348" s="140">
        <f t="shared" ca="1" si="185"/>
        <v>0</v>
      </c>
      <c r="H348" s="140">
        <f t="shared" ca="1" si="186"/>
        <v>-2035.0408181470589</v>
      </c>
      <c r="I348" s="140">
        <f t="shared" ca="1" si="187"/>
        <v>21.341550000000002</v>
      </c>
      <c r="J348" s="140">
        <f t="shared" ca="1" si="176"/>
        <v>-2013.6992681470588</v>
      </c>
      <c r="K348" s="140">
        <f t="shared" ca="1" si="177"/>
        <v>0</v>
      </c>
      <c r="L348" s="121">
        <f t="shared" ca="1" si="178"/>
        <v>1.0000000000000753</v>
      </c>
      <c r="M348" s="121">
        <f t="shared" ca="1" si="179"/>
        <v>0</v>
      </c>
      <c r="N348" s="121">
        <f t="shared" ca="1" si="180"/>
        <v>1.0000000000000753</v>
      </c>
      <c r="P348" s="140">
        <f t="shared" ca="1" si="181"/>
        <v>0</v>
      </c>
      <c r="Q348" s="140">
        <f t="shared" ca="1" si="182"/>
        <v>0</v>
      </c>
      <c r="R348" s="140">
        <f t="shared" ca="1" si="183"/>
        <v>0</v>
      </c>
      <c r="T348" s="218" t="str">
        <f t="shared" ca="1" si="184"/>
        <v/>
      </c>
    </row>
    <row r="349" spans="1:20" x14ac:dyDescent="0.5">
      <c r="F349" s="220">
        <f t="shared" si="188"/>
        <v>0</v>
      </c>
      <c r="G349" s="140">
        <f t="shared" ca="1" si="185"/>
        <v>0</v>
      </c>
      <c r="H349" s="140">
        <f t="shared" ca="1" si="186"/>
        <v>-2035.0408181470589</v>
      </c>
      <c r="I349" s="140">
        <f t="shared" ca="1" si="187"/>
        <v>21.341550000000002</v>
      </c>
      <c r="J349" s="140">
        <f t="shared" ca="1" si="176"/>
        <v>-2013.6992681470588</v>
      </c>
      <c r="K349" s="140">
        <f t="shared" ca="1" si="177"/>
        <v>0</v>
      </c>
      <c r="L349" s="121">
        <f t="shared" ca="1" si="178"/>
        <v>1.0000000000000753</v>
      </c>
      <c r="M349" s="121">
        <f t="shared" ca="1" si="179"/>
        <v>0</v>
      </c>
      <c r="N349" s="121">
        <f t="shared" ca="1" si="180"/>
        <v>1.0000000000000753</v>
      </c>
      <c r="P349" s="140">
        <f t="shared" ca="1" si="181"/>
        <v>0</v>
      </c>
      <c r="Q349" s="140">
        <f t="shared" ca="1" si="182"/>
        <v>0</v>
      </c>
      <c r="R349" s="140">
        <f t="shared" ca="1" si="183"/>
        <v>0</v>
      </c>
      <c r="T349" s="218" t="str">
        <f t="shared" ca="1" si="184"/>
        <v/>
      </c>
    </row>
    <row r="350" spans="1:20" ht="13.5" customHeight="1" thickBot="1" x14ac:dyDescent="0.55000000000000004">
      <c r="B350" s="163"/>
      <c r="C350" s="163"/>
      <c r="D350" s="163"/>
      <c r="E350" s="163"/>
      <c r="F350" s="294">
        <f t="shared" si="188"/>
        <v>0</v>
      </c>
      <c r="G350" s="163">
        <f t="shared" ca="1" si="185"/>
        <v>0</v>
      </c>
      <c r="H350" s="163">
        <f t="shared" ca="1" si="186"/>
        <v>-2035.0408181470589</v>
      </c>
      <c r="I350" s="163">
        <f t="shared" ca="1" si="187"/>
        <v>21.341550000000002</v>
      </c>
      <c r="J350" s="163">
        <f t="shared" ca="1" si="176"/>
        <v>-2013.6992681470588</v>
      </c>
      <c r="K350" s="163">
        <f t="shared" ca="1" si="177"/>
        <v>0</v>
      </c>
      <c r="L350" s="263">
        <f t="shared" ca="1" si="178"/>
        <v>1.0000000000000753</v>
      </c>
      <c r="M350" s="207">
        <f t="shared" ca="1" si="179"/>
        <v>0</v>
      </c>
      <c r="N350" s="207">
        <f t="shared" ca="1" si="180"/>
        <v>1.0000000000000753</v>
      </c>
      <c r="O350" s="163"/>
      <c r="P350" s="163">
        <f t="shared" ca="1" si="181"/>
        <v>0</v>
      </c>
      <c r="Q350" s="163">
        <f t="shared" ca="1" si="182"/>
        <v>0</v>
      </c>
      <c r="R350" s="163">
        <f t="shared" ca="1" si="183"/>
        <v>0</v>
      </c>
      <c r="T350" s="218" t="str">
        <f t="shared" ca="1" si="184"/>
        <v/>
      </c>
    </row>
    <row r="351" spans="1:20" x14ac:dyDescent="0.5">
      <c r="F351" s="126"/>
    </row>
    <row r="352" spans="1:20" x14ac:dyDescent="0.5">
      <c r="F352" s="126"/>
    </row>
    <row r="353" spans="1:20" s="148" customFormat="1" x14ac:dyDescent="0.5">
      <c r="A353" s="141"/>
      <c r="B353" s="148" t="s">
        <v>321</v>
      </c>
    </row>
    <row r="354" spans="1:20" ht="13.2" thickBot="1" x14ac:dyDescent="0.55000000000000004"/>
    <row r="355" spans="1:20" s="148" customFormat="1" ht="13.2" thickBot="1" x14ac:dyDescent="0.55000000000000004">
      <c r="A355" s="141"/>
      <c r="B355" s="510" t="s">
        <v>317</v>
      </c>
      <c r="C355" s="511">
        <f>$H$141</f>
        <v>42731</v>
      </c>
      <c r="D355" s="511">
        <f>$E$344</f>
        <v>44557</v>
      </c>
      <c r="E355" s="510" t="s">
        <v>226</v>
      </c>
      <c r="F355" s="510" t="s">
        <v>320</v>
      </c>
      <c r="T355" s="140"/>
    </row>
    <row r="356" spans="1:20" x14ac:dyDescent="0.5">
      <c r="B356" s="126">
        <f>$F$344</f>
        <v>0</v>
      </c>
      <c r="C356" s="182">
        <f ca="1">-$K$18</f>
        <v>-4534.1932261295888</v>
      </c>
      <c r="D356" s="253">
        <f t="shared" ref="D356:D362" ca="1" si="189">L344*Q344</f>
        <v>0</v>
      </c>
      <c r="E356" s="125">
        <f t="shared" ref="E356:E362" ca="1" si="190">RATE(YEAR($D$355)-YEAR($C$355),0,C356,D356)</f>
        <v>-0.99999940914518248</v>
      </c>
      <c r="F356" s="182">
        <f t="shared" ref="F356:F362" ca="1" si="191">D356+C356</f>
        <v>-4534.1932261295888</v>
      </c>
    </row>
    <row r="357" spans="1:20" x14ac:dyDescent="0.5">
      <c r="B357" s="126">
        <f t="shared" ref="B357:B362" si="192">F345</f>
        <v>0</v>
      </c>
      <c r="C357" s="140">
        <f t="shared" ref="C357:C362" ca="1" si="193">C356</f>
        <v>-4534.1932261295888</v>
      </c>
      <c r="D357" s="140">
        <f t="shared" ca="1" si="189"/>
        <v>0</v>
      </c>
      <c r="E357" s="125">
        <f t="shared" ca="1" si="190"/>
        <v>-0.99999940914518248</v>
      </c>
      <c r="F357" s="140">
        <f t="shared" ca="1" si="191"/>
        <v>-4534.1932261295888</v>
      </c>
    </row>
    <row r="358" spans="1:20" x14ac:dyDescent="0.5">
      <c r="B358" s="126">
        <f t="shared" si="192"/>
        <v>0</v>
      </c>
      <c r="C358" s="140">
        <f t="shared" ca="1" si="193"/>
        <v>-4534.1932261295888</v>
      </c>
      <c r="D358" s="140">
        <f t="shared" ca="1" si="189"/>
        <v>0</v>
      </c>
      <c r="E358" s="125">
        <f t="shared" ca="1" si="190"/>
        <v>-0.99999940914518248</v>
      </c>
      <c r="F358" s="140">
        <f t="shared" ca="1" si="191"/>
        <v>-4534.1932261295888</v>
      </c>
    </row>
    <row r="359" spans="1:20" x14ac:dyDescent="0.5">
      <c r="B359" s="126">
        <f>F347</f>
        <v>0</v>
      </c>
      <c r="C359" s="140">
        <f t="shared" ca="1" si="193"/>
        <v>-4534.1932261295888</v>
      </c>
      <c r="D359" s="140">
        <f t="shared" ca="1" si="189"/>
        <v>0</v>
      </c>
      <c r="E359" s="125">
        <f t="shared" ca="1" si="190"/>
        <v>-0.99999940914518248</v>
      </c>
      <c r="F359" s="140">
        <f t="shared" ca="1" si="191"/>
        <v>-4534.1932261295888</v>
      </c>
    </row>
    <row r="360" spans="1:20" x14ac:dyDescent="0.5">
      <c r="B360" s="126">
        <f t="shared" si="192"/>
        <v>0</v>
      </c>
      <c r="C360" s="140">
        <f t="shared" ca="1" si="193"/>
        <v>-4534.1932261295888</v>
      </c>
      <c r="D360" s="140">
        <f t="shared" ca="1" si="189"/>
        <v>0</v>
      </c>
      <c r="E360" s="125">
        <f t="shared" ca="1" si="190"/>
        <v>-0.99999940914518248</v>
      </c>
      <c r="F360" s="140">
        <f t="shared" ca="1" si="191"/>
        <v>-4534.1932261295888</v>
      </c>
    </row>
    <row r="361" spans="1:20" x14ac:dyDescent="0.5">
      <c r="B361" s="126">
        <f t="shared" si="192"/>
        <v>0</v>
      </c>
      <c r="C361" s="140">
        <f t="shared" ca="1" si="193"/>
        <v>-4534.1932261295888</v>
      </c>
      <c r="D361" s="140">
        <f t="shared" ca="1" si="189"/>
        <v>0</v>
      </c>
      <c r="E361" s="125">
        <f t="shared" ca="1" si="190"/>
        <v>-0.99999940914518248</v>
      </c>
      <c r="F361" s="140">
        <f t="shared" ca="1" si="191"/>
        <v>-4534.1932261295888</v>
      </c>
    </row>
    <row r="362" spans="1:20" ht="13.2" thickBot="1" x14ac:dyDescent="0.55000000000000004">
      <c r="B362" s="186">
        <f t="shared" si="192"/>
        <v>0</v>
      </c>
      <c r="C362" s="163">
        <f t="shared" ca="1" si="193"/>
        <v>-4534.1932261295888</v>
      </c>
      <c r="D362" s="163">
        <f t="shared" ca="1" si="189"/>
        <v>0</v>
      </c>
      <c r="E362" s="130">
        <f t="shared" ca="1" si="190"/>
        <v>-0.99999940914518248</v>
      </c>
      <c r="F362" s="163">
        <f t="shared" ca="1" si="191"/>
        <v>-4534.1932261295888</v>
      </c>
    </row>
    <row r="363" spans="1:20" x14ac:dyDescent="0.5">
      <c r="B363" s="126"/>
    </row>
    <row r="364" spans="1:20" s="148" customFormat="1" x14ac:dyDescent="0.5">
      <c r="A364" s="141"/>
      <c r="B364" s="282" t="s">
        <v>321</v>
      </c>
    </row>
    <row r="365" spans="1:20" s="148" customFormat="1" x14ac:dyDescent="0.5">
      <c r="A365" s="141"/>
      <c r="B365" s="126" t="s">
        <v>733</v>
      </c>
    </row>
    <row r="366" spans="1:20" s="148" customFormat="1" ht="13.2" thickBot="1" x14ac:dyDescent="0.55000000000000004">
      <c r="A366" s="141"/>
      <c r="B366" s="282"/>
    </row>
    <row r="367" spans="1:20" x14ac:dyDescent="0.5">
      <c r="B367" s="509"/>
      <c r="C367" s="479"/>
      <c r="D367" s="479"/>
      <c r="E367" s="507" t="s">
        <v>319</v>
      </c>
      <c r="F367" s="507" t="s">
        <v>318</v>
      </c>
    </row>
    <row r="368" spans="1:20" ht="13.2" thickBot="1" x14ac:dyDescent="0.55000000000000004">
      <c r="B368" s="205" t="s">
        <v>317</v>
      </c>
      <c r="C368" s="206">
        <f>$H$141</f>
        <v>42731</v>
      </c>
      <c r="D368" s="206">
        <f>$E$344</f>
        <v>44557</v>
      </c>
      <c r="E368" s="205" t="s">
        <v>316</v>
      </c>
      <c r="F368" s="205" t="s">
        <v>316</v>
      </c>
    </row>
    <row r="369" spans="1:10" x14ac:dyDescent="0.5">
      <c r="B369" s="126">
        <f t="shared" ref="B369:B375" si="194">F344</f>
        <v>0</v>
      </c>
      <c r="C369" s="182">
        <f ca="1">C356+E67</f>
        <v>-4513.0356254795888</v>
      </c>
      <c r="D369" s="253">
        <f t="shared" ref="D369:D375" ca="1" si="195">L344*Q344</f>
        <v>0</v>
      </c>
      <c r="E369" s="125">
        <f t="shared" ref="E369:E375" ca="1" si="196">RATE(YEAR($D$355)-YEAR($C$355),0,C369,D369)</f>
        <v>-0.99999940914518248</v>
      </c>
      <c r="F369" s="182">
        <f t="shared" ref="F369:F375" ca="1" si="197">D369+C369</f>
        <v>-4513.0356254795888</v>
      </c>
    </row>
    <row r="370" spans="1:10" x14ac:dyDescent="0.5">
      <c r="B370" s="126">
        <f t="shared" si="194"/>
        <v>0</v>
      </c>
      <c r="C370" s="140">
        <f t="shared" ref="C370:C375" ca="1" si="198">C369</f>
        <v>-4513.0356254795888</v>
      </c>
      <c r="D370" s="140">
        <f t="shared" ca="1" si="195"/>
        <v>0</v>
      </c>
      <c r="E370" s="125">
        <f t="shared" ca="1" si="196"/>
        <v>-0.99999940914518248</v>
      </c>
      <c r="F370" s="140">
        <f t="shared" ca="1" si="197"/>
        <v>-4513.0356254795888</v>
      </c>
    </row>
    <row r="371" spans="1:10" x14ac:dyDescent="0.5">
      <c r="B371" s="126">
        <f t="shared" si="194"/>
        <v>0</v>
      </c>
      <c r="C371" s="140">
        <f t="shared" ca="1" si="198"/>
        <v>-4513.0356254795888</v>
      </c>
      <c r="D371" s="140">
        <f t="shared" ca="1" si="195"/>
        <v>0</v>
      </c>
      <c r="E371" s="125">
        <f t="shared" ca="1" si="196"/>
        <v>-0.99999940914518248</v>
      </c>
      <c r="F371" s="140">
        <f t="shared" ca="1" si="197"/>
        <v>-4513.0356254795888</v>
      </c>
    </row>
    <row r="372" spans="1:10" x14ac:dyDescent="0.5">
      <c r="B372" s="126">
        <f t="shared" si="194"/>
        <v>0</v>
      </c>
      <c r="C372" s="140">
        <f t="shared" ca="1" si="198"/>
        <v>-4513.0356254795888</v>
      </c>
      <c r="D372" s="140">
        <f t="shared" ca="1" si="195"/>
        <v>0</v>
      </c>
      <c r="E372" s="125">
        <f t="shared" ca="1" si="196"/>
        <v>-0.99999940914518248</v>
      </c>
      <c r="F372" s="140">
        <f t="shared" ca="1" si="197"/>
        <v>-4513.0356254795888</v>
      </c>
    </row>
    <row r="373" spans="1:10" x14ac:dyDescent="0.5">
      <c r="B373" s="126">
        <f t="shared" si="194"/>
        <v>0</v>
      </c>
      <c r="C373" s="140">
        <f t="shared" ca="1" si="198"/>
        <v>-4513.0356254795888</v>
      </c>
      <c r="D373" s="140">
        <f t="shared" ca="1" si="195"/>
        <v>0</v>
      </c>
      <c r="E373" s="125">
        <f t="shared" ca="1" si="196"/>
        <v>-0.99999940914518248</v>
      </c>
      <c r="F373" s="140">
        <f t="shared" ca="1" si="197"/>
        <v>-4513.0356254795888</v>
      </c>
    </row>
    <row r="374" spans="1:10" x14ac:dyDescent="0.5">
      <c r="B374" s="126">
        <f t="shared" si="194"/>
        <v>0</v>
      </c>
      <c r="C374" s="140">
        <f t="shared" ca="1" si="198"/>
        <v>-4513.0356254795888</v>
      </c>
      <c r="D374" s="140">
        <f t="shared" ca="1" si="195"/>
        <v>0</v>
      </c>
      <c r="E374" s="125">
        <f t="shared" ca="1" si="196"/>
        <v>-0.99999940914518248</v>
      </c>
      <c r="F374" s="140">
        <f t="shared" ca="1" si="197"/>
        <v>-4513.0356254795888</v>
      </c>
    </row>
    <row r="375" spans="1:10" ht="13.2" thickBot="1" x14ac:dyDescent="0.55000000000000004">
      <c r="B375" s="186">
        <f t="shared" si="194"/>
        <v>0</v>
      </c>
      <c r="C375" s="163">
        <f t="shared" ca="1" si="198"/>
        <v>-4513.0356254795888</v>
      </c>
      <c r="D375" s="163">
        <f t="shared" ca="1" si="195"/>
        <v>0</v>
      </c>
      <c r="E375" s="130">
        <f t="shared" ca="1" si="196"/>
        <v>-0.99999940914518248</v>
      </c>
      <c r="F375" s="163">
        <f t="shared" ca="1" si="197"/>
        <v>-4513.0356254795888</v>
      </c>
    </row>
    <row r="377" spans="1:10" s="148" customFormat="1" x14ac:dyDescent="0.5">
      <c r="A377" s="141"/>
      <c r="B377" s="148" t="s">
        <v>383</v>
      </c>
    </row>
    <row r="378" spans="1:10" s="148" customFormat="1" ht="13.2" thickBot="1" x14ac:dyDescent="0.55000000000000004">
      <c r="A378" s="141"/>
    </row>
    <row r="379" spans="1:10" x14ac:dyDescent="0.5">
      <c r="B379" s="507" t="s">
        <v>378</v>
      </c>
      <c r="C379" s="508" t="s">
        <v>378</v>
      </c>
      <c r="D379" s="507" t="s">
        <v>110</v>
      </c>
      <c r="E379" s="507"/>
      <c r="F379" s="507"/>
      <c r="G379" s="507" t="s">
        <v>226</v>
      </c>
      <c r="H379" s="507" t="s">
        <v>336</v>
      </c>
    </row>
    <row r="380" spans="1:10" ht="13.2" thickBot="1" x14ac:dyDescent="0.55000000000000004">
      <c r="B380" s="205" t="s">
        <v>380</v>
      </c>
      <c r="C380" s="310" t="s">
        <v>340</v>
      </c>
      <c r="D380" s="205" t="s">
        <v>258</v>
      </c>
      <c r="E380" s="205" t="s">
        <v>226</v>
      </c>
      <c r="F380" s="205" t="s">
        <v>336</v>
      </c>
      <c r="G380" s="205" t="s">
        <v>381</v>
      </c>
      <c r="H380" s="205" t="s">
        <v>382</v>
      </c>
      <c r="J380" s="165" t="s">
        <v>221</v>
      </c>
    </row>
    <row r="381" spans="1:10" hidden="1" outlineLevel="1" x14ac:dyDescent="0.5">
      <c r="B381" s="138"/>
      <c r="C381" s="323">
        <f ca="1">F16</f>
        <v>310.20686355188644</v>
      </c>
      <c r="D381" s="305">
        <f>I65</f>
        <v>0</v>
      </c>
      <c r="E381" s="304">
        <f ca="1">K65</f>
        <v>-0.99999940914518248</v>
      </c>
      <c r="F381" s="138">
        <f ca="1">M65</f>
        <v>-4534.1932261292477</v>
      </c>
      <c r="G381" s="304">
        <f ca="1">O65</f>
        <v>-0.99999940914518248</v>
      </c>
      <c r="H381" s="138">
        <f ca="1">Q65</f>
        <v>-4513.0356254792478</v>
      </c>
    </row>
    <row r="382" spans="1:10" collapsed="1" x14ac:dyDescent="0.5">
      <c r="B382" s="363">
        <v>0</v>
      </c>
      <c r="C382" s="183">
        <f t="dataTable" ref="C382:H388" dt2D="0" dtr="0" r1="F15" ca="1"/>
        <v>242.30769230769229</v>
      </c>
      <c r="D382" s="305">
        <v>0</v>
      </c>
      <c r="E382" s="304">
        <v>-0.99999940914518248</v>
      </c>
      <c r="F382" s="313">
        <v>-3597.1800016974667</v>
      </c>
      <c r="G382" s="304">
        <v>-0.99999940914518248</v>
      </c>
      <c r="H382" s="313">
        <v>-3580.6561691251591</v>
      </c>
      <c r="J382" s="363">
        <v>0.05</v>
      </c>
    </row>
    <row r="383" spans="1:10" x14ac:dyDescent="0.5">
      <c r="B383" s="121">
        <f t="shared" ref="B383:B388" si="199">B382+$J$382</f>
        <v>0.05</v>
      </c>
      <c r="C383" s="122">
        <v>254.42307692307691</v>
      </c>
      <c r="D383" s="305">
        <v>0</v>
      </c>
      <c r="E383" s="304">
        <v>-0.99999940914518248</v>
      </c>
      <c r="F383" s="138">
        <v>-3764.3731411081067</v>
      </c>
      <c r="G383" s="304">
        <v>-0.99999940914518248</v>
      </c>
      <c r="H383" s="138">
        <v>-3747.0224960511837</v>
      </c>
    </row>
    <row r="384" spans="1:10" x14ac:dyDescent="0.5">
      <c r="B384" s="121">
        <f t="shared" si="199"/>
        <v>0.1</v>
      </c>
      <c r="C384" s="122">
        <v>266.53846153846155</v>
      </c>
      <c r="D384" s="305">
        <v>0</v>
      </c>
      <c r="E384" s="304">
        <v>-0.99999940914518248</v>
      </c>
      <c r="F384" s="138">
        <v>-3931.5662805187462</v>
      </c>
      <c r="G384" s="304">
        <v>-0.99999940914518248</v>
      </c>
      <c r="H384" s="138">
        <v>-3913.3888229772078</v>
      </c>
    </row>
    <row r="385" spans="2:13" x14ac:dyDescent="0.5">
      <c r="B385" s="318">
        <f t="shared" si="199"/>
        <v>0.15000000000000002</v>
      </c>
      <c r="C385" s="303">
        <v>278.65384615384613</v>
      </c>
      <c r="D385" s="319">
        <v>0</v>
      </c>
      <c r="E385" s="320">
        <v>-0.99999940914518248</v>
      </c>
      <c r="F385" s="321">
        <v>-4098.7594199293844</v>
      </c>
      <c r="G385" s="320">
        <v>-0.99999940914518248</v>
      </c>
      <c r="H385" s="326">
        <v>-4079.7551499032306</v>
      </c>
    </row>
    <row r="386" spans="2:13" x14ac:dyDescent="0.5">
      <c r="B386" s="121">
        <f t="shared" si="199"/>
        <v>0.2</v>
      </c>
      <c r="C386" s="122">
        <v>290.76923076923072</v>
      </c>
      <c r="D386" s="305">
        <v>0</v>
      </c>
      <c r="E386" s="304">
        <v>-0.99999940914518248</v>
      </c>
      <c r="F386" s="138">
        <v>-4265.9525593384933</v>
      </c>
      <c r="G386" s="304">
        <v>-0.99999940914518248</v>
      </c>
      <c r="H386" s="138">
        <v>-4246.1214768277241</v>
      </c>
    </row>
    <row r="387" spans="2:13" x14ac:dyDescent="0.5">
      <c r="B387" s="121">
        <f t="shared" si="199"/>
        <v>0.25</v>
      </c>
      <c r="C387" s="122">
        <v>302.88461538461536</v>
      </c>
      <c r="D387" s="305">
        <v>0</v>
      </c>
      <c r="E387" s="304">
        <v>-0.99999940914518248</v>
      </c>
      <c r="F387" s="138">
        <v>-4433.1456987400779</v>
      </c>
      <c r="G387" s="304">
        <v>-0.99999940914518248</v>
      </c>
      <c r="H387" s="138">
        <v>-4412.4878037446933</v>
      </c>
    </row>
    <row r="388" spans="2:13" ht="13.2" thickBot="1" x14ac:dyDescent="0.55000000000000004">
      <c r="B388" s="207">
        <f t="shared" si="199"/>
        <v>0.3</v>
      </c>
      <c r="C388" s="214">
        <v>315</v>
      </c>
      <c r="D388" s="306">
        <v>0</v>
      </c>
      <c r="E388" s="307">
        <v>-0.99999940914518248</v>
      </c>
      <c r="F388" s="301">
        <v>-4600.3388381598725</v>
      </c>
      <c r="G388" s="307">
        <v>-0.99999940914518248</v>
      </c>
      <c r="H388" s="301">
        <v>-4578.8541306798725</v>
      </c>
    </row>
    <row r="390" spans="2:13" x14ac:dyDescent="0.5">
      <c r="B390" s="148" t="s">
        <v>385</v>
      </c>
    </row>
    <row r="391" spans="2:13" ht="13.2" thickBot="1" x14ac:dyDescent="0.55000000000000004">
      <c r="B391" s="148"/>
    </row>
    <row r="392" spans="2:13" x14ac:dyDescent="0.5">
      <c r="B392" s="507" t="s">
        <v>384</v>
      </c>
      <c r="C392" s="508" t="s">
        <v>327</v>
      </c>
      <c r="D392" s="507" t="s">
        <v>110</v>
      </c>
      <c r="E392" s="507"/>
      <c r="F392" s="507"/>
      <c r="G392" s="507" t="s">
        <v>226</v>
      </c>
      <c r="H392" s="507" t="s">
        <v>336</v>
      </c>
      <c r="J392" s="141"/>
      <c r="L392" s="141"/>
      <c r="M392" s="141"/>
    </row>
    <row r="393" spans="2:13" ht="13.2" thickBot="1" x14ac:dyDescent="0.55000000000000004">
      <c r="B393" s="205" t="s">
        <v>379</v>
      </c>
      <c r="C393" s="310" t="s">
        <v>328</v>
      </c>
      <c r="D393" s="311" t="s">
        <v>258</v>
      </c>
      <c r="E393" s="205" t="s">
        <v>226</v>
      </c>
      <c r="F393" s="205" t="s">
        <v>336</v>
      </c>
      <c r="G393" s="205" t="s">
        <v>381</v>
      </c>
      <c r="H393" s="205" t="s">
        <v>382</v>
      </c>
      <c r="J393" s="165" t="s">
        <v>221</v>
      </c>
      <c r="L393" s="141"/>
      <c r="M393" s="141"/>
    </row>
    <row r="394" spans="2:13" hidden="1" outlineLevel="1" x14ac:dyDescent="0.5">
      <c r="B394" s="138"/>
      <c r="C394" s="323">
        <f ca="1">K18</f>
        <v>4534.1932261295888</v>
      </c>
      <c r="D394" s="305">
        <f>I65</f>
        <v>0</v>
      </c>
      <c r="E394" s="304">
        <f ca="1">K65</f>
        <v>-0.99999940914518248</v>
      </c>
      <c r="F394" s="138">
        <f ca="1">M65</f>
        <v>-4534.1932261292477</v>
      </c>
      <c r="G394" s="304">
        <f ca="1">O65</f>
        <v>-0.99999940914518248</v>
      </c>
      <c r="H394" s="138">
        <f ca="1">Q65</f>
        <v>-4513.0356254792478</v>
      </c>
      <c r="L394" s="141"/>
      <c r="M394" s="141"/>
    </row>
    <row r="395" spans="2:13" collapsed="1" x14ac:dyDescent="0.5">
      <c r="B395" s="363">
        <v>0</v>
      </c>
      <c r="C395" s="183">
        <f t="dataTable" ref="C395:H401" dt2D="0" dtr="0" r1="L18" ca="1"/>
        <v>0</v>
      </c>
      <c r="D395" s="305">
        <v>0</v>
      </c>
      <c r="E395" s="304" t="e">
        <v>#NUM!</v>
      </c>
      <c r="F395" s="313">
        <v>0</v>
      </c>
      <c r="G395" s="304">
        <v>-0.99999940981024027</v>
      </c>
      <c r="H395" s="313">
        <v>21.157600650000319</v>
      </c>
      <c r="J395" s="363">
        <v>0.1</v>
      </c>
      <c r="L395" s="141"/>
      <c r="M395" s="141"/>
    </row>
    <row r="396" spans="2:13" x14ac:dyDescent="0.5">
      <c r="B396" s="121">
        <f t="shared" ref="B396:B401" si="200">B395+$J$395</f>
        <v>0.1</v>
      </c>
      <c r="C396" s="122">
        <v>770.50142055419656</v>
      </c>
      <c r="D396" s="305">
        <v>0</v>
      </c>
      <c r="E396" s="304">
        <v>-0.99999940914518248</v>
      </c>
      <c r="F396" s="138">
        <v>-770.50142055976494</v>
      </c>
      <c r="G396" s="304">
        <v>-0.99999940914518248</v>
      </c>
      <c r="H396" s="138">
        <v>-749.34381990976465</v>
      </c>
      <c r="L396" s="141"/>
      <c r="M396" s="141"/>
    </row>
    <row r="397" spans="2:13" x14ac:dyDescent="0.5">
      <c r="B397" s="121">
        <f t="shared" si="200"/>
        <v>0.2</v>
      </c>
      <c r="C397" s="122">
        <v>1537.4720301238058</v>
      </c>
      <c r="D397" s="305">
        <v>0</v>
      </c>
      <c r="E397" s="304">
        <v>-0.99999940914518248</v>
      </c>
      <c r="F397" s="138">
        <v>-1537.4720301242032</v>
      </c>
      <c r="G397" s="304">
        <v>-0.99999940914518248</v>
      </c>
      <c r="H397" s="138">
        <v>-1516.3144294742028</v>
      </c>
      <c r="J397" s="141"/>
      <c r="L397" s="141"/>
      <c r="M397" s="141"/>
    </row>
    <row r="398" spans="2:13" x14ac:dyDescent="0.5">
      <c r="B398" s="318">
        <f t="shared" si="200"/>
        <v>0.30000000000000004</v>
      </c>
      <c r="C398" s="303">
        <v>2300.9360430650795</v>
      </c>
      <c r="D398" s="319">
        <v>0</v>
      </c>
      <c r="E398" s="320">
        <v>-0.99999940914518248</v>
      </c>
      <c r="F398" s="321">
        <v>-2300.9360433649103</v>
      </c>
      <c r="G398" s="320">
        <v>-0.99999940914518248</v>
      </c>
      <c r="H398" s="326">
        <v>-2279.7784427149099</v>
      </c>
      <c r="J398" s="141"/>
      <c r="L398" s="141"/>
      <c r="M398" s="141"/>
    </row>
    <row r="399" spans="2:13" x14ac:dyDescent="0.5">
      <c r="B399" s="121">
        <f t="shared" si="200"/>
        <v>0.4</v>
      </c>
      <c r="C399" s="122">
        <v>3060.9174527818232</v>
      </c>
      <c r="D399" s="305">
        <v>0</v>
      </c>
      <c r="E399" s="304">
        <v>-0.99999940914518248</v>
      </c>
      <c r="F399" s="138">
        <v>-3060.9174529948546</v>
      </c>
      <c r="G399" s="304">
        <v>-0.99999940914518248</v>
      </c>
      <c r="H399" s="138">
        <v>-3039.7598523448542</v>
      </c>
      <c r="J399" s="141"/>
      <c r="L399" s="141"/>
      <c r="M399" s="141"/>
    </row>
    <row r="400" spans="2:13" x14ac:dyDescent="0.5">
      <c r="B400" s="121">
        <f t="shared" si="200"/>
        <v>0.5</v>
      </c>
      <c r="C400" s="122">
        <v>3817.4400343256552</v>
      </c>
      <c r="D400" s="305">
        <v>0</v>
      </c>
      <c r="E400" s="304">
        <v>-0.99999940914518248</v>
      </c>
      <c r="F400" s="138">
        <v>-3817.4400343370266</v>
      </c>
      <c r="G400" s="304">
        <v>-0.99999940914518248</v>
      </c>
      <c r="H400" s="138">
        <v>-3796.2824336870262</v>
      </c>
      <c r="J400" s="141"/>
      <c r="L400" s="141"/>
      <c r="M400" s="141"/>
    </row>
    <row r="401" spans="1:20" ht="13.2" thickBot="1" x14ac:dyDescent="0.55000000000000004">
      <c r="B401" s="207">
        <f t="shared" si="200"/>
        <v>0.6</v>
      </c>
      <c r="C401" s="214">
        <v>4570.5273468473051</v>
      </c>
      <c r="D401" s="306">
        <v>0</v>
      </c>
      <c r="E401" s="307">
        <v>-0.99999940914518248</v>
      </c>
      <c r="F401" s="301">
        <v>-4570.527346847598</v>
      </c>
      <c r="G401" s="307">
        <v>-0.99999940914518248</v>
      </c>
      <c r="H401" s="301">
        <v>-4549.369746197598</v>
      </c>
      <c r="J401" s="141"/>
      <c r="L401" s="141"/>
      <c r="M401" s="141"/>
    </row>
    <row r="404" spans="1:20" s="273" customFormat="1" ht="15.6" x14ac:dyDescent="0.6">
      <c r="A404" s="278" t="s">
        <v>31</v>
      </c>
      <c r="B404" s="161" t="str">
        <f>"Projection Scenario: "&amp;'LBO Model'!E4</f>
        <v>Projection Scenario: Base Case</v>
      </c>
      <c r="C404" s="272"/>
      <c r="D404" s="272"/>
      <c r="E404" s="272"/>
      <c r="F404" s="272"/>
      <c r="G404" s="272"/>
      <c r="H404" s="272"/>
      <c r="I404" s="272"/>
      <c r="J404" s="272"/>
      <c r="K404" s="272"/>
      <c r="L404" s="272"/>
      <c r="M404" s="272"/>
      <c r="N404" s="272"/>
      <c r="O404" s="272"/>
      <c r="P404" s="272"/>
      <c r="Q404" s="272"/>
      <c r="R404" s="272"/>
    </row>
    <row r="405" spans="1:20" s="485" customFormat="1" x14ac:dyDescent="0.5">
      <c r="A405" s="484"/>
      <c r="B405" s="482" t="s">
        <v>728</v>
      </c>
      <c r="C405" s="486"/>
      <c r="D405" s="486"/>
      <c r="E405" s="486"/>
      <c r="F405" s="486"/>
      <c r="G405" s="486"/>
      <c r="H405" s="486"/>
      <c r="I405" s="486"/>
      <c r="J405" s="486"/>
      <c r="K405" s="486"/>
      <c r="L405" s="486"/>
      <c r="M405" s="486"/>
      <c r="N405" s="486"/>
      <c r="O405" s="486"/>
      <c r="P405" s="486"/>
      <c r="Q405" s="486"/>
      <c r="R405" s="486"/>
    </row>
    <row r="406" spans="1:20" s="485" customFormat="1" ht="13.2" thickBot="1" x14ac:dyDescent="0.55000000000000004">
      <c r="A406" s="484"/>
      <c r="B406" s="482"/>
      <c r="C406" s="486"/>
      <c r="D406" s="486"/>
      <c r="E406" s="486"/>
      <c r="F406" s="486"/>
      <c r="G406" s="486"/>
      <c r="H406" s="486"/>
      <c r="I406" s="486"/>
      <c r="J406" s="486"/>
      <c r="K406" s="486"/>
      <c r="L406" s="486"/>
      <c r="M406" s="486"/>
      <c r="N406" s="486"/>
      <c r="O406" s="486"/>
      <c r="P406" s="486"/>
      <c r="Q406" s="486"/>
      <c r="R406" s="486"/>
    </row>
    <row r="407" spans="1:20" s="273" customFormat="1" x14ac:dyDescent="0.5">
      <c r="B407" s="478" t="s">
        <v>273</v>
      </c>
      <c r="C407" s="479"/>
      <c r="D407" s="479"/>
      <c r="E407" s="479"/>
      <c r="F407" s="480" t="s">
        <v>109</v>
      </c>
      <c r="G407" s="480"/>
      <c r="H407" s="173"/>
      <c r="I407" s="480" t="s">
        <v>224</v>
      </c>
      <c r="J407" s="480"/>
      <c r="K407" s="480"/>
      <c r="L407" s="480"/>
      <c r="M407" s="480"/>
      <c r="N407" s="480"/>
      <c r="O407" s="480"/>
      <c r="P407" s="481"/>
      <c r="Q407" s="481"/>
      <c r="R407" s="481"/>
    </row>
    <row r="408" spans="1:20" s="273" customFormat="1" x14ac:dyDescent="0.5">
      <c r="B408" s="150"/>
      <c r="C408" s="150"/>
      <c r="D408" s="150"/>
      <c r="E408" s="150"/>
      <c r="F408" s="123">
        <v>42003</v>
      </c>
      <c r="G408" s="123">
        <v>42367</v>
      </c>
      <c r="H408" s="124">
        <v>42731</v>
      </c>
      <c r="I408" s="123">
        <f t="shared" ref="I408:R408" si="201">DATE(YEAR(H408)+1,MONTH(H408),DAY(H408))</f>
        <v>43096</v>
      </c>
      <c r="J408" s="123">
        <f t="shared" si="201"/>
        <v>43461</v>
      </c>
      <c r="K408" s="123">
        <f t="shared" si="201"/>
        <v>43826</v>
      </c>
      <c r="L408" s="123">
        <f t="shared" si="201"/>
        <v>44192</v>
      </c>
      <c r="M408" s="123">
        <f t="shared" si="201"/>
        <v>44557</v>
      </c>
      <c r="N408" s="123">
        <f t="shared" si="201"/>
        <v>44922</v>
      </c>
      <c r="O408" s="123">
        <f t="shared" si="201"/>
        <v>45287</v>
      </c>
      <c r="P408" s="123">
        <f t="shared" si="201"/>
        <v>45653</v>
      </c>
      <c r="Q408" s="123">
        <f t="shared" si="201"/>
        <v>46018</v>
      </c>
      <c r="R408" s="123">
        <f t="shared" si="201"/>
        <v>46383</v>
      </c>
    </row>
    <row r="409" spans="1:20" s="273" customFormat="1" x14ac:dyDescent="0.5">
      <c r="B409" s="274" t="s">
        <v>364</v>
      </c>
      <c r="H409" s="280"/>
    </row>
    <row r="410" spans="1:20" s="273" customFormat="1" x14ac:dyDescent="0.5">
      <c r="B410" s="175" t="s">
        <v>199</v>
      </c>
      <c r="C410" s="140"/>
      <c r="D410" s="140"/>
      <c r="E410" s="140"/>
      <c r="F410" s="490"/>
      <c r="G410" s="490">
        <f>'LBO Model'!G181</f>
        <v>6.0250395876948915E-2</v>
      </c>
      <c r="H410" s="491">
        <f>'LBO Model'!H181</f>
        <v>4.2432073628234201E-2</v>
      </c>
      <c r="I410" s="224">
        <f ca="1">OFFSET(I410,'LBO Model'!$D$4*16,0)</f>
        <v>1.8155308621848887E-2</v>
      </c>
      <c r="J410" s="224">
        <f ca="1">OFFSET(J410,'LBO Model'!$D$4*16,0)</f>
        <v>8.3281474852192172E-2</v>
      </c>
      <c r="K410" s="224">
        <f ca="1">OFFSET(K410,'LBO Model'!$D$4*16,0)</f>
        <v>9.4473540950377632E-2</v>
      </c>
      <c r="L410" s="224">
        <f ca="1">OFFSET(L410,'LBO Model'!$D$4*16,0)</f>
        <v>0.15186935828972081</v>
      </c>
      <c r="M410" s="224">
        <f ca="1">OFFSET(M410,'LBO Model'!$D$4*16,0)</f>
        <v>8.5702686285774377E-2</v>
      </c>
      <c r="N410" s="224">
        <f ca="1">OFFSET(N410,'LBO Model'!$D$4*16,0)</f>
        <v>8.8562149028619502E-2</v>
      </c>
      <c r="O410" s="224">
        <f ca="1">OFFSET(O410,'LBO Model'!$D$4*16,0)</f>
        <v>9.1421611771464628E-2</v>
      </c>
      <c r="P410" s="224">
        <f ca="1">OFFSET(P410,'LBO Model'!$D$4*16,0)</f>
        <v>9.4281074514309754E-2</v>
      </c>
      <c r="Q410" s="224">
        <f ca="1">OFFSET(Q410,'LBO Model'!$D$4*16,0)</f>
        <v>9.714053725715488E-2</v>
      </c>
      <c r="R410" s="224">
        <f ca="1">OFFSET(R410,'LBO Model'!$D$4*16,0)</f>
        <v>0.1</v>
      </c>
    </row>
    <row r="411" spans="1:20" s="273" customFormat="1" x14ac:dyDescent="0.5">
      <c r="B411" s="175" t="s">
        <v>200</v>
      </c>
      <c r="C411" s="140"/>
      <c r="D411" s="140"/>
      <c r="E411" s="140"/>
      <c r="F411" s="490">
        <f>'LBO Model'!F182</f>
        <v>0.21620278388973554</v>
      </c>
      <c r="G411" s="490">
        <f>'LBO Model'!G182</f>
        <v>0.20364598482983906</v>
      </c>
      <c r="H411" s="491">
        <f>'LBO Model'!H182</f>
        <v>0.21105115074417835</v>
      </c>
      <c r="I411" s="224">
        <f ca="1">OFFSET(I411,'LBO Model'!$D$4*16,0)</f>
        <v>0.2209128862846155</v>
      </c>
      <c r="J411" s="224">
        <f ca="1">OFFSET(J411,'LBO Model'!$D$4*16,0)</f>
        <v>0.22473404938955877</v>
      </c>
      <c r="K411" s="224">
        <f ca="1">OFFSET(K411,'LBO Model'!$D$4*16,0)</f>
        <v>0.23228042745123609</v>
      </c>
      <c r="L411" s="224">
        <f ca="1">OFFSET(L411,'LBO Model'!$D$4*16,0)</f>
        <v>0.22849490917033694</v>
      </c>
      <c r="M411" s="224">
        <f ca="1">OFFSET(M411,'LBO Model'!$D$4*16,0)</f>
        <v>0.23000442842762389</v>
      </c>
      <c r="N411" s="224">
        <f ca="1">OFFSET(N411,'LBO Model'!$D$4*16,0)</f>
        <v>0.23000442842762389</v>
      </c>
      <c r="O411" s="224">
        <f ca="1">OFFSET(O411,'LBO Model'!$D$4*16,0)</f>
        <v>0.23000442842762389</v>
      </c>
      <c r="P411" s="224">
        <f ca="1">OFFSET(P411,'LBO Model'!$D$4*16,0)</f>
        <v>0.23000442842762389</v>
      </c>
      <c r="Q411" s="224">
        <f ca="1">OFFSET(Q411,'LBO Model'!$D$4*16,0)</f>
        <v>0.23000442842762389</v>
      </c>
      <c r="R411" s="224">
        <f ca="1">OFFSET(R411,'LBO Model'!$D$4*16,0)</f>
        <v>0.23000442842762389</v>
      </c>
      <c r="T411" s="125"/>
    </row>
    <row r="412" spans="1:20" s="273" customFormat="1" x14ac:dyDescent="0.5">
      <c r="B412" s="175" t="s">
        <v>724</v>
      </c>
      <c r="C412" s="140"/>
      <c r="D412" s="140"/>
      <c r="E412" s="140"/>
      <c r="F412" s="490">
        <f>'LBO Model'!F183</f>
        <v>5.4586538404512108E-2</v>
      </c>
      <c r="G412" s="490">
        <f>'LBO Model'!G183</f>
        <v>5.3290970248883122E-2</v>
      </c>
      <c r="H412" s="491">
        <f>'LBO Model'!H183</f>
        <v>6.4347947405794942E-2</v>
      </c>
      <c r="I412" s="224">
        <f ca="1">OFFSET(I412,'LBO Model'!$D$4*16,0)</f>
        <v>6.4000000000000001E-2</v>
      </c>
      <c r="J412" s="224">
        <f ca="1">OFFSET(J412,'LBO Model'!$D$4*16,0)</f>
        <v>6.4000000000000001E-2</v>
      </c>
      <c r="K412" s="224">
        <f ca="1">OFFSET(K412,'LBO Model'!$D$4*16,0)</f>
        <v>6.4000000000000001E-2</v>
      </c>
      <c r="L412" s="224">
        <f ca="1">OFFSET(L412,'LBO Model'!$D$4*16,0)</f>
        <v>6.4000000000000001E-2</v>
      </c>
      <c r="M412" s="224">
        <f ca="1">OFFSET(M412,'LBO Model'!$D$4*16,0)</f>
        <v>6.4000000000000001E-2</v>
      </c>
      <c r="N412" s="224">
        <f ca="1">OFFSET(N412,'LBO Model'!$D$4*16,0)</f>
        <v>6.4000000000000001E-2</v>
      </c>
      <c r="O412" s="224">
        <f ca="1">OFFSET(O412,'LBO Model'!$D$4*16,0)</f>
        <v>6.4000000000000001E-2</v>
      </c>
      <c r="P412" s="224">
        <f ca="1">OFFSET(P412,'LBO Model'!$D$4*16,0)</f>
        <v>6.4000000000000001E-2</v>
      </c>
      <c r="Q412" s="224">
        <f ca="1">OFFSET(Q412,'LBO Model'!$D$4*16,0)</f>
        <v>6.4000000000000001E-2</v>
      </c>
      <c r="R412" s="224">
        <f ca="1">OFFSET(R412,'LBO Model'!$D$4*16,0)</f>
        <v>6.4000000000000001E-2</v>
      </c>
    </row>
    <row r="413" spans="1:20" s="273" customFormat="1" x14ac:dyDescent="0.5">
      <c r="B413" s="175" t="s">
        <v>725</v>
      </c>
      <c r="C413" s="140"/>
      <c r="D413" s="140"/>
      <c r="E413" s="140"/>
      <c r="F413" s="490">
        <f>'LBO Model'!F184</f>
        <v>3.4425973481680932E-3</v>
      </c>
      <c r="G413" s="490">
        <f>'LBO Model'!G184</f>
        <v>3.3894196704927692E-3</v>
      </c>
      <c r="H413" s="491">
        <f>'LBO Model'!H184</f>
        <v>2.4680140160587257E-3</v>
      </c>
      <c r="I413" s="224">
        <f ca="1">OFFSET(I413,'LBO Model'!$D$4*16,0)</f>
        <v>2E-3</v>
      </c>
      <c r="J413" s="224">
        <f ca="1">OFFSET(J413,'LBO Model'!$D$4*16,0)</f>
        <v>2E-3</v>
      </c>
      <c r="K413" s="224">
        <f ca="1">OFFSET(K413,'LBO Model'!$D$4*16,0)</f>
        <v>2E-3</v>
      </c>
      <c r="L413" s="224">
        <f ca="1">OFFSET(L413,'LBO Model'!$D$4*16,0)</f>
        <v>2E-3</v>
      </c>
      <c r="M413" s="224">
        <f ca="1">OFFSET(M413,'LBO Model'!$D$4*16,0)</f>
        <v>2E-3</v>
      </c>
      <c r="N413" s="224">
        <f ca="1">OFFSET(N413,'LBO Model'!$D$4*16,0)</f>
        <v>2E-3</v>
      </c>
      <c r="O413" s="224">
        <f ca="1">OFFSET(O413,'LBO Model'!$D$4*16,0)</f>
        <v>2E-3</v>
      </c>
      <c r="P413" s="224">
        <f ca="1">OFFSET(P413,'LBO Model'!$D$4*16,0)</f>
        <v>2E-3</v>
      </c>
      <c r="Q413" s="224">
        <f ca="1">OFFSET(Q413,'LBO Model'!$D$4*16,0)</f>
        <v>2E-3</v>
      </c>
      <c r="R413" s="224">
        <f ca="1">OFFSET(R413,'LBO Model'!$D$4*16,0)</f>
        <v>2E-3</v>
      </c>
    </row>
    <row r="414" spans="1:20" s="273" customFormat="1" x14ac:dyDescent="0.5">
      <c r="B414" s="279"/>
      <c r="F414" s="492"/>
      <c r="G414" s="492"/>
      <c r="H414" s="493"/>
      <c r="I414" s="281"/>
      <c r="J414" s="281"/>
      <c r="K414" s="281"/>
      <c r="L414" s="281"/>
      <c r="M414" s="281"/>
      <c r="N414" s="281"/>
      <c r="O414" s="281"/>
      <c r="P414" s="281"/>
      <c r="Q414" s="281"/>
      <c r="R414" s="281"/>
    </row>
    <row r="415" spans="1:20" s="273" customFormat="1" x14ac:dyDescent="0.5">
      <c r="B415" s="175" t="s">
        <v>193</v>
      </c>
      <c r="C415" s="140"/>
      <c r="D415" s="140"/>
      <c r="E415" s="140"/>
      <c r="F415" s="490">
        <f>'LBO Model'!F189</f>
        <v>0.35751261313517158</v>
      </c>
      <c r="G415" s="490">
        <v>0.34231692771273398</v>
      </c>
      <c r="H415" s="491">
        <v>0.35114669244970798</v>
      </c>
      <c r="I415" s="224">
        <f ca="1">OFFSET(I415,'LBO Model'!$D$4*16,0)</f>
        <v>0.35</v>
      </c>
      <c r="J415" s="224">
        <f ca="1">OFFSET(J415,'LBO Model'!$D$4*16,0)</f>
        <v>0.35</v>
      </c>
      <c r="K415" s="224">
        <f ca="1">OFFSET(K415,'LBO Model'!$D$4*16,0)</f>
        <v>0.35</v>
      </c>
      <c r="L415" s="224">
        <f ca="1">OFFSET(L415,'LBO Model'!$D$4*16,0)</f>
        <v>0.35</v>
      </c>
      <c r="M415" s="224">
        <f ca="1">OFFSET(M415,'LBO Model'!$D$4*16,0)</f>
        <v>0.35</v>
      </c>
      <c r="N415" s="224">
        <f ca="1">OFFSET(N415,'LBO Model'!$D$4*16,0)</f>
        <v>0.35</v>
      </c>
      <c r="O415" s="224">
        <f ca="1">OFFSET(O415,'LBO Model'!$D$4*16,0)</f>
        <v>0.35</v>
      </c>
      <c r="P415" s="224">
        <f ca="1">OFFSET(P415,'LBO Model'!$D$4*16,0)</f>
        <v>0.35</v>
      </c>
      <c r="Q415" s="224">
        <f ca="1">OFFSET(Q415,'LBO Model'!$D$4*16,0)</f>
        <v>0.35</v>
      </c>
      <c r="R415" s="224">
        <f ca="1">OFFSET(R415,'LBO Model'!$D$4*16,0)</f>
        <v>0.35</v>
      </c>
    </row>
    <row r="416" spans="1:20" s="273" customFormat="1" x14ac:dyDescent="0.5">
      <c r="B416" s="175"/>
      <c r="C416" s="140"/>
      <c r="D416" s="140"/>
      <c r="E416" s="140"/>
      <c r="F416" s="490"/>
      <c r="G416" s="490"/>
      <c r="H416" s="491"/>
      <c r="I416" s="224"/>
      <c r="J416" s="224"/>
      <c r="K416" s="224"/>
      <c r="L416" s="224"/>
      <c r="M416" s="224"/>
      <c r="N416" s="224"/>
      <c r="O416" s="224"/>
      <c r="P416" s="224"/>
      <c r="Q416" s="224"/>
      <c r="R416" s="224"/>
    </row>
    <row r="417" spans="1:20" s="273" customFormat="1" x14ac:dyDescent="0.5">
      <c r="B417" s="166" t="s">
        <v>297</v>
      </c>
      <c r="C417" s="140"/>
      <c r="D417" s="140"/>
      <c r="E417" s="140"/>
      <c r="F417" s="494"/>
      <c r="G417" s="494"/>
      <c r="H417" s="495"/>
      <c r="I417" s="144"/>
      <c r="J417" s="144"/>
      <c r="K417" s="144"/>
      <c r="L417" s="144"/>
      <c r="M417" s="144"/>
      <c r="N417" s="144"/>
      <c r="O417" s="144"/>
      <c r="P417" s="144"/>
      <c r="Q417" s="144"/>
      <c r="R417" s="144"/>
    </row>
    <row r="418" spans="1:20" s="273" customFormat="1" x14ac:dyDescent="0.5">
      <c r="B418" s="175" t="s">
        <v>290</v>
      </c>
      <c r="C418" s="140"/>
      <c r="D418" s="140"/>
      <c r="E418" s="140"/>
      <c r="F418" s="490">
        <f>'LBO Model'!F337</f>
        <v>8.8651527462295321E-2</v>
      </c>
      <c r="G418" s="490">
        <f>'LBO Model'!G337</f>
        <v>8.3507484393529188E-2</v>
      </c>
      <c r="H418" s="491">
        <f>'LBO Model'!H337</f>
        <v>7.1569544585411912E-2</v>
      </c>
      <c r="I418" s="224">
        <f ca="1">OFFSET(I418,'LBO Model'!$D$4*16,0)</f>
        <v>7.409879680627382E-2</v>
      </c>
      <c r="J418" s="224">
        <f ca="1">OFFSET(J418,'LBO Model'!$D$4*16,0)</f>
        <v>6.4794726496988628E-2</v>
      </c>
      <c r="K418" s="224">
        <f ca="1">OFFSET(K418,'LBO Model'!$D$4*16,0)</f>
        <v>5.804967964865073E-2</v>
      </c>
      <c r="L418" s="224">
        <f ca="1">OFFSET(L418,'LBO Model'!$D$4*16,0)</f>
        <v>5.0519554060044387E-2</v>
      </c>
      <c r="M418" s="224">
        <f ca="1">OFFSET(M418,'LBO Model'!$D$4*16,0)</f>
        <v>4.566436840878027E-2</v>
      </c>
      <c r="N418" s="224">
        <f ca="1">OFFSET(N418,'LBO Model'!$D$4*16,0)</f>
        <v>4.6931494727024216E-2</v>
      </c>
      <c r="O418" s="224">
        <f ca="1">OFFSET(O418,'LBO Model'!$D$4*16,0)</f>
        <v>4.8198621045268161E-2</v>
      </c>
      <c r="P418" s="224">
        <f ca="1">OFFSET(P418,'LBO Model'!$D$4*16,0)</f>
        <v>4.9465747363512107E-2</v>
      </c>
      <c r="Q418" s="224">
        <f ca="1">OFFSET(Q418,'LBO Model'!$D$4*16,0)</f>
        <v>5.0732873681756052E-2</v>
      </c>
      <c r="R418" s="224">
        <f ca="1">OFFSET(R418,'LBO Model'!$D$4*16,0)</f>
        <v>5.1999999999999998E-2</v>
      </c>
    </row>
    <row r="419" spans="1:20" s="273" customFormat="1" ht="13.2" thickBot="1" x14ac:dyDescent="0.55000000000000004">
      <c r="B419" s="390" t="s">
        <v>289</v>
      </c>
      <c r="C419" s="163"/>
      <c r="D419" s="163"/>
      <c r="E419" s="163"/>
      <c r="F419" s="496">
        <f>'LBO Model'!F338</f>
        <v>4.9070554069575494E-2</v>
      </c>
      <c r="G419" s="496">
        <f>'LBO Model'!G338</f>
        <v>5.0491874193572449E-2</v>
      </c>
      <c r="H419" s="497">
        <f>'LBO Model'!H338</f>
        <v>5.5218191542070527E-2</v>
      </c>
      <c r="I419" s="391">
        <f ca="1">OFFSET(I419,'LBO Model'!$D$4*16,0)</f>
        <v>5.7054702624780324E-2</v>
      </c>
      <c r="J419" s="391">
        <f ca="1">OFFSET(J419,'LBO Model'!$D$4*16,0)</f>
        <v>5.4299898188356968E-2</v>
      </c>
      <c r="K419" s="391">
        <f ca="1">OFFSET(K419,'LBO Model'!$D$4*16,0)</f>
        <v>5.3424884869103399E-2</v>
      </c>
      <c r="L419" s="391">
        <f ca="1">OFFSET(L419,'LBO Model'!$D$4*16,0)</f>
        <v>5.3095134388898478E-2</v>
      </c>
      <c r="M419" s="391">
        <f ca="1">OFFSET(M419,'LBO Model'!$D$4*16,0)</f>
        <v>5.2239948360287482E-2</v>
      </c>
      <c r="N419" s="391">
        <f ca="1">OFFSET(N419,'LBO Model'!$D$4*16,0)</f>
        <v>5.2239948360287482E-2</v>
      </c>
      <c r="O419" s="391">
        <f ca="1">OFFSET(O419,'LBO Model'!$D$4*16,0)</f>
        <v>5.2239948360287482E-2</v>
      </c>
      <c r="P419" s="391">
        <f ca="1">OFFSET(P419,'LBO Model'!$D$4*16,0)</f>
        <v>5.2239948360287482E-2</v>
      </c>
      <c r="Q419" s="391">
        <f ca="1">OFFSET(Q419,'LBO Model'!$D$4*16,0)</f>
        <v>5.2239948360287482E-2</v>
      </c>
      <c r="R419" s="391">
        <f ca="1">OFFSET(R419,'LBO Model'!$D$4*16,0)</f>
        <v>5.2239948360287482E-2</v>
      </c>
    </row>
    <row r="420" spans="1:20" s="273" customFormat="1" x14ac:dyDescent="0.5"/>
    <row r="421" spans="1:20" s="273" customFormat="1" ht="14.4" x14ac:dyDescent="0.55000000000000004">
      <c r="A421" s="278"/>
      <c r="B421" s="487" t="str">
        <f>'LBO Model'!E5</f>
        <v>Base Case</v>
      </c>
      <c r="D421" s="546" t="s">
        <v>810</v>
      </c>
      <c r="E421" s="487"/>
      <c r="F421" s="487"/>
      <c r="G421" s="487"/>
      <c r="H421" s="487"/>
      <c r="I421" s="487"/>
      <c r="J421" s="487"/>
      <c r="K421" s="487"/>
      <c r="L421" s="487"/>
      <c r="M421" s="487"/>
      <c r="N421" s="487"/>
      <c r="O421" s="487"/>
      <c r="P421" s="487"/>
      <c r="Q421" s="487"/>
      <c r="R421" s="487"/>
    </row>
    <row r="422" spans="1:20" s="273" customFormat="1" ht="13.2" thickBot="1" x14ac:dyDescent="0.55000000000000004">
      <c r="A422" s="278"/>
      <c r="B422" s="487"/>
      <c r="C422" s="487"/>
      <c r="D422" s="487"/>
      <c r="E422" s="487"/>
      <c r="F422" s="487"/>
      <c r="G422" s="487"/>
      <c r="H422" s="487"/>
      <c r="I422" s="487"/>
      <c r="J422" s="487"/>
      <c r="K422" s="487"/>
      <c r="L422" s="487"/>
      <c r="M422" s="487"/>
      <c r="N422" s="487"/>
      <c r="O422" s="487"/>
      <c r="P422" s="487"/>
      <c r="Q422" s="487"/>
      <c r="R422" s="487"/>
    </row>
    <row r="423" spans="1:20" s="273" customFormat="1" x14ac:dyDescent="0.5">
      <c r="B423" s="478" t="s">
        <v>273</v>
      </c>
      <c r="C423" s="479"/>
      <c r="D423" s="479"/>
      <c r="E423" s="479"/>
      <c r="F423" s="480" t="s">
        <v>109</v>
      </c>
      <c r="G423" s="480"/>
      <c r="H423" s="173"/>
      <c r="I423" s="480" t="s">
        <v>224</v>
      </c>
      <c r="J423" s="480"/>
      <c r="K423" s="480"/>
      <c r="L423" s="480"/>
      <c r="M423" s="480"/>
      <c r="N423" s="480"/>
      <c r="O423" s="480"/>
      <c r="P423" s="481"/>
      <c r="Q423" s="481"/>
      <c r="R423" s="481"/>
    </row>
    <row r="424" spans="1:20" s="273" customFormat="1" x14ac:dyDescent="0.5">
      <c r="B424" s="150"/>
      <c r="C424" s="150"/>
      <c r="D424" s="150"/>
      <c r="E424" s="150"/>
      <c r="F424" s="123">
        <v>42003</v>
      </c>
      <c r="G424" s="123">
        <v>42367</v>
      </c>
      <c r="H424" s="124">
        <v>42731</v>
      </c>
      <c r="I424" s="123">
        <f t="shared" ref="I424:R424" si="202">DATE(YEAR(H424)+1,MONTH(H424),DAY(H424))</f>
        <v>43096</v>
      </c>
      <c r="J424" s="123">
        <f t="shared" si="202"/>
        <v>43461</v>
      </c>
      <c r="K424" s="123">
        <f t="shared" si="202"/>
        <v>43826</v>
      </c>
      <c r="L424" s="123">
        <f t="shared" si="202"/>
        <v>44192</v>
      </c>
      <c r="M424" s="123">
        <f t="shared" si="202"/>
        <v>44557</v>
      </c>
      <c r="N424" s="123">
        <f t="shared" si="202"/>
        <v>44922</v>
      </c>
      <c r="O424" s="123">
        <f t="shared" si="202"/>
        <v>45287</v>
      </c>
      <c r="P424" s="123">
        <f t="shared" si="202"/>
        <v>45653</v>
      </c>
      <c r="Q424" s="123">
        <f t="shared" si="202"/>
        <v>46018</v>
      </c>
      <c r="R424" s="123">
        <f t="shared" si="202"/>
        <v>46383</v>
      </c>
    </row>
    <row r="425" spans="1:20" s="273" customFormat="1" x14ac:dyDescent="0.5">
      <c r="B425" s="274" t="s">
        <v>364</v>
      </c>
      <c r="H425" s="280"/>
      <c r="I425" s="364"/>
      <c r="J425" s="364"/>
      <c r="K425" s="364"/>
      <c r="L425" s="364"/>
      <c r="M425" s="364"/>
      <c r="N425" s="364"/>
      <c r="O425" s="364"/>
      <c r="P425" s="364"/>
      <c r="Q425" s="364"/>
      <c r="R425" s="364"/>
      <c r="T425" s="544" t="s">
        <v>803</v>
      </c>
    </row>
    <row r="426" spans="1:20" s="273" customFormat="1" x14ac:dyDescent="0.5">
      <c r="B426" s="175" t="s">
        <v>199</v>
      </c>
      <c r="C426" s="140"/>
      <c r="D426" s="140"/>
      <c r="E426" s="140"/>
      <c r="F426" s="125"/>
      <c r="G426" s="125"/>
      <c r="H426" s="189"/>
      <c r="I426" s="362">
        <v>1.8155308621848887E-2</v>
      </c>
      <c r="J426" s="362">
        <v>8.3281474852192172E-2</v>
      </c>
      <c r="K426" s="362">
        <v>9.4473540950377632E-2</v>
      </c>
      <c r="L426" s="362">
        <v>0.15186935828972081</v>
      </c>
      <c r="M426" s="362">
        <v>8.5702686285774377E-2</v>
      </c>
      <c r="N426" s="361">
        <f>M426-($M426-$R426)/5</f>
        <v>8.8562149028619502E-2</v>
      </c>
      <c r="O426" s="361">
        <f>N426-($M426-$R426)/5</f>
        <v>9.1421611771464628E-2</v>
      </c>
      <c r="P426" s="361">
        <f>O426-($M426-$R426)/5</f>
        <v>9.4281074514309754E-2</v>
      </c>
      <c r="Q426" s="361">
        <f>P426-($M426-$R426)/5</f>
        <v>9.714053725715488E-2</v>
      </c>
      <c r="R426" s="362">
        <v>0.1</v>
      </c>
      <c r="T426" s="545" t="s">
        <v>804</v>
      </c>
    </row>
    <row r="427" spans="1:20" s="273" customFormat="1" x14ac:dyDescent="0.5">
      <c r="B427" s="175" t="s">
        <v>200</v>
      </c>
      <c r="C427" s="140"/>
      <c r="D427" s="140"/>
      <c r="E427" s="140"/>
      <c r="F427" s="125"/>
      <c r="G427" s="125"/>
      <c r="H427" s="189"/>
      <c r="I427" s="362">
        <v>0.2209128862846155</v>
      </c>
      <c r="J427" s="362">
        <v>0.22473404938955877</v>
      </c>
      <c r="K427" s="362">
        <v>0.23228042745123609</v>
      </c>
      <c r="L427" s="362">
        <v>0.22849490917033694</v>
      </c>
      <c r="M427" s="362">
        <v>0.23000442842762389</v>
      </c>
      <c r="N427" s="361">
        <f t="shared" ref="N427:R429" si="203">M427</f>
        <v>0.23000442842762389</v>
      </c>
      <c r="O427" s="361">
        <f t="shared" si="203"/>
        <v>0.23000442842762389</v>
      </c>
      <c r="P427" s="361">
        <f t="shared" si="203"/>
        <v>0.23000442842762389</v>
      </c>
      <c r="Q427" s="361">
        <f t="shared" si="203"/>
        <v>0.23000442842762389</v>
      </c>
      <c r="R427" s="361">
        <f t="shared" si="203"/>
        <v>0.23000442842762389</v>
      </c>
      <c r="T427" s="545" t="s">
        <v>805</v>
      </c>
    </row>
    <row r="428" spans="1:20" s="273" customFormat="1" x14ac:dyDescent="0.5">
      <c r="B428" s="175" t="s">
        <v>724</v>
      </c>
      <c r="C428" s="140"/>
      <c r="D428" s="140"/>
      <c r="E428" s="140"/>
      <c r="F428" s="125"/>
      <c r="G428" s="125"/>
      <c r="H428" s="189"/>
      <c r="I428" s="362">
        <v>6.4000000000000001E-2</v>
      </c>
      <c r="J428" s="361">
        <f t="shared" ref="J428:M429" si="204">I428</f>
        <v>6.4000000000000001E-2</v>
      </c>
      <c r="K428" s="361">
        <f t="shared" si="204"/>
        <v>6.4000000000000001E-2</v>
      </c>
      <c r="L428" s="361">
        <f t="shared" si="204"/>
        <v>6.4000000000000001E-2</v>
      </c>
      <c r="M428" s="361">
        <f t="shared" si="204"/>
        <v>6.4000000000000001E-2</v>
      </c>
      <c r="N428" s="361">
        <f t="shared" si="203"/>
        <v>6.4000000000000001E-2</v>
      </c>
      <c r="O428" s="361">
        <f t="shared" si="203"/>
        <v>6.4000000000000001E-2</v>
      </c>
      <c r="P428" s="361">
        <f t="shared" si="203"/>
        <v>6.4000000000000001E-2</v>
      </c>
      <c r="Q428" s="361">
        <f t="shared" si="203"/>
        <v>6.4000000000000001E-2</v>
      </c>
      <c r="R428" s="361">
        <f t="shared" si="203"/>
        <v>6.4000000000000001E-2</v>
      </c>
      <c r="T428" s="545" t="s">
        <v>806</v>
      </c>
    </row>
    <row r="429" spans="1:20" s="273" customFormat="1" x14ac:dyDescent="0.5">
      <c r="B429" s="175" t="s">
        <v>725</v>
      </c>
      <c r="C429" s="140"/>
      <c r="D429" s="140"/>
      <c r="E429" s="140"/>
      <c r="F429" s="125"/>
      <c r="G429" s="125"/>
      <c r="H429" s="189"/>
      <c r="I429" s="362">
        <v>2E-3</v>
      </c>
      <c r="J429" s="361">
        <f t="shared" si="204"/>
        <v>2E-3</v>
      </c>
      <c r="K429" s="361">
        <f t="shared" si="204"/>
        <v>2E-3</v>
      </c>
      <c r="L429" s="361">
        <f t="shared" si="204"/>
        <v>2E-3</v>
      </c>
      <c r="M429" s="361">
        <f t="shared" si="204"/>
        <v>2E-3</v>
      </c>
      <c r="N429" s="361">
        <f t="shared" si="203"/>
        <v>2E-3</v>
      </c>
      <c r="O429" s="361">
        <f t="shared" si="203"/>
        <v>2E-3</v>
      </c>
      <c r="P429" s="361">
        <f t="shared" si="203"/>
        <v>2E-3</v>
      </c>
      <c r="Q429" s="361">
        <f t="shared" si="203"/>
        <v>2E-3</v>
      </c>
      <c r="R429" s="361">
        <f t="shared" si="203"/>
        <v>2E-3</v>
      </c>
      <c r="T429" s="545" t="s">
        <v>807</v>
      </c>
    </row>
    <row r="430" spans="1:20" s="273" customFormat="1" x14ac:dyDescent="0.5">
      <c r="B430" s="279"/>
      <c r="F430" s="125"/>
      <c r="G430" s="125"/>
      <c r="H430" s="120"/>
      <c r="I430" s="364"/>
      <c r="J430" s="364"/>
      <c r="K430" s="364"/>
      <c r="L430" s="364"/>
      <c r="M430" s="364"/>
      <c r="N430" s="364"/>
      <c r="O430" s="364"/>
      <c r="P430" s="364"/>
      <c r="Q430" s="364"/>
      <c r="R430" s="364"/>
      <c r="T430" s="545"/>
    </row>
    <row r="431" spans="1:20" s="273" customFormat="1" x14ac:dyDescent="0.5">
      <c r="B431" s="175" t="s">
        <v>193</v>
      </c>
      <c r="C431" s="140"/>
      <c r="D431" s="140"/>
      <c r="E431" s="140"/>
      <c r="F431" s="125"/>
      <c r="G431" s="125"/>
      <c r="H431" s="120"/>
      <c r="I431" s="362">
        <v>0.35</v>
      </c>
      <c r="J431" s="361">
        <f t="shared" ref="J431:R431" si="205">I431</f>
        <v>0.35</v>
      </c>
      <c r="K431" s="361">
        <f t="shared" si="205"/>
        <v>0.35</v>
      </c>
      <c r="L431" s="361">
        <f t="shared" si="205"/>
        <v>0.35</v>
      </c>
      <c r="M431" s="361">
        <f t="shared" si="205"/>
        <v>0.35</v>
      </c>
      <c r="N431" s="361">
        <f t="shared" si="205"/>
        <v>0.35</v>
      </c>
      <c r="O431" s="361">
        <f t="shared" si="205"/>
        <v>0.35</v>
      </c>
      <c r="P431" s="361">
        <f t="shared" si="205"/>
        <v>0.35</v>
      </c>
      <c r="Q431" s="361">
        <f t="shared" si="205"/>
        <v>0.35</v>
      </c>
      <c r="R431" s="361">
        <f t="shared" si="205"/>
        <v>0.35</v>
      </c>
      <c r="T431" s="545" t="s">
        <v>808</v>
      </c>
    </row>
    <row r="432" spans="1:20" s="273" customFormat="1" x14ac:dyDescent="0.5">
      <c r="B432" s="175"/>
      <c r="C432" s="140"/>
      <c r="D432" s="140"/>
      <c r="E432" s="140"/>
      <c r="F432" s="125"/>
      <c r="G432" s="125"/>
      <c r="H432" s="120"/>
      <c r="I432" s="362"/>
      <c r="J432" s="361"/>
      <c r="K432" s="361"/>
      <c r="L432" s="361"/>
      <c r="M432" s="361"/>
      <c r="N432" s="361"/>
      <c r="O432" s="361"/>
      <c r="P432" s="361"/>
      <c r="Q432" s="361"/>
      <c r="R432" s="361"/>
      <c r="T432" s="545"/>
    </row>
    <row r="433" spans="1:20" s="273" customFormat="1" x14ac:dyDescent="0.5">
      <c r="B433" s="166" t="s">
        <v>297</v>
      </c>
      <c r="C433" s="140"/>
      <c r="D433" s="140"/>
      <c r="E433" s="140"/>
      <c r="F433" s="140"/>
      <c r="G433" s="140"/>
      <c r="H433" s="122"/>
      <c r="I433" s="365"/>
      <c r="J433" s="365"/>
      <c r="K433" s="365"/>
      <c r="L433" s="365"/>
      <c r="M433" s="365"/>
      <c r="N433" s="365"/>
      <c r="O433" s="365"/>
      <c r="P433" s="365"/>
      <c r="Q433" s="365"/>
      <c r="R433" s="365"/>
      <c r="T433" s="545"/>
    </row>
    <row r="434" spans="1:20" s="273" customFormat="1" x14ac:dyDescent="0.5">
      <c r="B434" s="175" t="s">
        <v>290</v>
      </c>
      <c r="C434" s="140"/>
      <c r="D434" s="140"/>
      <c r="E434" s="140"/>
      <c r="F434" s="125"/>
      <c r="G434" s="125"/>
      <c r="H434" s="120"/>
      <c r="I434" s="362">
        <v>7.409879680627382E-2</v>
      </c>
      <c r="J434" s="362">
        <v>6.4794726496988628E-2</v>
      </c>
      <c r="K434" s="362">
        <v>5.804967964865073E-2</v>
      </c>
      <c r="L434" s="362">
        <v>5.0519554060044387E-2</v>
      </c>
      <c r="M434" s="362">
        <v>4.566436840878027E-2</v>
      </c>
      <c r="N434" s="361">
        <f>M434-($M434-$R434)/5</f>
        <v>4.6931494727024216E-2</v>
      </c>
      <c r="O434" s="361">
        <f>N434-($M434-$R434)/5</f>
        <v>4.8198621045268161E-2</v>
      </c>
      <c r="P434" s="361">
        <f>O434-($M434-$R434)/5</f>
        <v>4.9465747363512107E-2</v>
      </c>
      <c r="Q434" s="361">
        <f>P434-($M434-$R434)/5</f>
        <v>5.0732873681756052E-2</v>
      </c>
      <c r="R434" s="362">
        <v>5.1999999999999998E-2</v>
      </c>
      <c r="T434" s="545" t="s">
        <v>809</v>
      </c>
    </row>
    <row r="435" spans="1:20" s="273" customFormat="1" ht="13.2" thickBot="1" x14ac:dyDescent="0.55000000000000004">
      <c r="B435" s="390" t="s">
        <v>289</v>
      </c>
      <c r="C435" s="163"/>
      <c r="D435" s="163"/>
      <c r="E435" s="163"/>
      <c r="F435" s="130"/>
      <c r="G435" s="130"/>
      <c r="H435" s="190"/>
      <c r="I435" s="392">
        <v>5.7054702624780324E-2</v>
      </c>
      <c r="J435" s="392">
        <v>5.4299898188356968E-2</v>
      </c>
      <c r="K435" s="392">
        <v>5.3424884869103399E-2</v>
      </c>
      <c r="L435" s="392">
        <v>5.3095134388898478E-2</v>
      </c>
      <c r="M435" s="392">
        <v>5.2239948360287482E-2</v>
      </c>
      <c r="N435" s="393">
        <f>M435</f>
        <v>5.2239948360287482E-2</v>
      </c>
      <c r="O435" s="393">
        <f>N435</f>
        <v>5.2239948360287482E-2</v>
      </c>
      <c r="P435" s="393">
        <f>O435</f>
        <v>5.2239948360287482E-2</v>
      </c>
      <c r="Q435" s="393">
        <f>P435</f>
        <v>5.2239948360287482E-2</v>
      </c>
      <c r="R435" s="393">
        <f>Q435</f>
        <v>5.2239948360287482E-2</v>
      </c>
    </row>
    <row r="436" spans="1:20" s="273" customFormat="1" x14ac:dyDescent="0.5"/>
    <row r="437" spans="1:20" s="273" customFormat="1" ht="14.4" x14ac:dyDescent="0.55000000000000004">
      <c r="A437" s="278"/>
      <c r="B437" s="482" t="str">
        <f>'LBO Model'!E6</f>
        <v>Upside Case</v>
      </c>
      <c r="D437" s="546" t="s">
        <v>811</v>
      </c>
      <c r="E437" s="483"/>
      <c r="F437" s="483"/>
      <c r="G437" s="483"/>
      <c r="H437" s="483"/>
      <c r="I437" s="483"/>
      <c r="J437" s="483"/>
      <c r="K437" s="483"/>
      <c r="L437" s="483"/>
      <c r="M437" s="483"/>
      <c r="N437" s="483"/>
      <c r="O437" s="483"/>
      <c r="P437" s="483"/>
      <c r="Q437" s="483"/>
      <c r="R437" s="483"/>
    </row>
    <row r="438" spans="1:20" s="273" customFormat="1" ht="13.2" thickBot="1" x14ac:dyDescent="0.55000000000000004">
      <c r="A438" s="278"/>
      <c r="B438" s="482"/>
      <c r="C438" s="483"/>
      <c r="D438" s="483"/>
      <c r="E438" s="483"/>
      <c r="F438" s="483"/>
      <c r="G438" s="483"/>
      <c r="H438" s="483"/>
      <c r="I438" s="483"/>
      <c r="J438" s="483"/>
      <c r="K438" s="483"/>
      <c r="L438" s="483"/>
      <c r="M438" s="483"/>
      <c r="N438" s="483"/>
      <c r="O438" s="483"/>
      <c r="P438" s="483"/>
      <c r="Q438" s="483"/>
      <c r="R438" s="483"/>
    </row>
    <row r="439" spans="1:20" s="273" customFormat="1" x14ac:dyDescent="0.5">
      <c r="B439" s="478" t="s">
        <v>273</v>
      </c>
      <c r="C439" s="479"/>
      <c r="D439" s="479"/>
      <c r="E439" s="479"/>
      <c r="F439" s="480" t="s">
        <v>109</v>
      </c>
      <c r="G439" s="480"/>
      <c r="H439" s="173"/>
      <c r="I439" s="480" t="s">
        <v>224</v>
      </c>
      <c r="J439" s="480"/>
      <c r="K439" s="480"/>
      <c r="L439" s="480"/>
      <c r="M439" s="480"/>
      <c r="N439" s="480"/>
      <c r="O439" s="480"/>
      <c r="P439" s="481"/>
      <c r="Q439" s="481"/>
      <c r="R439" s="481"/>
    </row>
    <row r="440" spans="1:20" s="273" customFormat="1" x14ac:dyDescent="0.5">
      <c r="B440" s="150"/>
      <c r="C440" s="150"/>
      <c r="D440" s="150"/>
      <c r="E440" s="150"/>
      <c r="F440" s="123">
        <v>42003</v>
      </c>
      <c r="G440" s="123">
        <v>42367</v>
      </c>
      <c r="H440" s="124">
        <v>42731</v>
      </c>
      <c r="I440" s="123">
        <f t="shared" ref="I440:R440" si="206">DATE(YEAR(H440)+1,MONTH(H440),DAY(H440))</f>
        <v>43096</v>
      </c>
      <c r="J440" s="123">
        <f t="shared" si="206"/>
        <v>43461</v>
      </c>
      <c r="K440" s="123">
        <f t="shared" si="206"/>
        <v>43826</v>
      </c>
      <c r="L440" s="123">
        <f t="shared" si="206"/>
        <v>44192</v>
      </c>
      <c r="M440" s="123">
        <f t="shared" si="206"/>
        <v>44557</v>
      </c>
      <c r="N440" s="123">
        <f t="shared" si="206"/>
        <v>44922</v>
      </c>
      <c r="O440" s="123">
        <f t="shared" si="206"/>
        <v>45287</v>
      </c>
      <c r="P440" s="123">
        <f t="shared" si="206"/>
        <v>45653</v>
      </c>
      <c r="Q440" s="123">
        <f t="shared" si="206"/>
        <v>46018</v>
      </c>
      <c r="R440" s="123">
        <f t="shared" si="206"/>
        <v>46383</v>
      </c>
    </row>
    <row r="441" spans="1:20" s="273" customFormat="1" x14ac:dyDescent="0.5">
      <c r="B441" s="274" t="s">
        <v>364</v>
      </c>
      <c r="H441" s="280"/>
      <c r="I441" s="364"/>
      <c r="J441" s="364"/>
      <c r="K441" s="364"/>
      <c r="L441" s="364"/>
      <c r="M441" s="364"/>
      <c r="N441" s="364"/>
      <c r="O441" s="364"/>
      <c r="P441" s="364"/>
      <c r="Q441" s="364"/>
      <c r="R441" s="364"/>
    </row>
    <row r="442" spans="1:20" s="273" customFormat="1" x14ac:dyDescent="0.5">
      <c r="B442" s="175" t="s">
        <v>199</v>
      </c>
      <c r="C442" s="140"/>
      <c r="D442" s="140"/>
      <c r="E442" s="140"/>
      <c r="F442" s="125"/>
      <c r="G442" s="125"/>
      <c r="H442" s="189"/>
      <c r="I442" s="362"/>
      <c r="J442" s="362"/>
      <c r="K442" s="362"/>
      <c r="L442" s="362"/>
      <c r="M442" s="362"/>
      <c r="N442" s="362"/>
      <c r="O442" s="362"/>
      <c r="P442" s="362"/>
      <c r="Q442" s="362"/>
      <c r="R442" s="362"/>
    </row>
    <row r="443" spans="1:20" s="273" customFormat="1" x14ac:dyDescent="0.5">
      <c r="B443" s="175" t="s">
        <v>200</v>
      </c>
      <c r="C443" s="140"/>
      <c r="D443" s="140"/>
      <c r="E443" s="140"/>
      <c r="F443" s="125"/>
      <c r="G443" s="125"/>
      <c r="H443" s="189"/>
      <c r="I443" s="362"/>
      <c r="J443" s="362"/>
      <c r="K443" s="362"/>
      <c r="L443" s="362"/>
      <c r="M443" s="362"/>
      <c r="N443" s="362"/>
      <c r="O443" s="362"/>
      <c r="P443" s="362"/>
      <c r="Q443" s="362"/>
      <c r="R443" s="362"/>
    </row>
    <row r="444" spans="1:20" s="273" customFormat="1" x14ac:dyDescent="0.5">
      <c r="B444" s="175" t="s">
        <v>724</v>
      </c>
      <c r="C444" s="140"/>
      <c r="D444" s="140"/>
      <c r="E444" s="140"/>
      <c r="F444" s="125"/>
      <c r="G444" s="125"/>
      <c r="H444" s="189"/>
      <c r="I444" s="362"/>
      <c r="J444" s="362"/>
      <c r="K444" s="362"/>
      <c r="L444" s="362"/>
      <c r="M444" s="362"/>
      <c r="N444" s="362"/>
      <c r="O444" s="362"/>
      <c r="P444" s="362"/>
      <c r="Q444" s="362"/>
      <c r="R444" s="362"/>
    </row>
    <row r="445" spans="1:20" s="273" customFormat="1" x14ac:dyDescent="0.5">
      <c r="B445" s="175" t="s">
        <v>725</v>
      </c>
      <c r="C445" s="140"/>
      <c r="D445" s="140"/>
      <c r="E445" s="140"/>
      <c r="F445" s="125"/>
      <c r="G445" s="125"/>
      <c r="H445" s="189"/>
      <c r="I445" s="362"/>
      <c r="J445" s="362"/>
      <c r="K445" s="362"/>
      <c r="L445" s="362"/>
      <c r="M445" s="362"/>
      <c r="N445" s="362"/>
      <c r="O445" s="362"/>
      <c r="P445" s="362"/>
      <c r="Q445" s="362"/>
      <c r="R445" s="362"/>
    </row>
    <row r="446" spans="1:20" s="273" customFormat="1" x14ac:dyDescent="0.5">
      <c r="B446" s="279"/>
      <c r="H446" s="280"/>
      <c r="I446" s="541"/>
      <c r="J446" s="541"/>
      <c r="K446" s="541"/>
      <c r="L446" s="541"/>
      <c r="M446" s="541"/>
      <c r="N446" s="541"/>
      <c r="O446" s="541"/>
      <c r="P446" s="541"/>
      <c r="Q446" s="541"/>
      <c r="R446" s="541"/>
    </row>
    <row r="447" spans="1:20" s="273" customFormat="1" x14ac:dyDescent="0.5">
      <c r="B447" s="175" t="s">
        <v>193</v>
      </c>
      <c r="C447" s="140"/>
      <c r="D447" s="140"/>
      <c r="E447" s="140"/>
      <c r="F447" s="125"/>
      <c r="G447" s="125"/>
      <c r="H447" s="120"/>
      <c r="I447" s="362"/>
      <c r="J447" s="362"/>
      <c r="K447" s="362"/>
      <c r="L447" s="362"/>
      <c r="M447" s="362"/>
      <c r="N447" s="362"/>
      <c r="O447" s="362"/>
      <c r="P447" s="362"/>
      <c r="Q447" s="362"/>
      <c r="R447" s="362"/>
    </row>
    <row r="448" spans="1:20" s="273" customFormat="1" x14ac:dyDescent="0.5">
      <c r="B448" s="175"/>
      <c r="C448" s="140"/>
      <c r="D448" s="140"/>
      <c r="E448" s="140"/>
      <c r="F448" s="125"/>
      <c r="G448" s="125"/>
      <c r="H448" s="120"/>
      <c r="I448" s="362"/>
      <c r="J448" s="362"/>
      <c r="K448" s="362"/>
      <c r="L448" s="362"/>
      <c r="M448" s="362"/>
      <c r="N448" s="362"/>
      <c r="O448" s="362"/>
      <c r="P448" s="362"/>
      <c r="Q448" s="362"/>
      <c r="R448" s="362"/>
    </row>
    <row r="449" spans="1:18" s="273" customFormat="1" x14ac:dyDescent="0.5">
      <c r="B449" s="166" t="s">
        <v>297</v>
      </c>
      <c r="C449" s="140"/>
      <c r="D449" s="140"/>
      <c r="E449" s="140"/>
      <c r="F449" s="140"/>
      <c r="G449" s="140"/>
      <c r="H449" s="122"/>
      <c r="I449" s="542"/>
      <c r="J449" s="542"/>
      <c r="K449" s="542"/>
      <c r="L449" s="542"/>
      <c r="M449" s="542"/>
      <c r="N449" s="542"/>
      <c r="O449" s="542"/>
      <c r="P449" s="542"/>
      <c r="Q449" s="542"/>
      <c r="R449" s="542"/>
    </row>
    <row r="450" spans="1:18" s="273" customFormat="1" x14ac:dyDescent="0.5">
      <c r="B450" s="175" t="s">
        <v>290</v>
      </c>
      <c r="C450" s="140"/>
      <c r="D450" s="140"/>
      <c r="E450" s="140"/>
      <c r="F450" s="125"/>
      <c r="G450" s="125"/>
      <c r="H450" s="120"/>
      <c r="I450" s="362"/>
      <c r="J450" s="362"/>
      <c r="K450" s="362"/>
      <c r="L450" s="362"/>
      <c r="M450" s="362"/>
      <c r="N450" s="362"/>
      <c r="O450" s="362"/>
      <c r="P450" s="362"/>
      <c r="Q450" s="362"/>
      <c r="R450" s="362"/>
    </row>
    <row r="451" spans="1:18" s="273" customFormat="1" ht="13.2" thickBot="1" x14ac:dyDescent="0.55000000000000004">
      <c r="B451" s="390" t="s">
        <v>289</v>
      </c>
      <c r="C451" s="163"/>
      <c r="D451" s="163"/>
      <c r="E451" s="163"/>
      <c r="F451" s="130"/>
      <c r="G451" s="130"/>
      <c r="H451" s="190"/>
      <c r="I451" s="392"/>
      <c r="J451" s="392"/>
      <c r="K451" s="392"/>
      <c r="L451" s="392"/>
      <c r="M451" s="392"/>
      <c r="N451" s="392"/>
      <c r="O451" s="392"/>
      <c r="P451" s="392"/>
      <c r="Q451" s="392"/>
      <c r="R451" s="392"/>
    </row>
    <row r="452" spans="1:18" s="273" customFormat="1" x14ac:dyDescent="0.5"/>
    <row r="453" spans="1:18" s="273" customFormat="1" ht="14.4" x14ac:dyDescent="0.55000000000000004">
      <c r="A453" s="278"/>
      <c r="B453" s="482" t="str">
        <f>'LBO Model'!E7</f>
        <v>Downside Case</v>
      </c>
      <c r="D453" s="546" t="s">
        <v>811</v>
      </c>
      <c r="E453" s="482"/>
      <c r="F453" s="482"/>
      <c r="G453" s="482"/>
      <c r="H453" s="482"/>
      <c r="I453" s="482"/>
      <c r="J453" s="482"/>
      <c r="K453" s="482"/>
      <c r="L453" s="482"/>
      <c r="M453" s="482"/>
      <c r="N453" s="482"/>
      <c r="O453" s="482"/>
      <c r="P453" s="482"/>
      <c r="Q453" s="482"/>
      <c r="R453" s="482"/>
    </row>
    <row r="454" spans="1:18" s="273" customFormat="1" ht="13.2" thickBot="1" x14ac:dyDescent="0.55000000000000004">
      <c r="A454" s="278"/>
      <c r="B454" s="482"/>
      <c r="C454" s="482"/>
      <c r="D454" s="482"/>
      <c r="E454" s="482"/>
      <c r="F454" s="482"/>
      <c r="G454" s="482"/>
      <c r="H454" s="482"/>
      <c r="I454" s="482"/>
      <c r="J454" s="482"/>
      <c r="K454" s="482"/>
      <c r="L454" s="482"/>
      <c r="M454" s="482"/>
      <c r="N454" s="482"/>
      <c r="O454" s="482"/>
      <c r="P454" s="482"/>
      <c r="Q454" s="482"/>
      <c r="R454" s="482"/>
    </row>
    <row r="455" spans="1:18" s="273" customFormat="1" x14ac:dyDescent="0.5">
      <c r="B455" s="478" t="s">
        <v>273</v>
      </c>
      <c r="C455" s="479"/>
      <c r="D455" s="479"/>
      <c r="E455" s="479"/>
      <c r="F455" s="480" t="s">
        <v>109</v>
      </c>
      <c r="G455" s="480"/>
      <c r="H455" s="173"/>
      <c r="I455" s="480" t="s">
        <v>224</v>
      </c>
      <c r="J455" s="480"/>
      <c r="K455" s="480"/>
      <c r="L455" s="480"/>
      <c r="M455" s="480"/>
      <c r="N455" s="480"/>
      <c r="O455" s="480"/>
      <c r="P455" s="481"/>
      <c r="Q455" s="481"/>
      <c r="R455" s="481"/>
    </row>
    <row r="456" spans="1:18" s="273" customFormat="1" x14ac:dyDescent="0.5">
      <c r="B456" s="150"/>
      <c r="C456" s="150"/>
      <c r="D456" s="150"/>
      <c r="E456" s="150"/>
      <c r="F456" s="123">
        <v>42003</v>
      </c>
      <c r="G456" s="123">
        <v>42367</v>
      </c>
      <c r="H456" s="124">
        <v>42731</v>
      </c>
      <c r="I456" s="123">
        <f t="shared" ref="I456:R456" si="207">DATE(YEAR(H456)+1,MONTH(H456),DAY(H456))</f>
        <v>43096</v>
      </c>
      <c r="J456" s="123">
        <f t="shared" si="207"/>
        <v>43461</v>
      </c>
      <c r="K456" s="123">
        <f t="shared" si="207"/>
        <v>43826</v>
      </c>
      <c r="L456" s="123">
        <f t="shared" si="207"/>
        <v>44192</v>
      </c>
      <c r="M456" s="123">
        <f t="shared" si="207"/>
        <v>44557</v>
      </c>
      <c r="N456" s="123">
        <f t="shared" si="207"/>
        <v>44922</v>
      </c>
      <c r="O456" s="123">
        <f t="shared" si="207"/>
        <v>45287</v>
      </c>
      <c r="P456" s="123">
        <f t="shared" si="207"/>
        <v>45653</v>
      </c>
      <c r="Q456" s="123">
        <f t="shared" si="207"/>
        <v>46018</v>
      </c>
      <c r="R456" s="123">
        <f t="shared" si="207"/>
        <v>46383</v>
      </c>
    </row>
    <row r="457" spans="1:18" s="273" customFormat="1" x14ac:dyDescent="0.5">
      <c r="B457" s="274" t="s">
        <v>364</v>
      </c>
      <c r="H457" s="280"/>
      <c r="I457" s="364"/>
      <c r="J457" s="364"/>
      <c r="K457" s="364"/>
      <c r="L457" s="364"/>
      <c r="M457" s="364"/>
      <c r="N457" s="364"/>
      <c r="O457" s="364"/>
      <c r="P457" s="364"/>
      <c r="Q457" s="364"/>
      <c r="R457" s="364"/>
    </row>
    <row r="458" spans="1:18" s="273" customFormat="1" x14ac:dyDescent="0.5">
      <c r="B458" s="175" t="s">
        <v>199</v>
      </c>
      <c r="C458" s="140"/>
      <c r="D458" s="140"/>
      <c r="E458" s="140"/>
      <c r="F458" s="125"/>
      <c r="G458" s="125"/>
      <c r="H458" s="189"/>
      <c r="I458" s="362"/>
      <c r="J458" s="362"/>
      <c r="K458" s="362"/>
      <c r="L458" s="362"/>
      <c r="M458" s="362"/>
      <c r="N458" s="362"/>
      <c r="O458" s="362"/>
      <c r="P458" s="362"/>
      <c r="Q458" s="362"/>
      <c r="R458" s="362"/>
    </row>
    <row r="459" spans="1:18" s="273" customFormat="1" x14ac:dyDescent="0.5">
      <c r="B459" s="175" t="s">
        <v>200</v>
      </c>
      <c r="C459" s="140"/>
      <c r="D459" s="140"/>
      <c r="E459" s="140"/>
      <c r="F459" s="125"/>
      <c r="G459" s="125"/>
      <c r="H459" s="189"/>
      <c r="I459" s="362"/>
      <c r="J459" s="362"/>
      <c r="K459" s="362"/>
      <c r="L459" s="362"/>
      <c r="M459" s="362"/>
      <c r="N459" s="362"/>
      <c r="O459" s="362"/>
      <c r="P459" s="362"/>
      <c r="Q459" s="362"/>
      <c r="R459" s="362"/>
    </row>
    <row r="460" spans="1:18" s="273" customFormat="1" x14ac:dyDescent="0.5">
      <c r="B460" s="175" t="s">
        <v>724</v>
      </c>
      <c r="C460" s="140"/>
      <c r="D460" s="140"/>
      <c r="E460" s="140"/>
      <c r="F460" s="125"/>
      <c r="G460" s="125"/>
      <c r="H460" s="189"/>
      <c r="I460" s="362"/>
      <c r="J460" s="362"/>
      <c r="K460" s="362"/>
      <c r="L460" s="362"/>
      <c r="M460" s="362"/>
      <c r="N460" s="362"/>
      <c r="O460" s="362"/>
      <c r="P460" s="362"/>
      <c r="Q460" s="362"/>
      <c r="R460" s="362"/>
    </row>
    <row r="461" spans="1:18" s="273" customFormat="1" x14ac:dyDescent="0.5">
      <c r="B461" s="175" t="s">
        <v>725</v>
      </c>
      <c r="C461" s="140"/>
      <c r="D461" s="140"/>
      <c r="E461" s="140"/>
      <c r="F461" s="125"/>
      <c r="G461" s="125"/>
      <c r="H461" s="189"/>
      <c r="I461" s="362"/>
      <c r="J461" s="362"/>
      <c r="K461" s="362"/>
      <c r="L461" s="362"/>
      <c r="M461" s="362"/>
      <c r="N461" s="362"/>
      <c r="O461" s="362"/>
      <c r="P461" s="362"/>
      <c r="Q461" s="362"/>
      <c r="R461" s="362"/>
    </row>
    <row r="462" spans="1:18" s="273" customFormat="1" x14ac:dyDescent="0.5">
      <c r="B462" s="279"/>
      <c r="H462" s="280"/>
      <c r="I462" s="362"/>
      <c r="J462" s="362"/>
      <c r="K462" s="362"/>
      <c r="L462" s="362"/>
      <c r="M462" s="362"/>
      <c r="N462" s="362"/>
      <c r="O462" s="362"/>
      <c r="P462" s="362"/>
      <c r="Q462" s="362"/>
      <c r="R462" s="362"/>
    </row>
    <row r="463" spans="1:18" s="273" customFormat="1" x14ac:dyDescent="0.5">
      <c r="B463" s="175" t="s">
        <v>193</v>
      </c>
      <c r="C463" s="140"/>
      <c r="D463" s="140"/>
      <c r="E463" s="140"/>
      <c r="F463" s="125"/>
      <c r="G463" s="125"/>
      <c r="H463" s="120"/>
      <c r="I463" s="362"/>
      <c r="J463" s="362"/>
      <c r="K463" s="362"/>
      <c r="L463" s="362"/>
      <c r="M463" s="362"/>
      <c r="N463" s="362"/>
      <c r="O463" s="362"/>
      <c r="P463" s="362"/>
      <c r="Q463" s="362"/>
      <c r="R463" s="362"/>
    </row>
    <row r="464" spans="1:18" s="273" customFormat="1" x14ac:dyDescent="0.5">
      <c r="B464" s="175"/>
      <c r="C464" s="140"/>
      <c r="D464" s="140"/>
      <c r="E464" s="140"/>
      <c r="F464" s="125"/>
      <c r="G464" s="125"/>
      <c r="H464" s="120"/>
      <c r="I464" s="362"/>
      <c r="J464" s="362"/>
      <c r="K464" s="362"/>
      <c r="L464" s="362"/>
      <c r="M464" s="362"/>
      <c r="N464" s="362"/>
      <c r="O464" s="362"/>
      <c r="P464" s="362"/>
      <c r="Q464" s="362"/>
      <c r="R464" s="362"/>
    </row>
    <row r="465" spans="1:18" s="273" customFormat="1" x14ac:dyDescent="0.5">
      <c r="B465" s="166" t="s">
        <v>297</v>
      </c>
      <c r="C465" s="140"/>
      <c r="D465" s="140"/>
      <c r="E465" s="140"/>
      <c r="F465" s="140"/>
      <c r="G465" s="140"/>
      <c r="H465" s="122"/>
      <c r="I465" s="362"/>
      <c r="J465" s="362"/>
      <c r="K465" s="362"/>
      <c r="L465" s="362"/>
      <c r="M465" s="362"/>
      <c r="N465" s="362"/>
      <c r="O465" s="362"/>
      <c r="P465" s="362"/>
      <c r="Q465" s="362"/>
      <c r="R465" s="362"/>
    </row>
    <row r="466" spans="1:18" s="273" customFormat="1" x14ac:dyDescent="0.5">
      <c r="B466" s="175" t="s">
        <v>290</v>
      </c>
      <c r="C466" s="140"/>
      <c r="D466" s="140"/>
      <c r="E466" s="140"/>
      <c r="F466" s="125"/>
      <c r="G466" s="125"/>
      <c r="H466" s="120"/>
      <c r="I466" s="362"/>
      <c r="J466" s="362"/>
      <c r="K466" s="362"/>
      <c r="L466" s="362"/>
      <c r="M466" s="362"/>
      <c r="N466" s="362"/>
      <c r="O466" s="362"/>
      <c r="P466" s="362"/>
      <c r="Q466" s="362"/>
      <c r="R466" s="362"/>
    </row>
    <row r="467" spans="1:18" s="273" customFormat="1" ht="13.2" thickBot="1" x14ac:dyDescent="0.55000000000000004">
      <c r="B467" s="390" t="s">
        <v>289</v>
      </c>
      <c r="C467" s="163"/>
      <c r="D467" s="163"/>
      <c r="E467" s="163"/>
      <c r="F467" s="130"/>
      <c r="G467" s="130"/>
      <c r="H467" s="190"/>
      <c r="I467" s="392"/>
      <c r="J467" s="392"/>
      <c r="K467" s="392"/>
      <c r="L467" s="392"/>
      <c r="M467" s="392"/>
      <c r="N467" s="392"/>
      <c r="O467" s="392"/>
      <c r="P467" s="392"/>
      <c r="Q467" s="392"/>
      <c r="R467" s="392"/>
    </row>
    <row r="468" spans="1:18" s="273" customFormat="1" x14ac:dyDescent="0.5"/>
    <row r="469" spans="1:18" s="273" customFormat="1" x14ac:dyDescent="0.5">
      <c r="A469" s="278"/>
      <c r="B469" s="482" t="str">
        <f>'LBO Model'!E8</f>
        <v>Open Case #1</v>
      </c>
      <c r="C469" s="482"/>
      <c r="D469" s="482"/>
      <c r="E469" s="482"/>
      <c r="F469" s="482"/>
      <c r="G469" s="482"/>
      <c r="H469" s="482"/>
      <c r="I469" s="482"/>
      <c r="J469" s="482"/>
      <c r="K469" s="482"/>
      <c r="L469" s="482"/>
      <c r="M469" s="482"/>
      <c r="N469" s="482"/>
      <c r="O469" s="482"/>
      <c r="P469" s="482"/>
      <c r="Q469" s="482"/>
      <c r="R469" s="482"/>
    </row>
    <row r="470" spans="1:18" s="273" customFormat="1" ht="13.2" thickBot="1" x14ac:dyDescent="0.55000000000000004">
      <c r="A470" s="278"/>
      <c r="B470" s="482"/>
      <c r="C470" s="482"/>
      <c r="D470" s="482"/>
      <c r="E470" s="482"/>
      <c r="F470" s="482"/>
      <c r="G470" s="482"/>
      <c r="H470" s="482"/>
      <c r="I470" s="482"/>
      <c r="J470" s="482"/>
      <c r="K470" s="482"/>
      <c r="L470" s="482"/>
      <c r="M470" s="482"/>
      <c r="N470" s="482"/>
      <c r="O470" s="482"/>
      <c r="P470" s="482"/>
      <c r="Q470" s="482"/>
      <c r="R470" s="482"/>
    </row>
    <row r="471" spans="1:18" s="273" customFormat="1" x14ac:dyDescent="0.5">
      <c r="B471" s="478" t="s">
        <v>273</v>
      </c>
      <c r="C471" s="479"/>
      <c r="D471" s="479"/>
      <c r="E471" s="479"/>
      <c r="F471" s="480" t="s">
        <v>109</v>
      </c>
      <c r="G471" s="480"/>
      <c r="H471" s="173"/>
      <c r="I471" s="480" t="s">
        <v>224</v>
      </c>
      <c r="J471" s="480"/>
      <c r="K471" s="480"/>
      <c r="L471" s="480"/>
      <c r="M471" s="480"/>
      <c r="N471" s="480"/>
      <c r="O471" s="480"/>
      <c r="P471" s="481"/>
      <c r="Q471" s="481"/>
      <c r="R471" s="481"/>
    </row>
    <row r="472" spans="1:18" s="273" customFormat="1" x14ac:dyDescent="0.5">
      <c r="B472" s="150"/>
      <c r="C472" s="150"/>
      <c r="D472" s="150"/>
      <c r="E472" s="150"/>
      <c r="F472" s="123">
        <v>42003</v>
      </c>
      <c r="G472" s="123">
        <v>42367</v>
      </c>
      <c r="H472" s="124">
        <v>42731</v>
      </c>
      <c r="I472" s="123">
        <f t="shared" ref="I472:R472" si="208">DATE(YEAR(H472)+1,MONTH(H472),DAY(H472))</f>
        <v>43096</v>
      </c>
      <c r="J472" s="123">
        <f t="shared" si="208"/>
        <v>43461</v>
      </c>
      <c r="K472" s="123">
        <f t="shared" si="208"/>
        <v>43826</v>
      </c>
      <c r="L472" s="123">
        <f t="shared" si="208"/>
        <v>44192</v>
      </c>
      <c r="M472" s="123">
        <f t="shared" si="208"/>
        <v>44557</v>
      </c>
      <c r="N472" s="123">
        <f t="shared" si="208"/>
        <v>44922</v>
      </c>
      <c r="O472" s="123">
        <f t="shared" si="208"/>
        <v>45287</v>
      </c>
      <c r="P472" s="123">
        <f t="shared" si="208"/>
        <v>45653</v>
      </c>
      <c r="Q472" s="123">
        <f t="shared" si="208"/>
        <v>46018</v>
      </c>
      <c r="R472" s="123">
        <f t="shared" si="208"/>
        <v>46383</v>
      </c>
    </row>
    <row r="473" spans="1:18" s="273" customFormat="1" x14ac:dyDescent="0.5">
      <c r="B473" s="274" t="s">
        <v>364</v>
      </c>
      <c r="H473" s="280"/>
      <c r="I473" s="364"/>
      <c r="J473" s="364"/>
      <c r="K473" s="364"/>
      <c r="L473" s="364"/>
      <c r="M473" s="364"/>
      <c r="N473" s="364"/>
      <c r="O473" s="364"/>
      <c r="P473" s="364"/>
      <c r="Q473" s="364"/>
      <c r="R473" s="364"/>
    </row>
    <row r="474" spans="1:18" s="273" customFormat="1" x14ac:dyDescent="0.5">
      <c r="B474" s="175" t="s">
        <v>199</v>
      </c>
      <c r="C474" s="140"/>
      <c r="D474" s="140"/>
      <c r="E474" s="140"/>
      <c r="F474" s="125"/>
      <c r="G474" s="125"/>
      <c r="H474" s="189"/>
      <c r="I474" s="362"/>
      <c r="J474" s="362"/>
      <c r="K474" s="362"/>
      <c r="L474" s="362"/>
      <c r="M474" s="362"/>
      <c r="N474" s="361"/>
      <c r="O474" s="361"/>
      <c r="P474" s="361"/>
      <c r="Q474" s="361"/>
      <c r="R474" s="361"/>
    </row>
    <row r="475" spans="1:18" s="273" customFormat="1" x14ac:dyDescent="0.5">
      <c r="B475" s="175" t="s">
        <v>200</v>
      </c>
      <c r="C475" s="140"/>
      <c r="D475" s="140"/>
      <c r="E475" s="140"/>
      <c r="F475" s="125"/>
      <c r="G475" s="125"/>
      <c r="H475" s="189"/>
      <c r="I475" s="362"/>
      <c r="J475" s="362"/>
      <c r="K475" s="362"/>
      <c r="L475" s="362"/>
      <c r="M475" s="362"/>
      <c r="N475" s="361"/>
      <c r="O475" s="361"/>
      <c r="P475" s="361"/>
      <c r="Q475" s="361"/>
      <c r="R475" s="361"/>
    </row>
    <row r="476" spans="1:18" s="273" customFormat="1" x14ac:dyDescent="0.5">
      <c r="B476" s="175" t="s">
        <v>724</v>
      </c>
      <c r="C476" s="140"/>
      <c r="D476" s="140"/>
      <c r="E476" s="140"/>
      <c r="F476" s="125"/>
      <c r="G476" s="125"/>
      <c r="H476" s="189"/>
      <c r="I476" s="362"/>
      <c r="J476" s="361"/>
      <c r="K476" s="361"/>
      <c r="L476" s="361"/>
      <c r="M476" s="361"/>
      <c r="N476" s="361"/>
      <c r="O476" s="361"/>
      <c r="P476" s="361"/>
      <c r="Q476" s="361"/>
      <c r="R476" s="361"/>
    </row>
    <row r="477" spans="1:18" s="273" customFormat="1" x14ac:dyDescent="0.5">
      <c r="B477" s="175" t="s">
        <v>725</v>
      </c>
      <c r="C477" s="140"/>
      <c r="D477" s="140"/>
      <c r="E477" s="140"/>
      <c r="F477" s="125"/>
      <c r="G477" s="125"/>
      <c r="H477" s="189"/>
      <c r="I477" s="362"/>
      <c r="J477" s="361"/>
      <c r="K477" s="361"/>
      <c r="L477" s="361"/>
      <c r="M477" s="361"/>
      <c r="N477" s="361"/>
      <c r="O477" s="361"/>
      <c r="P477" s="361"/>
      <c r="Q477" s="361"/>
      <c r="R477" s="361"/>
    </row>
    <row r="478" spans="1:18" s="273" customFormat="1" x14ac:dyDescent="0.5">
      <c r="B478" s="279"/>
      <c r="H478" s="280"/>
      <c r="I478" s="364"/>
      <c r="J478" s="364"/>
      <c r="K478" s="364"/>
      <c r="L478" s="364"/>
      <c r="M478" s="364"/>
      <c r="N478" s="364"/>
      <c r="O478" s="364"/>
      <c r="P478" s="364"/>
      <c r="Q478" s="364"/>
      <c r="R478" s="364"/>
    </row>
    <row r="479" spans="1:18" s="273" customFormat="1" x14ac:dyDescent="0.5">
      <c r="B479" s="175" t="s">
        <v>193</v>
      </c>
      <c r="C479" s="140"/>
      <c r="D479" s="140"/>
      <c r="E479" s="140"/>
      <c r="F479" s="125"/>
      <c r="G479" s="125"/>
      <c r="H479" s="120"/>
      <c r="I479" s="362"/>
      <c r="J479" s="361"/>
      <c r="K479" s="361"/>
      <c r="L479" s="361"/>
      <c r="M479" s="361"/>
      <c r="N479" s="361"/>
      <c r="O479" s="361"/>
      <c r="P479" s="361"/>
      <c r="Q479" s="361"/>
      <c r="R479" s="361"/>
    </row>
    <row r="480" spans="1:18" s="273" customFormat="1" x14ac:dyDescent="0.5">
      <c r="B480" s="175"/>
      <c r="C480" s="140"/>
      <c r="D480" s="140"/>
      <c r="E480" s="140"/>
      <c r="F480" s="125"/>
      <c r="G480" s="125"/>
      <c r="H480" s="120"/>
      <c r="I480" s="362"/>
      <c r="J480" s="361"/>
      <c r="K480" s="361"/>
      <c r="L480" s="361"/>
      <c r="M480" s="361"/>
      <c r="N480" s="361"/>
      <c r="O480" s="361"/>
      <c r="P480" s="361"/>
      <c r="Q480" s="361"/>
      <c r="R480" s="361"/>
    </row>
    <row r="481" spans="1:18" s="273" customFormat="1" x14ac:dyDescent="0.5">
      <c r="B481" s="166" t="s">
        <v>297</v>
      </c>
      <c r="C481" s="140"/>
      <c r="D481" s="140"/>
      <c r="E481" s="140"/>
      <c r="F481" s="140"/>
      <c r="G481" s="140"/>
      <c r="H481" s="122"/>
      <c r="I481" s="365"/>
      <c r="J481" s="365"/>
      <c r="K481" s="365"/>
      <c r="L481" s="365"/>
      <c r="M481" s="365"/>
      <c r="N481" s="365"/>
      <c r="O481" s="365"/>
      <c r="P481" s="365"/>
      <c r="Q481" s="365"/>
      <c r="R481" s="365"/>
    </row>
    <row r="482" spans="1:18" s="273" customFormat="1" x14ac:dyDescent="0.5">
      <c r="B482" s="175" t="s">
        <v>290</v>
      </c>
      <c r="C482" s="140"/>
      <c r="D482" s="140"/>
      <c r="E482" s="140"/>
      <c r="F482" s="125"/>
      <c r="G482" s="125"/>
      <c r="H482" s="120"/>
      <c r="I482" s="362"/>
      <c r="J482" s="362"/>
      <c r="K482" s="362"/>
      <c r="L482" s="362"/>
      <c r="M482" s="362"/>
      <c r="N482" s="361"/>
      <c r="O482" s="361"/>
      <c r="P482" s="361"/>
      <c r="Q482" s="361"/>
      <c r="R482" s="361"/>
    </row>
    <row r="483" spans="1:18" s="273" customFormat="1" ht="13.2" thickBot="1" x14ac:dyDescent="0.55000000000000004">
      <c r="B483" s="390" t="s">
        <v>289</v>
      </c>
      <c r="C483" s="163"/>
      <c r="D483" s="163"/>
      <c r="E483" s="163"/>
      <c r="F483" s="130"/>
      <c r="G483" s="130"/>
      <c r="H483" s="190"/>
      <c r="I483" s="392"/>
      <c r="J483" s="392"/>
      <c r="K483" s="392"/>
      <c r="L483" s="392"/>
      <c r="M483" s="392"/>
      <c r="N483" s="393"/>
      <c r="O483" s="393"/>
      <c r="P483" s="393"/>
      <c r="Q483" s="393"/>
      <c r="R483" s="393"/>
    </row>
    <row r="484" spans="1:18" s="273" customFormat="1" x14ac:dyDescent="0.5"/>
    <row r="485" spans="1:18" s="273" customFormat="1" x14ac:dyDescent="0.5">
      <c r="A485" s="278"/>
      <c r="B485" s="482" t="str">
        <f>'LBO Model'!E9</f>
        <v>Open Case #2</v>
      </c>
      <c r="C485" s="482"/>
      <c r="D485" s="482"/>
      <c r="E485" s="482"/>
      <c r="F485" s="482"/>
      <c r="G485" s="482"/>
      <c r="H485" s="482"/>
      <c r="I485" s="482"/>
      <c r="J485" s="482"/>
      <c r="K485" s="482"/>
      <c r="L485" s="482"/>
      <c r="M485" s="482"/>
      <c r="N485" s="482"/>
      <c r="O485" s="482"/>
      <c r="P485" s="482"/>
      <c r="Q485" s="482"/>
      <c r="R485" s="482"/>
    </row>
    <row r="486" spans="1:18" s="273" customFormat="1" ht="13.2" thickBot="1" x14ac:dyDescent="0.55000000000000004">
      <c r="A486" s="278"/>
      <c r="B486" s="482"/>
      <c r="C486" s="482"/>
      <c r="D486" s="482"/>
      <c r="E486" s="482"/>
      <c r="F486" s="482"/>
      <c r="G486" s="482"/>
      <c r="H486" s="482"/>
      <c r="I486" s="482"/>
      <c r="J486" s="482"/>
      <c r="K486" s="482"/>
      <c r="L486" s="482"/>
      <c r="M486" s="482"/>
      <c r="N486" s="482"/>
      <c r="O486" s="482"/>
      <c r="P486" s="482"/>
      <c r="Q486" s="482"/>
      <c r="R486" s="482"/>
    </row>
    <row r="487" spans="1:18" s="273" customFormat="1" x14ac:dyDescent="0.5">
      <c r="B487" s="478" t="s">
        <v>273</v>
      </c>
      <c r="C487" s="479"/>
      <c r="D487" s="479"/>
      <c r="E487" s="479"/>
      <c r="F487" s="480" t="s">
        <v>109</v>
      </c>
      <c r="G487" s="480"/>
      <c r="H487" s="173"/>
      <c r="I487" s="480" t="s">
        <v>224</v>
      </c>
      <c r="J487" s="480"/>
      <c r="K487" s="480"/>
      <c r="L487" s="480"/>
      <c r="M487" s="480"/>
      <c r="N487" s="480"/>
      <c r="O487" s="480"/>
      <c r="P487" s="481"/>
      <c r="Q487" s="481"/>
      <c r="R487" s="481"/>
    </row>
    <row r="488" spans="1:18" s="273" customFormat="1" x14ac:dyDescent="0.5">
      <c r="B488" s="150"/>
      <c r="C488" s="150"/>
      <c r="D488" s="150"/>
      <c r="E488" s="150"/>
      <c r="F488" s="123">
        <v>42003</v>
      </c>
      <c r="G488" s="123">
        <v>42367</v>
      </c>
      <c r="H488" s="124">
        <v>42731</v>
      </c>
      <c r="I488" s="123">
        <f t="shared" ref="I488:R488" si="209">DATE(YEAR(H488)+1,MONTH(H488),DAY(H488))</f>
        <v>43096</v>
      </c>
      <c r="J488" s="123">
        <f t="shared" si="209"/>
        <v>43461</v>
      </c>
      <c r="K488" s="123">
        <f t="shared" si="209"/>
        <v>43826</v>
      </c>
      <c r="L488" s="123">
        <f t="shared" si="209"/>
        <v>44192</v>
      </c>
      <c r="M488" s="123">
        <f t="shared" si="209"/>
        <v>44557</v>
      </c>
      <c r="N488" s="123">
        <f t="shared" si="209"/>
        <v>44922</v>
      </c>
      <c r="O488" s="123">
        <f t="shared" si="209"/>
        <v>45287</v>
      </c>
      <c r="P488" s="123">
        <f t="shared" si="209"/>
        <v>45653</v>
      </c>
      <c r="Q488" s="123">
        <f t="shared" si="209"/>
        <v>46018</v>
      </c>
      <c r="R488" s="123">
        <f t="shared" si="209"/>
        <v>46383</v>
      </c>
    </row>
    <row r="489" spans="1:18" s="273" customFormat="1" x14ac:dyDescent="0.5">
      <c r="B489" s="274" t="s">
        <v>364</v>
      </c>
      <c r="H489" s="280"/>
      <c r="I489" s="364"/>
      <c r="J489" s="364"/>
      <c r="K489" s="364"/>
      <c r="L489" s="364"/>
      <c r="M489" s="364"/>
      <c r="N489" s="364"/>
      <c r="O489" s="364"/>
      <c r="P489" s="364"/>
      <c r="Q489" s="364"/>
      <c r="R489" s="364"/>
    </row>
    <row r="490" spans="1:18" s="273" customFormat="1" x14ac:dyDescent="0.5">
      <c r="B490" s="175" t="s">
        <v>199</v>
      </c>
      <c r="C490" s="140"/>
      <c r="D490" s="140"/>
      <c r="E490" s="140"/>
      <c r="F490" s="125"/>
      <c r="G490" s="125"/>
      <c r="H490" s="189"/>
      <c r="I490" s="362"/>
      <c r="J490" s="362"/>
      <c r="K490" s="362"/>
      <c r="L490" s="362"/>
      <c r="M490" s="362"/>
      <c r="N490" s="361"/>
      <c r="O490" s="361"/>
      <c r="P490" s="361"/>
      <c r="Q490" s="361"/>
      <c r="R490" s="361"/>
    </row>
    <row r="491" spans="1:18" s="273" customFormat="1" x14ac:dyDescent="0.5">
      <c r="B491" s="175" t="s">
        <v>200</v>
      </c>
      <c r="C491" s="140"/>
      <c r="D491" s="140"/>
      <c r="E491" s="140"/>
      <c r="F491" s="125"/>
      <c r="G491" s="125"/>
      <c r="H491" s="189"/>
      <c r="I491" s="362"/>
      <c r="J491" s="362"/>
      <c r="K491" s="362"/>
      <c r="L491" s="362"/>
      <c r="M491" s="362"/>
      <c r="N491" s="361"/>
      <c r="O491" s="361"/>
      <c r="P491" s="361"/>
      <c r="Q491" s="361"/>
      <c r="R491" s="361"/>
    </row>
    <row r="492" spans="1:18" s="273" customFormat="1" x14ac:dyDescent="0.5">
      <c r="B492" s="175" t="s">
        <v>724</v>
      </c>
      <c r="C492" s="140"/>
      <c r="D492" s="140"/>
      <c r="E492" s="140"/>
      <c r="F492" s="125"/>
      <c r="G492" s="125"/>
      <c r="H492" s="189"/>
      <c r="I492" s="362"/>
      <c r="J492" s="361"/>
      <c r="K492" s="361"/>
      <c r="L492" s="361"/>
      <c r="M492" s="361"/>
      <c r="N492" s="361"/>
      <c r="O492" s="361"/>
      <c r="P492" s="361"/>
      <c r="Q492" s="361"/>
      <c r="R492" s="361"/>
    </row>
    <row r="493" spans="1:18" s="273" customFormat="1" x14ac:dyDescent="0.5">
      <c r="B493" s="175" t="s">
        <v>725</v>
      </c>
      <c r="C493" s="140"/>
      <c r="D493" s="140"/>
      <c r="E493" s="140"/>
      <c r="F493" s="125"/>
      <c r="G493" s="125"/>
      <c r="H493" s="189"/>
      <c r="I493" s="362"/>
      <c r="J493" s="361"/>
      <c r="K493" s="361"/>
      <c r="L493" s="361"/>
      <c r="M493" s="361"/>
      <c r="N493" s="361"/>
      <c r="O493" s="361"/>
      <c r="P493" s="361"/>
      <c r="Q493" s="361"/>
      <c r="R493" s="361"/>
    </row>
    <row r="494" spans="1:18" s="273" customFormat="1" x14ac:dyDescent="0.5">
      <c r="B494" s="279"/>
      <c r="H494" s="280"/>
      <c r="I494" s="364"/>
      <c r="J494" s="364"/>
      <c r="K494" s="364"/>
      <c r="L494" s="364"/>
      <c r="M494" s="364"/>
      <c r="N494" s="364"/>
      <c r="O494" s="364"/>
      <c r="P494" s="364"/>
      <c r="Q494" s="364"/>
      <c r="R494" s="364"/>
    </row>
    <row r="495" spans="1:18" s="273" customFormat="1" x14ac:dyDescent="0.5">
      <c r="B495" s="175" t="s">
        <v>193</v>
      </c>
      <c r="C495" s="140"/>
      <c r="D495" s="140"/>
      <c r="E495" s="140"/>
      <c r="F495" s="125"/>
      <c r="G495" s="125"/>
      <c r="H495" s="120"/>
      <c r="I495" s="362"/>
      <c r="J495" s="361"/>
      <c r="K495" s="361"/>
      <c r="L495" s="361"/>
      <c r="M495" s="361"/>
      <c r="N495" s="361"/>
      <c r="O495" s="361"/>
      <c r="P495" s="361"/>
      <c r="Q495" s="361"/>
      <c r="R495" s="361"/>
    </row>
    <row r="496" spans="1:18" s="273" customFormat="1" x14ac:dyDescent="0.5">
      <c r="B496" s="175"/>
      <c r="C496" s="140"/>
      <c r="D496" s="140"/>
      <c r="E496" s="140"/>
      <c r="F496" s="125"/>
      <c r="G496" s="125"/>
      <c r="H496" s="120"/>
      <c r="I496" s="362"/>
      <c r="J496" s="361"/>
      <c r="K496" s="361"/>
      <c r="L496" s="361"/>
      <c r="M496" s="361"/>
      <c r="N496" s="361"/>
      <c r="O496" s="361"/>
      <c r="P496" s="361"/>
      <c r="Q496" s="361"/>
      <c r="R496" s="361"/>
    </row>
    <row r="497" spans="1:18" s="273" customFormat="1" x14ac:dyDescent="0.5">
      <c r="B497" s="166" t="s">
        <v>297</v>
      </c>
      <c r="C497" s="140"/>
      <c r="D497" s="140"/>
      <c r="E497" s="140"/>
      <c r="F497" s="140"/>
      <c r="G497" s="140"/>
      <c r="H497" s="122"/>
      <c r="I497" s="365"/>
      <c r="J497" s="365"/>
      <c r="K497" s="365"/>
      <c r="L497" s="365"/>
      <c r="M497" s="365"/>
      <c r="N497" s="365"/>
      <c r="O497" s="365"/>
      <c r="P497" s="365"/>
      <c r="Q497" s="365"/>
      <c r="R497" s="365"/>
    </row>
    <row r="498" spans="1:18" s="273" customFormat="1" x14ac:dyDescent="0.5">
      <c r="B498" s="175" t="s">
        <v>290</v>
      </c>
      <c r="C498" s="140"/>
      <c r="D498" s="140"/>
      <c r="E498" s="140"/>
      <c r="F498" s="125"/>
      <c r="G498" s="125"/>
      <c r="H498" s="120"/>
      <c r="I498" s="362"/>
      <c r="J498" s="362"/>
      <c r="K498" s="362"/>
      <c r="L498" s="362"/>
      <c r="M498" s="362"/>
      <c r="N498" s="361"/>
      <c r="O498" s="361"/>
      <c r="P498" s="361"/>
      <c r="Q498" s="361"/>
      <c r="R498" s="361"/>
    </row>
    <row r="499" spans="1:18" s="273" customFormat="1" ht="13.2" thickBot="1" x14ac:dyDescent="0.55000000000000004">
      <c r="B499" s="390" t="s">
        <v>289</v>
      </c>
      <c r="C499" s="163"/>
      <c r="D499" s="163"/>
      <c r="E499" s="163"/>
      <c r="F499" s="130"/>
      <c r="G499" s="130"/>
      <c r="H499" s="190"/>
      <c r="I499" s="392"/>
      <c r="J499" s="392"/>
      <c r="K499" s="392"/>
      <c r="L499" s="392"/>
      <c r="M499" s="392"/>
      <c r="N499" s="393"/>
      <c r="O499" s="393"/>
      <c r="P499" s="393"/>
      <c r="Q499" s="393"/>
      <c r="R499" s="393"/>
    </row>
    <row r="501" spans="1:18" s="273" customFormat="1" ht="15.6" x14ac:dyDescent="0.6">
      <c r="A501" s="278" t="s">
        <v>31</v>
      </c>
      <c r="B501" s="161" t="str">
        <f>"Bid Scenario: "&amp;'LBO Model'!J4</f>
        <v>Bid Scenario: High Bid</v>
      </c>
      <c r="C501" s="272"/>
      <c r="D501" s="272"/>
      <c r="E501" s="272"/>
      <c r="F501" s="272"/>
      <c r="G501" s="272"/>
      <c r="H501" s="272"/>
      <c r="I501" s="272"/>
      <c r="J501" s="272"/>
      <c r="K501" s="272"/>
      <c r="L501" s="272"/>
      <c r="M501" s="272"/>
      <c r="N501" s="272"/>
      <c r="O501" s="272"/>
      <c r="P501" s="272"/>
      <c r="Q501" s="272"/>
      <c r="R501" s="272"/>
    </row>
    <row r="502" spans="1:18" s="273" customFormat="1" x14ac:dyDescent="0.5">
      <c r="G502" s="448"/>
      <c r="H502" s="448"/>
      <c r="I502" s="448"/>
    </row>
    <row r="503" spans="1:18" s="273" customFormat="1" ht="14.7" x14ac:dyDescent="0.8">
      <c r="E503" s="435" t="s">
        <v>430</v>
      </c>
      <c r="F503" s="434" t="str">
        <f>'[1]LBO Model'!J5</f>
        <v>High Bid</v>
      </c>
      <c r="G503" s="434" t="str">
        <f>'[1]LBO Model'!J6</f>
        <v>Low Bid</v>
      </c>
      <c r="H503" s="434" t="str">
        <f>'[1]LBO Model'!J7</f>
        <v>KLG High Bid</v>
      </c>
      <c r="I503" s="434" t="str">
        <f>'[1]LBO Model'!J8</f>
        <v>KLG Low Bid</v>
      </c>
    </row>
    <row r="504" spans="1:18" s="273" customFormat="1" x14ac:dyDescent="0.5">
      <c r="B504" s="274" t="s">
        <v>670</v>
      </c>
      <c r="E504" s="280"/>
    </row>
    <row r="505" spans="1:18" s="273" customFormat="1" x14ac:dyDescent="0.5">
      <c r="B505" s="279" t="s">
        <v>671</v>
      </c>
      <c r="E505" s="119">
        <f ca="1">OFFSET(E505,0,'LBO Model'!$I$4)</f>
        <v>0.28021880196016624</v>
      </c>
      <c r="F505" s="362">
        <v>0.28021880196016624</v>
      </c>
      <c r="G505" s="362">
        <v>0</v>
      </c>
      <c r="H505" s="362">
        <v>0.17442848109239584</v>
      </c>
      <c r="I505" s="362">
        <v>0.12</v>
      </c>
    </row>
    <row r="506" spans="1:18" s="273" customFormat="1" x14ac:dyDescent="0.5">
      <c r="B506" s="274" t="s">
        <v>182</v>
      </c>
      <c r="E506" s="280"/>
      <c r="F506" s="361"/>
      <c r="G506" s="361"/>
      <c r="H506" s="361"/>
      <c r="I506" s="361"/>
    </row>
    <row r="507" spans="1:18" s="273" customFormat="1" x14ac:dyDescent="0.5">
      <c r="B507" s="175" t="s">
        <v>672</v>
      </c>
      <c r="C507" s="140"/>
      <c r="D507" s="140"/>
      <c r="E507" s="119">
        <f ca="1">OFFSET(E507,0,'LBO Model'!$I$4)</f>
        <v>0.29533842332563481</v>
      </c>
      <c r="F507" s="362">
        <v>0.29533842332563481</v>
      </c>
      <c r="G507" s="362">
        <v>0.37138837908130268</v>
      </c>
      <c r="H507" s="362">
        <v>0.32008305185165054</v>
      </c>
      <c r="I507" s="362">
        <v>0.33450240059950104</v>
      </c>
    </row>
    <row r="508" spans="1:18" s="273" customFormat="1" x14ac:dyDescent="0.5">
      <c r="B508" s="175" t="s">
        <v>673</v>
      </c>
      <c r="C508" s="140"/>
      <c r="D508" s="140"/>
      <c r="E508" s="119">
        <f ca="1">OFFSET(E508,0,'LBO Model'!$I$4)</f>
        <v>0</v>
      </c>
      <c r="F508" s="362">
        <v>0</v>
      </c>
      <c r="G508" s="362">
        <v>0</v>
      </c>
      <c r="H508" s="362">
        <v>0</v>
      </c>
      <c r="I508" s="362">
        <v>0</v>
      </c>
    </row>
    <row r="509" spans="1:18" s="273" customFormat="1" ht="13.2" thickBot="1" x14ac:dyDescent="0.55000000000000004">
      <c r="B509" s="390" t="s">
        <v>674</v>
      </c>
      <c r="C509" s="163"/>
      <c r="D509" s="163"/>
      <c r="E509" s="444">
        <f ca="1">OFFSET(E509,0,'LBO Model'!$I$4)</f>
        <v>0.59516486278953196</v>
      </c>
      <c r="F509" s="392">
        <v>0.59516486278953196</v>
      </c>
      <c r="G509" s="392">
        <v>0.49091938762749071</v>
      </c>
      <c r="H509" s="392">
        <v>0.56124616378731473</v>
      </c>
      <c r="I509" s="392">
        <v>0.54148087680645962</v>
      </c>
      <c r="J509" s="424"/>
      <c r="K509" s="424"/>
      <c r="L509" s="424"/>
      <c r="M509" s="424"/>
      <c r="N509" s="424"/>
      <c r="O509" s="424"/>
      <c r="P509" s="424"/>
      <c r="Q509" s="424"/>
      <c r="R509" s="424"/>
    </row>
  </sheetData>
  <dataValidations count="3">
    <dataValidation type="list" allowBlank="1" showInputMessage="1" showErrorMessage="1" sqref="E344" xr:uid="{00000000-0002-0000-0300-000000000000}">
      <formula1>$I$197:$R$197</formula1>
    </dataValidation>
    <dataValidation type="list" allowBlank="1" showInputMessage="1" showErrorMessage="1" sqref="I4" xr:uid="{00000000-0002-0000-0300-000001000000}">
      <formula1>$I$5:$I$8</formula1>
    </dataValidation>
    <dataValidation type="list" allowBlank="1" showInputMessage="1" showErrorMessage="1" sqref="D4" xr:uid="{00000000-0002-0000-0300-000002000000}">
      <formula1>$D$5:$D$9</formula1>
    </dataValidation>
  </dataValidations>
  <pageMargins left="0.7" right="0.7" top="0.75" bottom="0.75" header="0.3" footer="0.3"/>
  <pageSetup scale="68" fitToHeight="0" orientation="landscape" horizontalDpi="4294967295" verticalDpi="4294967295" r:id="rId1"/>
  <rowBreaks count="9" manualBreakCount="9">
    <brk id="57" max="16383" man="1"/>
    <brk id="76" max="16383" man="1"/>
    <brk id="134" max="16383" man="1"/>
    <brk id="190" max="16383" man="1"/>
    <brk id="236" max="16383" man="1"/>
    <brk id="289" max="16383" man="1"/>
    <brk id="339" max="16383" man="1"/>
    <brk id="376" min="1" max="17" man="1"/>
    <brk id="452" min="1" max="17" man="1"/>
  </rowBreaks>
  <colBreaks count="1" manualBreakCount="1">
    <brk id="18" max="1048575" man="1"/>
  </colBreaks>
  <ignoredErrors>
    <ignoredError sqref="J325:R325 J323:R323 J321:R321 J319:R319" formula="1"/>
    <ignoredError sqref="J228:R229" evalErro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54"/>
  <sheetViews>
    <sheetView showGridLines="0" zoomScaleNormal="100" workbookViewId="0"/>
  </sheetViews>
  <sheetFormatPr baseColWidth="10" defaultColWidth="9" defaultRowHeight="12.9" x14ac:dyDescent="0.5"/>
  <cols>
    <col min="1" max="5" width="9" style="226"/>
    <col min="6" max="6" width="9.5" style="226" bestFit="1" customWidth="1"/>
    <col min="7" max="7" width="9" style="226"/>
    <col min="8" max="8" width="9.5" style="226" bestFit="1" customWidth="1"/>
    <col min="9" max="16384" width="9" style="226"/>
  </cols>
  <sheetData>
    <row r="2" spans="2:8" x14ac:dyDescent="0.5">
      <c r="B2" s="226" t="s">
        <v>236</v>
      </c>
    </row>
    <row r="3" spans="2:8" ht="13.2" thickBot="1" x14ac:dyDescent="0.55000000000000004">
      <c r="B3" s="227"/>
      <c r="C3" s="227"/>
      <c r="D3" s="227"/>
      <c r="E3" s="227"/>
      <c r="F3" s="227"/>
      <c r="G3" s="227"/>
      <c r="H3" s="227"/>
    </row>
    <row r="4" spans="2:8" x14ac:dyDescent="0.5">
      <c r="B4" s="226" t="s">
        <v>237</v>
      </c>
    </row>
    <row r="5" spans="2:8" x14ac:dyDescent="0.5">
      <c r="F5" s="228" t="s">
        <v>232</v>
      </c>
      <c r="G5" s="228"/>
      <c r="H5" s="228"/>
    </row>
    <row r="6" spans="2:8" x14ac:dyDescent="0.5">
      <c r="B6" s="229"/>
      <c r="C6" s="229"/>
      <c r="D6" s="229"/>
      <c r="E6" s="229"/>
      <c r="F6" s="230">
        <v>42367</v>
      </c>
      <c r="G6" s="231"/>
      <c r="H6" s="230">
        <v>42731</v>
      </c>
    </row>
    <row r="7" spans="2:8" s="233" customFormat="1" x14ac:dyDescent="0.5">
      <c r="B7" s="232" t="s">
        <v>189</v>
      </c>
    </row>
    <row r="8" spans="2:8" x14ac:dyDescent="0.5">
      <c r="B8" s="226" t="s">
        <v>70</v>
      </c>
      <c r="F8" s="234">
        <v>241.886</v>
      </c>
      <c r="G8" s="235"/>
      <c r="H8" s="234">
        <v>105.529</v>
      </c>
    </row>
    <row r="9" spans="2:8" x14ac:dyDescent="0.5">
      <c r="B9" s="226" t="s">
        <v>71</v>
      </c>
      <c r="F9" s="236">
        <v>38.210999999999999</v>
      </c>
      <c r="H9" s="236">
        <v>53.518999999999998</v>
      </c>
    </row>
    <row r="10" spans="2:8" x14ac:dyDescent="0.5">
      <c r="B10" s="226" t="s">
        <v>72</v>
      </c>
      <c r="F10" s="236">
        <v>77.575000000000003</v>
      </c>
      <c r="H10" s="236">
        <v>59.404000000000003</v>
      </c>
    </row>
    <row r="11" spans="2:8" x14ac:dyDescent="0.5">
      <c r="B11" s="226" t="s">
        <v>40</v>
      </c>
      <c r="F11" s="236">
        <v>22.481999999999999</v>
      </c>
      <c r="H11" s="236">
        <v>23.774999999999999</v>
      </c>
    </row>
    <row r="12" spans="2:8" x14ac:dyDescent="0.5">
      <c r="B12" s="226" t="s">
        <v>41</v>
      </c>
      <c r="F12" s="236">
        <v>59.457000000000001</v>
      </c>
      <c r="H12" s="236">
        <v>69.194000000000003</v>
      </c>
    </row>
    <row r="13" spans="2:8" x14ac:dyDescent="0.5">
      <c r="B13" s="226" t="s">
        <v>36</v>
      </c>
      <c r="F13" s="236">
        <v>0</v>
      </c>
      <c r="H13" s="236">
        <v>0</v>
      </c>
    </row>
    <row r="14" spans="2:8" x14ac:dyDescent="0.5">
      <c r="B14" s="226" t="s">
        <v>73</v>
      </c>
      <c r="F14" s="236">
        <v>28.699000000000002</v>
      </c>
      <c r="H14" s="236">
        <v>0</v>
      </c>
    </row>
    <row r="15" spans="2:8" x14ac:dyDescent="0.5">
      <c r="B15" s="237" t="s">
        <v>74</v>
      </c>
      <c r="C15" s="237"/>
      <c r="D15" s="237"/>
      <c r="E15" s="237"/>
      <c r="F15" s="238">
        <f>SUM(F8:F14)</f>
        <v>468.31</v>
      </c>
      <c r="G15" s="238"/>
      <c r="H15" s="238">
        <f>SUM(H8:H14)</f>
        <v>311.42099999999999</v>
      </c>
    </row>
    <row r="17" spans="2:8" x14ac:dyDescent="0.5">
      <c r="B17" s="226" t="s">
        <v>75</v>
      </c>
      <c r="F17" s="236">
        <v>776.24800000000005</v>
      </c>
      <c r="G17" s="236"/>
      <c r="H17" s="236">
        <v>802.75900000000001</v>
      </c>
    </row>
    <row r="19" spans="2:8" x14ac:dyDescent="0.5">
      <c r="B19" s="226" t="s">
        <v>76</v>
      </c>
    </row>
    <row r="20" spans="2:8" x14ac:dyDescent="0.5">
      <c r="B20" s="226" t="s">
        <v>77</v>
      </c>
      <c r="F20" s="236">
        <v>121.791</v>
      </c>
      <c r="G20" s="236"/>
      <c r="H20" s="236">
        <v>122.377</v>
      </c>
    </row>
    <row r="21" spans="2:8" x14ac:dyDescent="0.5">
      <c r="B21" s="226" t="s">
        <v>78</v>
      </c>
      <c r="F21" s="236">
        <v>63.877000000000002</v>
      </c>
      <c r="G21" s="236"/>
      <c r="H21" s="236">
        <v>54.819000000000003</v>
      </c>
    </row>
    <row r="22" spans="2:8" x14ac:dyDescent="0.5">
      <c r="B22" s="226" t="s">
        <v>42</v>
      </c>
      <c r="F22" s="236">
        <v>10.613</v>
      </c>
      <c r="G22" s="236"/>
      <c r="H22" s="236">
        <v>10.234999999999999</v>
      </c>
    </row>
    <row r="23" spans="2:8" x14ac:dyDescent="0.5">
      <c r="B23" s="237" t="s">
        <v>79</v>
      </c>
      <c r="C23" s="237"/>
      <c r="D23" s="237"/>
      <c r="E23" s="237"/>
      <c r="F23" s="238">
        <f>SUM(F20:F22)</f>
        <v>196.28100000000001</v>
      </c>
      <c r="G23" s="238"/>
      <c r="H23" s="238">
        <f>SUM(H20:H22)</f>
        <v>187.43099999999998</v>
      </c>
    </row>
    <row r="25" spans="2:8" s="233" customFormat="1" x14ac:dyDescent="0.5">
      <c r="B25" s="233" t="s">
        <v>80</v>
      </c>
      <c r="F25" s="239">
        <f>SUM(F15,F17,F23)</f>
        <v>1440.8389999999999</v>
      </c>
      <c r="G25" s="239"/>
      <c r="H25" s="239">
        <f>SUM(H15,H17,H23)</f>
        <v>1301.6110000000001</v>
      </c>
    </row>
    <row r="27" spans="2:8" s="233" customFormat="1" x14ac:dyDescent="0.5">
      <c r="B27" s="233" t="s">
        <v>238</v>
      </c>
    </row>
    <row r="28" spans="2:8" x14ac:dyDescent="0.5">
      <c r="B28" s="226" t="s">
        <v>43</v>
      </c>
      <c r="F28" s="236">
        <v>19.805</v>
      </c>
      <c r="G28" s="236"/>
      <c r="H28" s="236">
        <v>22.454999999999998</v>
      </c>
    </row>
    <row r="29" spans="2:8" x14ac:dyDescent="0.5">
      <c r="B29" s="226" t="s">
        <v>44</v>
      </c>
      <c r="F29" s="236">
        <v>359.464</v>
      </c>
      <c r="G29" s="236"/>
      <c r="H29" s="236">
        <v>408.637</v>
      </c>
    </row>
    <row r="30" spans="2:8" x14ac:dyDescent="0.5">
      <c r="B30" s="226" t="s">
        <v>82</v>
      </c>
      <c r="F30" s="236">
        <v>17.228999999999999</v>
      </c>
      <c r="G30" s="236"/>
      <c r="H30" s="236">
        <v>17.228999999999999</v>
      </c>
    </row>
    <row r="31" spans="2:8" x14ac:dyDescent="0.5">
      <c r="B31" s="226" t="s">
        <v>83</v>
      </c>
      <c r="F31" s="236">
        <v>2.9449999999999998</v>
      </c>
      <c r="G31" s="236"/>
      <c r="H31" s="236">
        <v>0</v>
      </c>
    </row>
    <row r="32" spans="2:8" x14ac:dyDescent="0.5">
      <c r="B32" s="237" t="s">
        <v>84</v>
      </c>
      <c r="C32" s="237"/>
      <c r="D32" s="237"/>
      <c r="E32" s="237"/>
      <c r="F32" s="238">
        <f>SUM(F28:F31)</f>
        <v>399.44299999999998</v>
      </c>
      <c r="G32" s="238"/>
      <c r="H32" s="238">
        <f>SUM(H28:H31)</f>
        <v>448.32099999999997</v>
      </c>
    </row>
    <row r="34" spans="2:8" x14ac:dyDescent="0.5">
      <c r="B34" s="226" t="s">
        <v>85</v>
      </c>
      <c r="F34" s="236">
        <v>388.971</v>
      </c>
      <c r="G34" s="236"/>
      <c r="H34" s="236">
        <v>410.59399999999999</v>
      </c>
    </row>
    <row r="35" spans="2:8" x14ac:dyDescent="0.5">
      <c r="B35" s="226" t="s">
        <v>45</v>
      </c>
      <c r="F35" s="236">
        <v>62.61</v>
      </c>
      <c r="G35" s="236"/>
      <c r="H35" s="236">
        <v>63.369</v>
      </c>
    </row>
    <row r="36" spans="2:8" x14ac:dyDescent="0.5">
      <c r="B36" s="226" t="s">
        <v>36</v>
      </c>
      <c r="F36" s="236">
        <v>35.968000000000004</v>
      </c>
      <c r="G36" s="236"/>
      <c r="H36" s="236">
        <v>32.301000000000002</v>
      </c>
    </row>
    <row r="37" spans="2:8" x14ac:dyDescent="0.5">
      <c r="B37" s="226" t="s">
        <v>46</v>
      </c>
      <c r="F37" s="236">
        <v>52.566000000000003</v>
      </c>
      <c r="G37" s="236"/>
      <c r="H37" s="236">
        <v>54.636000000000003</v>
      </c>
    </row>
    <row r="39" spans="2:8" x14ac:dyDescent="0.5">
      <c r="B39" s="233" t="s">
        <v>86</v>
      </c>
      <c r="C39" s="233"/>
      <c r="D39" s="233"/>
      <c r="E39" s="233"/>
      <c r="F39" s="239">
        <f>SUM(F32,F34:F37)</f>
        <v>939.55799999999999</v>
      </c>
      <c r="G39" s="239"/>
      <c r="H39" s="239">
        <f>SUM(H32,H34:H37)</f>
        <v>1009.221</v>
      </c>
    </row>
    <row r="41" spans="2:8" x14ac:dyDescent="0.5">
      <c r="B41" s="226" t="s">
        <v>240</v>
      </c>
    </row>
    <row r="42" spans="2:8" x14ac:dyDescent="0.5">
      <c r="B42" s="226" t="s">
        <v>88</v>
      </c>
      <c r="F42" s="236">
        <v>3.9809999999999999</v>
      </c>
      <c r="G42" s="236"/>
      <c r="H42" s="236">
        <v>3.6030000000000002</v>
      </c>
    </row>
    <row r="43" spans="2:8" x14ac:dyDescent="0.5">
      <c r="F43" s="236"/>
      <c r="G43" s="236"/>
      <c r="H43" s="236"/>
    </row>
    <row r="44" spans="2:8" x14ac:dyDescent="0.5">
      <c r="B44" s="226" t="s">
        <v>97</v>
      </c>
      <c r="F44" s="236">
        <v>3.0000000000000001E-3</v>
      </c>
      <c r="G44" s="236"/>
      <c r="H44" s="236">
        <v>3.0000000000000001E-3</v>
      </c>
    </row>
    <row r="45" spans="2:8" x14ac:dyDescent="0.5">
      <c r="B45" s="226" t="s">
        <v>239</v>
      </c>
      <c r="F45" s="236">
        <v>-1111.586</v>
      </c>
      <c r="G45" s="236"/>
      <c r="H45" s="236">
        <v>-1488.779</v>
      </c>
    </row>
    <row r="46" spans="2:8" x14ac:dyDescent="0.5">
      <c r="B46" s="226" t="s">
        <v>173</v>
      </c>
      <c r="F46" s="236">
        <v>0</v>
      </c>
      <c r="G46" s="236"/>
      <c r="H46" s="236">
        <v>0</v>
      </c>
    </row>
    <row r="47" spans="2:8" x14ac:dyDescent="0.5">
      <c r="B47" s="226" t="s">
        <v>92</v>
      </c>
      <c r="F47" s="236">
        <v>235.393</v>
      </c>
      <c r="G47" s="236"/>
      <c r="H47" s="236">
        <v>257.59399999999999</v>
      </c>
    </row>
    <row r="48" spans="2:8" x14ac:dyDescent="0.5">
      <c r="B48" s="226" t="s">
        <v>93</v>
      </c>
      <c r="F48" s="236">
        <v>-5.0289999999999999</v>
      </c>
      <c r="G48" s="236"/>
      <c r="H48" s="236">
        <v>-4.1239999999999997</v>
      </c>
    </row>
    <row r="49" spans="2:8" x14ac:dyDescent="0.5">
      <c r="B49" s="226" t="s">
        <v>94</v>
      </c>
      <c r="F49" s="236">
        <v>1378.519</v>
      </c>
      <c r="G49" s="236"/>
      <c r="H49" s="236">
        <v>1524.0930000000001</v>
      </c>
    </row>
    <row r="50" spans="2:8" x14ac:dyDescent="0.5">
      <c r="B50" s="237" t="s">
        <v>95</v>
      </c>
      <c r="C50" s="237"/>
      <c r="D50" s="237"/>
      <c r="E50" s="237"/>
      <c r="F50" s="240">
        <f>SUM(F44:F49)</f>
        <v>497.29999999999995</v>
      </c>
      <c r="G50" s="241"/>
      <c r="H50" s="240">
        <f>SUM(H44:H49)</f>
        <v>288.78700000000003</v>
      </c>
    </row>
    <row r="52" spans="2:8" s="233" customFormat="1" ht="13.2" thickBot="1" x14ac:dyDescent="0.55000000000000004">
      <c r="B52" s="242" t="s">
        <v>96</v>
      </c>
      <c r="C52" s="242"/>
      <c r="D52" s="242"/>
      <c r="E52" s="242"/>
      <c r="F52" s="243">
        <f>F39+F42+F50</f>
        <v>1440.8389999999999</v>
      </c>
      <c r="G52" s="242"/>
      <c r="H52" s="243">
        <f>H39+H42+H50</f>
        <v>1301.6109999999999</v>
      </c>
    </row>
    <row r="54" spans="2:8" x14ac:dyDescent="0.5">
      <c r="B54" s="226" t="s">
        <v>309</v>
      </c>
      <c r="F54" s="185">
        <f>F25-F52</f>
        <v>0</v>
      </c>
      <c r="H54" s="185">
        <f>H25-H52</f>
        <v>0</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T156"/>
  <sheetViews>
    <sheetView showGridLines="0" zoomScaleNormal="100" workbookViewId="0"/>
  </sheetViews>
  <sheetFormatPr baseColWidth="10" defaultColWidth="9" defaultRowHeight="12.9" x14ac:dyDescent="0.5"/>
  <cols>
    <col min="1" max="1" width="9" style="138"/>
    <col min="2" max="16384" width="9" style="140"/>
  </cols>
  <sheetData>
    <row r="2" spans="1:7" x14ac:dyDescent="0.5">
      <c r="A2" s="138" t="s">
        <v>31</v>
      </c>
      <c r="B2" s="148" t="str">
        <f>"Transaction Summary ("&amp;'LBO Model'!J4&amp;")"</f>
        <v>Transaction Summary (High Bid)</v>
      </c>
      <c r="G2" s="441"/>
    </row>
    <row r="3" spans="1:7" ht="13.2" thickBot="1" x14ac:dyDescent="0.55000000000000004">
      <c r="A3" s="140"/>
      <c r="B3" s="298" t="str">
        <f>'LBO Model'!$B$12</f>
        <v>($ in millions)</v>
      </c>
      <c r="C3" s="163"/>
      <c r="D3" s="163"/>
      <c r="E3" s="163"/>
      <c r="F3" s="163"/>
      <c r="G3" s="441"/>
    </row>
    <row r="4" spans="1:7" ht="14.7" x14ac:dyDescent="0.8">
      <c r="B4" s="432"/>
      <c r="C4" s="432"/>
      <c r="D4" s="432"/>
      <c r="E4" s="432"/>
      <c r="F4" s="459" t="s">
        <v>228</v>
      </c>
      <c r="G4" s="441"/>
    </row>
    <row r="5" spans="1:7" x14ac:dyDescent="0.5">
      <c r="B5" s="432" t="s">
        <v>737</v>
      </c>
      <c r="C5" s="432"/>
      <c r="D5" s="432"/>
      <c r="E5" s="432"/>
      <c r="F5" s="519">
        <f>'LBO Model'!F14</f>
        <v>242.30769230769229</v>
      </c>
      <c r="G5" s="441"/>
    </row>
    <row r="6" spans="1:7" x14ac:dyDescent="0.5">
      <c r="B6" s="432" t="s">
        <v>683</v>
      </c>
      <c r="C6" s="432"/>
      <c r="D6" s="432"/>
      <c r="E6" s="432"/>
      <c r="F6" s="502">
        <f ca="1">'LBO Model'!F15</f>
        <v>0.28021880196016624</v>
      </c>
      <c r="G6" s="441"/>
    </row>
    <row r="7" spans="1:7" x14ac:dyDescent="0.5">
      <c r="B7" s="384" t="s">
        <v>682</v>
      </c>
      <c r="C7" s="384"/>
      <c r="D7" s="384"/>
      <c r="E7" s="384"/>
      <c r="F7" s="520">
        <f ca="1">'LBO Model'!F16</f>
        <v>310.20686355188644</v>
      </c>
      <c r="G7" s="441"/>
    </row>
    <row r="8" spans="1:7" x14ac:dyDescent="0.5">
      <c r="B8" s="432"/>
      <c r="C8" s="432"/>
      <c r="D8" s="432"/>
      <c r="E8" s="432"/>
      <c r="F8" s="464"/>
      <c r="G8" s="441"/>
    </row>
    <row r="9" spans="1:7" x14ac:dyDescent="0.5">
      <c r="B9" s="432" t="s">
        <v>357</v>
      </c>
      <c r="C9" s="432"/>
      <c r="D9" s="432"/>
      <c r="E9" s="432"/>
      <c r="F9" s="464">
        <f>'LBO Model'!F18</f>
        <v>22.723279999999999</v>
      </c>
      <c r="G9" s="441"/>
    </row>
    <row r="10" spans="1:7" x14ac:dyDescent="0.5">
      <c r="B10" s="432" t="s">
        <v>747</v>
      </c>
      <c r="C10" s="432"/>
      <c r="D10" s="432"/>
      <c r="E10" s="432"/>
      <c r="F10" s="464">
        <f ca="1">'LBO Model'!F19</f>
        <v>2.5000000000000001E-2</v>
      </c>
      <c r="G10" s="441"/>
    </row>
    <row r="11" spans="1:7" x14ac:dyDescent="0.5">
      <c r="B11" s="201" t="s">
        <v>684</v>
      </c>
      <c r="C11" s="201"/>
      <c r="D11" s="201"/>
      <c r="E11" s="201"/>
      <c r="F11" s="521">
        <f ca="1">'LBO Model'!F20</f>
        <v>22.748279999999998</v>
      </c>
      <c r="G11" s="441"/>
    </row>
    <row r="12" spans="1:7" x14ac:dyDescent="0.5">
      <c r="B12" s="432" t="s">
        <v>685</v>
      </c>
      <c r="C12" s="432"/>
      <c r="D12" s="432"/>
      <c r="E12" s="432"/>
      <c r="F12" s="522">
        <f ca="1">'LBO Model'!F21</f>
        <v>310.20686355188644</v>
      </c>
      <c r="G12" s="441"/>
    </row>
    <row r="13" spans="1:7" x14ac:dyDescent="0.5">
      <c r="B13" s="432" t="s">
        <v>748</v>
      </c>
      <c r="C13" s="432"/>
      <c r="D13" s="432"/>
      <c r="E13" s="432"/>
      <c r="F13" s="464">
        <f ca="1">'LBO Model'!F22</f>
        <v>-4.1390399999999996</v>
      </c>
      <c r="G13" s="441"/>
    </row>
    <row r="14" spans="1:7" x14ac:dyDescent="0.5">
      <c r="B14" s="201" t="s">
        <v>227</v>
      </c>
      <c r="C14" s="201"/>
      <c r="D14" s="201"/>
      <c r="E14" s="201"/>
      <c r="F14" s="523">
        <f ca="1">'LBO Model'!F23</f>
        <v>7052.5335500001065</v>
      </c>
      <c r="G14" s="441"/>
    </row>
    <row r="15" spans="1:7" x14ac:dyDescent="0.5">
      <c r="B15" s="432" t="s">
        <v>686</v>
      </c>
      <c r="C15" s="432"/>
      <c r="D15" s="432"/>
      <c r="E15" s="432"/>
      <c r="F15" s="464">
        <f>'LBO Model'!F24</f>
        <v>427.82299999999998</v>
      </c>
      <c r="G15" s="441"/>
    </row>
    <row r="16" spans="1:7" x14ac:dyDescent="0.5">
      <c r="B16" s="432" t="s">
        <v>688</v>
      </c>
      <c r="C16" s="432"/>
      <c r="D16" s="432"/>
      <c r="E16" s="432"/>
      <c r="F16" s="464">
        <f>'LBO Model'!F25</f>
        <v>0</v>
      </c>
      <c r="G16" s="441"/>
    </row>
    <row r="17" spans="1:10" x14ac:dyDescent="0.5">
      <c r="B17" s="432" t="s">
        <v>689</v>
      </c>
      <c r="C17" s="432"/>
      <c r="D17" s="432"/>
      <c r="E17" s="432"/>
      <c r="F17" s="464">
        <f>'LBO Model'!F26</f>
        <v>-21.341550000000002</v>
      </c>
      <c r="G17" s="441"/>
    </row>
    <row r="18" spans="1:10" x14ac:dyDescent="0.5">
      <c r="B18" s="384" t="s">
        <v>736</v>
      </c>
      <c r="C18" s="384"/>
      <c r="D18" s="384"/>
      <c r="E18" s="384"/>
      <c r="F18" s="524">
        <f ca="1">'LBO Model'!F27</f>
        <v>7459.0150000001067</v>
      </c>
      <c r="G18" s="441"/>
    </row>
    <row r="19" spans="1:10" x14ac:dyDescent="0.5">
      <c r="B19" s="432"/>
      <c r="C19" s="432"/>
      <c r="D19" s="432"/>
      <c r="E19" s="432"/>
      <c r="F19" s="464"/>
      <c r="G19" s="441"/>
    </row>
    <row r="20" spans="1:10" x14ac:dyDescent="0.5">
      <c r="B20" s="432" t="s">
        <v>690</v>
      </c>
      <c r="C20" s="432"/>
      <c r="D20" s="432"/>
      <c r="E20" s="432"/>
      <c r="F20" s="464">
        <f ca="1">'LBO Model'!F29</f>
        <v>138.02536333716591</v>
      </c>
      <c r="G20" s="441"/>
    </row>
    <row r="21" spans="1:10" x14ac:dyDescent="0.5">
      <c r="B21" s="384" t="s">
        <v>730</v>
      </c>
      <c r="C21" s="146"/>
      <c r="D21" s="146"/>
      <c r="E21" s="146"/>
      <c r="F21" s="524">
        <f ca="1">'LBO Model'!F30</f>
        <v>7597.0403633372725</v>
      </c>
      <c r="G21" s="441"/>
    </row>
    <row r="22" spans="1:10" x14ac:dyDescent="0.5">
      <c r="B22" s="432"/>
      <c r="C22" s="432"/>
      <c r="D22" s="432"/>
      <c r="E22" s="432"/>
      <c r="F22" s="464"/>
      <c r="G22" s="441"/>
    </row>
    <row r="23" spans="1:10" x14ac:dyDescent="0.5">
      <c r="B23" s="432" t="s">
        <v>269</v>
      </c>
      <c r="C23" s="432"/>
      <c r="D23" s="432"/>
      <c r="E23" s="432"/>
      <c r="F23" s="522">
        <f>'LBO Model'!F32</f>
        <v>403.19000000000017</v>
      </c>
      <c r="G23" s="441"/>
    </row>
    <row r="24" spans="1:10" x14ac:dyDescent="0.5">
      <c r="B24" s="432"/>
      <c r="C24" s="432"/>
      <c r="D24" s="432"/>
      <c r="E24" s="432"/>
      <c r="F24" s="464"/>
      <c r="G24" s="441"/>
    </row>
    <row r="25" spans="1:10" x14ac:dyDescent="0.5">
      <c r="B25" s="432" t="s">
        <v>270</v>
      </c>
      <c r="C25" s="432"/>
      <c r="D25" s="432"/>
      <c r="E25" s="432"/>
      <c r="F25" s="525">
        <f ca="1">'LBO Model'!F34</f>
        <v>18.500000000000256</v>
      </c>
      <c r="G25" s="441"/>
    </row>
    <row r="26" spans="1:10" x14ac:dyDescent="0.5">
      <c r="B26" s="432"/>
      <c r="C26" s="432"/>
      <c r="D26" s="432"/>
      <c r="E26" s="432"/>
      <c r="F26" s="526"/>
      <c r="G26" s="441"/>
    </row>
    <row r="27" spans="1:10" ht="13.2" thickBot="1" x14ac:dyDescent="0.55000000000000004">
      <c r="B27" s="163" t="s">
        <v>271</v>
      </c>
      <c r="C27" s="163"/>
      <c r="D27" s="163"/>
      <c r="E27" s="163"/>
      <c r="F27" s="527">
        <f ca="1">'LBO Model'!F36</f>
        <v>18.842333300273491</v>
      </c>
      <c r="G27" s="441"/>
    </row>
    <row r="28" spans="1:10" x14ac:dyDescent="0.5">
      <c r="G28" s="441"/>
    </row>
    <row r="29" spans="1:10" x14ac:dyDescent="0.5">
      <c r="A29" s="138" t="s">
        <v>31</v>
      </c>
      <c r="B29" s="172" t="str">
        <f>"Enterprise Value &amp; Leverage Summary ("&amp;'LBO Model'!J4&amp;")"</f>
        <v>Enterprise Value &amp; Leverage Summary (High Bid)</v>
      </c>
    </row>
    <row r="30" spans="1:10" x14ac:dyDescent="0.5">
      <c r="B30" s="140" t="str">
        <f>'LBO Model'!$B$12</f>
        <v>($ in millions)</v>
      </c>
    </row>
    <row r="31" spans="1:10" s="148" customFormat="1" x14ac:dyDescent="0.5">
      <c r="A31" s="141"/>
      <c r="I31" s="148" t="s">
        <v>366</v>
      </c>
    </row>
    <row r="32" spans="1:10" s="148" customFormat="1" ht="13.2" thickBot="1" x14ac:dyDescent="0.55000000000000004">
      <c r="A32" s="141"/>
      <c r="B32" s="170"/>
      <c r="C32" s="170"/>
      <c r="D32" s="170"/>
      <c r="E32" s="170"/>
      <c r="F32" s="205" t="s">
        <v>183</v>
      </c>
      <c r="G32" s="170"/>
      <c r="H32" s="170"/>
      <c r="I32" s="205" t="s">
        <v>367</v>
      </c>
      <c r="J32" s="170"/>
    </row>
    <row r="33" spans="1:10" x14ac:dyDescent="0.5">
      <c r="B33" s="140" t="s">
        <v>368</v>
      </c>
      <c r="F33" s="182">
        <f ca="1">'LBO Model'!F23</f>
        <v>7052.5335500001065</v>
      </c>
    </row>
    <row r="34" spans="1:10" x14ac:dyDescent="0.5">
      <c r="B34" s="140" t="s">
        <v>369</v>
      </c>
      <c r="F34" s="140">
        <f>'LBO Model'!F24+'LBO Model'!F25</f>
        <v>427.82299999999998</v>
      </c>
    </row>
    <row r="35" spans="1:10" x14ac:dyDescent="0.5">
      <c r="B35" s="292" t="s">
        <v>370</v>
      </c>
      <c r="C35" s="292"/>
      <c r="D35" s="292"/>
      <c r="E35" s="292"/>
      <c r="F35" s="292">
        <f>'LBO Model'!F26</f>
        <v>-21.341550000000002</v>
      </c>
      <c r="G35" s="292"/>
      <c r="H35" s="292"/>
      <c r="I35" s="292"/>
      <c r="J35" s="292"/>
    </row>
    <row r="36" spans="1:10" x14ac:dyDescent="0.5">
      <c r="B36" s="140" t="s">
        <v>230</v>
      </c>
      <c r="F36" s="182">
        <f ca="1">'LBO Model'!F27</f>
        <v>7459.0150000001067</v>
      </c>
      <c r="I36" s="126">
        <f ca="1">F36/$F$40</f>
        <v>18.500000000000256</v>
      </c>
    </row>
    <row r="37" spans="1:10" x14ac:dyDescent="0.5">
      <c r="B37" s="150" t="s">
        <v>339</v>
      </c>
      <c r="C37" s="150"/>
      <c r="D37" s="150"/>
      <c r="E37" s="150"/>
      <c r="F37" s="150">
        <f ca="1">'LBO Model'!F29</f>
        <v>138.02536333716591</v>
      </c>
      <c r="G37" s="150"/>
      <c r="H37" s="150"/>
      <c r="I37" s="475"/>
      <c r="J37" s="150"/>
    </row>
    <row r="38" spans="1:10" s="148" customFormat="1" x14ac:dyDescent="0.5">
      <c r="A38" s="141"/>
      <c r="B38" s="148" t="s">
        <v>371</v>
      </c>
      <c r="F38" s="192">
        <f ca="1">'LBO Model'!F30</f>
        <v>7597.0403633372725</v>
      </c>
      <c r="I38" s="282">
        <f ca="1">F38/$F$40</f>
        <v>18.842333300273491</v>
      </c>
    </row>
    <row r="40" spans="1:10" x14ac:dyDescent="0.5">
      <c r="B40" s="140" t="s">
        <v>372</v>
      </c>
      <c r="F40" s="182">
        <f>'LBO Model'!K43</f>
        <v>403.19000000000017</v>
      </c>
    </row>
    <row r="42" spans="1:10" s="172" customFormat="1" x14ac:dyDescent="0.5">
      <c r="A42" s="300"/>
      <c r="B42" s="172" t="s">
        <v>373</v>
      </c>
      <c r="I42" s="148" t="s">
        <v>374</v>
      </c>
    </row>
    <row r="43" spans="1:10" x14ac:dyDescent="0.5">
      <c r="B43" s="140" t="s">
        <v>229</v>
      </c>
      <c r="F43" s="140">
        <f>'LBO Model'!E45</f>
        <v>0</v>
      </c>
      <c r="I43" s="126">
        <f t="shared" ref="I43:I49" si="0">F43/$F$40</f>
        <v>0</v>
      </c>
    </row>
    <row r="44" spans="1:10" x14ac:dyDescent="0.5">
      <c r="B44" s="140" t="s">
        <v>175</v>
      </c>
      <c r="F44" s="140">
        <f ca="1">'LBO Model'!E42</f>
        <v>750.00033463006582</v>
      </c>
      <c r="I44" s="126">
        <f t="shared" ca="1" si="0"/>
        <v>1.8601660126244834</v>
      </c>
    </row>
    <row r="45" spans="1:10" x14ac:dyDescent="0.5">
      <c r="B45" s="140" t="s">
        <v>176</v>
      </c>
      <c r="F45" s="140">
        <f ca="1">'LBO Model'!E43</f>
        <v>2250.000902577543</v>
      </c>
      <c r="I45" s="126">
        <f t="shared" ca="1" si="0"/>
        <v>5.5804977865957541</v>
      </c>
    </row>
    <row r="46" spans="1:10" x14ac:dyDescent="0.5">
      <c r="B46" s="292" t="s">
        <v>177</v>
      </c>
      <c r="C46" s="292"/>
      <c r="D46" s="292"/>
      <c r="E46" s="292"/>
      <c r="F46" s="292">
        <f ca="1">'LBO Model'!K17</f>
        <v>0</v>
      </c>
      <c r="G46" s="292"/>
      <c r="H46" s="292"/>
      <c r="I46" s="476">
        <f t="shared" ca="1" si="0"/>
        <v>0</v>
      </c>
      <c r="J46" s="292"/>
    </row>
    <row r="47" spans="1:10" x14ac:dyDescent="0.5">
      <c r="B47" s="140" t="s">
        <v>126</v>
      </c>
      <c r="F47" s="140">
        <f ca="1">SUM(F43:F46)</f>
        <v>3000.0012372076089</v>
      </c>
      <c r="I47" s="126">
        <f t="shared" ca="1" si="0"/>
        <v>7.4406637992202382</v>
      </c>
    </row>
    <row r="48" spans="1:10" x14ac:dyDescent="0.5">
      <c r="B48" s="292" t="s">
        <v>370</v>
      </c>
      <c r="C48" s="292"/>
      <c r="D48" s="292"/>
      <c r="E48" s="292"/>
      <c r="F48" s="292">
        <f>'LBO Model'!F26</f>
        <v>-21.341550000000002</v>
      </c>
      <c r="G48" s="292"/>
      <c r="H48" s="292"/>
      <c r="I48" s="476">
        <f t="shared" si="0"/>
        <v>-5.2931744338897274E-2</v>
      </c>
      <c r="J48" s="292"/>
    </row>
    <row r="49" spans="1:11" s="148" customFormat="1" ht="13.2" thickBot="1" x14ac:dyDescent="0.55000000000000004">
      <c r="A49" s="141"/>
      <c r="B49" s="293" t="s">
        <v>375</v>
      </c>
      <c r="C49" s="293"/>
      <c r="D49" s="293"/>
      <c r="E49" s="293"/>
      <c r="F49" s="328">
        <f ca="1">F47+F48</f>
        <v>2978.6596872076088</v>
      </c>
      <c r="G49" s="293"/>
      <c r="H49" s="293"/>
      <c r="I49" s="477">
        <f t="shared" ca="1" si="0"/>
        <v>7.3877320548813401</v>
      </c>
      <c r="J49" s="293"/>
    </row>
    <row r="51" spans="1:11" x14ac:dyDescent="0.5">
      <c r="A51" s="425" t="s">
        <v>31</v>
      </c>
      <c r="B51" s="515" t="str">
        <f>"Sources &amp; Uses ("&amp;'LBO Model'!J4&amp;")"</f>
        <v>Sources &amp; Uses (High Bid)</v>
      </c>
      <c r="C51" s="433"/>
      <c r="D51" s="433"/>
      <c r="E51" s="433"/>
      <c r="F51" s="433"/>
      <c r="G51" s="433"/>
      <c r="H51" s="433"/>
      <c r="I51" s="433"/>
      <c r="J51" s="433"/>
      <c r="K51" s="433"/>
    </row>
    <row r="52" spans="1:11" x14ac:dyDescent="0.5">
      <c r="A52" s="425"/>
      <c r="B52" s="517" t="str">
        <f>'LBO Model'!$B$12</f>
        <v>($ in millions)</v>
      </c>
      <c r="C52" s="433"/>
      <c r="D52" s="433"/>
      <c r="E52" s="433"/>
      <c r="F52" s="433"/>
      <c r="G52" s="433"/>
      <c r="H52" s="433"/>
      <c r="I52" s="433"/>
      <c r="J52" s="433"/>
      <c r="K52" s="433"/>
    </row>
    <row r="53" spans="1:11" ht="13.2" thickBot="1" x14ac:dyDescent="0.55000000000000004">
      <c r="A53" s="425"/>
      <c r="B53" s="513" t="s">
        <v>247</v>
      </c>
      <c r="C53" s="513"/>
      <c r="D53" s="513"/>
      <c r="E53" s="513"/>
      <c r="F53" s="514"/>
      <c r="G53" s="513" t="s">
        <v>249</v>
      </c>
      <c r="H53" s="513"/>
      <c r="I53" s="513"/>
      <c r="J53" s="513"/>
      <c r="K53" s="513"/>
    </row>
    <row r="54" spans="1:11" ht="14.7" x14ac:dyDescent="0.8">
      <c r="A54" s="425"/>
      <c r="B54" s="141"/>
      <c r="C54" s="141"/>
      <c r="D54" s="141"/>
      <c r="E54" s="426" t="s">
        <v>228</v>
      </c>
      <c r="F54" s="427" t="s">
        <v>250</v>
      </c>
      <c r="G54" s="141"/>
      <c r="H54" s="141"/>
      <c r="I54" s="141"/>
      <c r="J54" s="141"/>
      <c r="K54" s="426" t="s">
        <v>228</v>
      </c>
    </row>
    <row r="55" spans="1:11" x14ac:dyDescent="0.5">
      <c r="A55" s="425"/>
      <c r="B55" s="140" t="s">
        <v>248</v>
      </c>
      <c r="E55" s="182">
        <f>'LBO Model'!K14</f>
        <v>84.187449999999998</v>
      </c>
      <c r="F55" s="120">
        <f ca="1">'LBO Model'!L14</f>
        <v>1.1050568343471507E-2</v>
      </c>
      <c r="G55" s="140" t="s">
        <v>253</v>
      </c>
      <c r="K55" s="182">
        <f ca="1">'LBO Model'!R14</f>
        <v>7048.9174184113099</v>
      </c>
    </row>
    <row r="56" spans="1:11" x14ac:dyDescent="0.5">
      <c r="A56" s="425"/>
      <c r="B56" s="140" t="s">
        <v>175</v>
      </c>
      <c r="E56" s="140">
        <f ca="1">'LBO Model'!K15</f>
        <v>750.00033463006582</v>
      </c>
      <c r="F56" s="120">
        <f ca="1">'LBO Model'!L15</f>
        <v>9.8446145541361663E-2</v>
      </c>
      <c r="G56" s="140" t="s">
        <v>254</v>
      </c>
      <c r="K56" s="140">
        <f ca="1">'LBO Model'!R15</f>
        <v>3.6161315887971615</v>
      </c>
    </row>
    <row r="57" spans="1:11" x14ac:dyDescent="0.5">
      <c r="A57" s="425"/>
      <c r="B57" s="140" t="s">
        <v>176</v>
      </c>
      <c r="E57" s="140">
        <f ca="1">'LBO Model'!K16</f>
        <v>2250.000902577543</v>
      </c>
      <c r="F57" s="120">
        <f ca="1">'LBO Model'!L16</f>
        <v>0.29533842332563481</v>
      </c>
      <c r="G57" s="140" t="s">
        <v>589</v>
      </c>
      <c r="K57" s="140">
        <f>'LBO Model'!R16</f>
        <v>427.82299999999998</v>
      </c>
    </row>
    <row r="58" spans="1:11" x14ac:dyDescent="0.5">
      <c r="A58" s="425"/>
      <c r="B58" s="140" t="s">
        <v>177</v>
      </c>
      <c r="E58" s="140">
        <f ca="1">'LBO Model'!K17</f>
        <v>0</v>
      </c>
      <c r="F58" s="120">
        <f ca="1">'LBO Model'!L17</f>
        <v>0</v>
      </c>
      <c r="G58" s="140" t="s">
        <v>180</v>
      </c>
      <c r="K58" s="140">
        <f ca="1">'LBO Model'!R17</f>
        <v>67.500027837164836</v>
      </c>
    </row>
    <row r="59" spans="1:11" x14ac:dyDescent="0.5">
      <c r="A59" s="425"/>
      <c r="B59" s="140" t="s">
        <v>178</v>
      </c>
      <c r="E59" s="140">
        <f ca="1">'LBO Model'!K18</f>
        <v>4534.1932261295888</v>
      </c>
      <c r="F59" s="120">
        <f ca="1">'LBO Model'!L18</f>
        <v>0.59516486278953196</v>
      </c>
      <c r="G59" s="140" t="s">
        <v>255</v>
      </c>
      <c r="K59" s="140">
        <f ca="1">'LBO Model'!R18</f>
        <v>70.525335500001063</v>
      </c>
    </row>
    <row r="60" spans="1:11" ht="13.2" thickBot="1" x14ac:dyDescent="0.55000000000000004">
      <c r="A60" s="425"/>
      <c r="B60" s="293" t="s">
        <v>179</v>
      </c>
      <c r="C60" s="512"/>
      <c r="D60" s="512"/>
      <c r="E60" s="328">
        <f ca="1">'LBO Model'!K24</f>
        <v>7618.3819133372281</v>
      </c>
      <c r="F60" s="516">
        <f ca="1">'LBO Model'!L24</f>
        <v>1</v>
      </c>
      <c r="G60" s="293" t="s">
        <v>181</v>
      </c>
      <c r="H60" s="512"/>
      <c r="I60" s="512"/>
      <c r="J60" s="512"/>
      <c r="K60" s="328">
        <f ca="1">'LBO Model'!R24</f>
        <v>7618.3819133372735</v>
      </c>
    </row>
    <row r="62" spans="1:11" ht="13.2" thickBot="1" x14ac:dyDescent="0.55000000000000004">
      <c r="B62" s="295" t="str">
        <f>"Summary of Fees ("&amp;'LBO Model'!J4&amp;")"</f>
        <v>Summary of Fees (High Bid)</v>
      </c>
      <c r="C62" s="163"/>
      <c r="D62" s="163"/>
      <c r="E62" s="163"/>
    </row>
    <row r="63" spans="1:11" x14ac:dyDescent="0.5">
      <c r="B63" s="140" t="s">
        <v>180</v>
      </c>
      <c r="E63" s="182">
        <f ca="1">'LBO Model'!E63</f>
        <v>67.500027837171189</v>
      </c>
    </row>
    <row r="64" spans="1:11" x14ac:dyDescent="0.5">
      <c r="B64" s="432" t="s">
        <v>337</v>
      </c>
      <c r="E64" s="140">
        <f ca="1">'LBO Model'!E66</f>
        <v>35.262667750000531</v>
      </c>
    </row>
    <row r="65" spans="1:20" x14ac:dyDescent="0.5">
      <c r="B65" s="432" t="s">
        <v>267</v>
      </c>
      <c r="E65" s="140">
        <f ca="1">'LBO Model'!E67</f>
        <v>21.157600650000319</v>
      </c>
    </row>
    <row r="66" spans="1:20" x14ac:dyDescent="0.5">
      <c r="B66" s="432" t="s">
        <v>37</v>
      </c>
      <c r="E66" s="140">
        <f ca="1">'LBO Model'!E68</f>
        <v>14.105067100000213</v>
      </c>
    </row>
    <row r="67" spans="1:20" ht="13.2" thickBot="1" x14ac:dyDescent="0.55000000000000004">
      <c r="B67" s="293" t="s">
        <v>126</v>
      </c>
      <c r="C67" s="512"/>
      <c r="D67" s="512"/>
      <c r="E67" s="328">
        <f ca="1">SUM(E63:E66)</f>
        <v>138.02536333717225</v>
      </c>
    </row>
    <row r="68" spans="1:20" x14ac:dyDescent="0.5">
      <c r="G68" s="441"/>
    </row>
    <row r="69" spans="1:20" s="172" customFormat="1" x14ac:dyDescent="0.5">
      <c r="A69" s="300" t="s">
        <v>31</v>
      </c>
      <c r="B69" s="518" t="str">
        <f>"Summary Financial Results ("&amp;'LBO Model'!E4&amp;")"</f>
        <v>Summary Financial Results (Base Case)</v>
      </c>
      <c r="C69" s="518"/>
      <c r="D69" s="518"/>
      <c r="E69" s="518"/>
      <c r="F69" s="518"/>
      <c r="G69" s="518"/>
      <c r="H69" s="518"/>
      <c r="I69" s="518"/>
      <c r="J69" s="518"/>
      <c r="K69" s="518"/>
      <c r="L69" s="518"/>
      <c r="M69" s="518"/>
      <c r="N69" s="518"/>
      <c r="O69" s="518"/>
      <c r="P69" s="518"/>
      <c r="Q69" s="518"/>
      <c r="R69" s="518"/>
      <c r="S69" s="140"/>
      <c r="T69" s="128"/>
    </row>
    <row r="70" spans="1:20" s="172" customFormat="1" ht="5.0999999999999996" customHeight="1" thickBot="1" x14ac:dyDescent="0.55000000000000004">
      <c r="A70" s="300"/>
      <c r="B70" s="518"/>
      <c r="C70" s="518"/>
      <c r="D70" s="518"/>
      <c r="E70" s="518"/>
      <c r="F70" s="518"/>
      <c r="G70" s="518"/>
      <c r="H70" s="518"/>
      <c r="I70" s="518"/>
      <c r="J70" s="518"/>
      <c r="K70" s="518"/>
      <c r="L70" s="518"/>
      <c r="M70" s="518"/>
      <c r="N70" s="518"/>
      <c r="O70" s="518"/>
      <c r="P70" s="518"/>
      <c r="Q70" s="518"/>
      <c r="R70" s="518"/>
      <c r="S70" s="140"/>
    </row>
    <row r="71" spans="1:20" x14ac:dyDescent="0.5">
      <c r="B71" s="479" t="str">
        <f>"For the FYE Ending "&amp;TEXT(I72, "MMM DD")</f>
        <v>For the FYE Ending Dec 27</v>
      </c>
      <c r="C71" s="479"/>
      <c r="D71" s="479"/>
      <c r="E71" s="479"/>
      <c r="F71" s="480" t="s">
        <v>109</v>
      </c>
      <c r="G71" s="480"/>
      <c r="H71" s="173"/>
      <c r="I71" s="480" t="s">
        <v>224</v>
      </c>
      <c r="J71" s="480"/>
      <c r="K71" s="480"/>
      <c r="L71" s="480"/>
      <c r="M71" s="480"/>
      <c r="N71" s="480"/>
      <c r="O71" s="480"/>
      <c r="P71" s="481"/>
      <c r="Q71" s="481"/>
      <c r="R71" s="481"/>
    </row>
    <row r="72" spans="1:20" x14ac:dyDescent="0.5">
      <c r="B72" s="296" t="str">
        <f>'LBO Model'!$B$12</f>
        <v>($ in millions)</v>
      </c>
      <c r="C72" s="150"/>
      <c r="D72" s="150"/>
      <c r="E72" s="150"/>
      <c r="F72" s="123">
        <f>'LBO Model'!F141</f>
        <v>42003</v>
      </c>
      <c r="G72" s="123">
        <f>'LBO Model'!G141</f>
        <v>42367</v>
      </c>
      <c r="H72" s="124">
        <f>'LBO Model'!H141</f>
        <v>42731</v>
      </c>
      <c r="I72" s="123">
        <f t="shared" ref="I72:R72" si="1">DATE(YEAR(H72)+1,MONTH(H72),DAY(H72))</f>
        <v>43096</v>
      </c>
      <c r="J72" s="123">
        <f t="shared" si="1"/>
        <v>43461</v>
      </c>
      <c r="K72" s="123">
        <f t="shared" si="1"/>
        <v>43826</v>
      </c>
      <c r="L72" s="123">
        <f t="shared" si="1"/>
        <v>44192</v>
      </c>
      <c r="M72" s="123">
        <f t="shared" si="1"/>
        <v>44557</v>
      </c>
      <c r="N72" s="123">
        <f t="shared" si="1"/>
        <v>44922</v>
      </c>
      <c r="O72" s="123">
        <f t="shared" si="1"/>
        <v>45287</v>
      </c>
      <c r="P72" s="123">
        <f t="shared" si="1"/>
        <v>45653</v>
      </c>
      <c r="Q72" s="123">
        <f t="shared" si="1"/>
        <v>46018</v>
      </c>
      <c r="R72" s="123">
        <f t="shared" si="1"/>
        <v>46383</v>
      </c>
    </row>
    <row r="73" spans="1:20" x14ac:dyDescent="0.5">
      <c r="B73" s="140" t="s">
        <v>107</v>
      </c>
      <c r="F73" s="182">
        <f>'LBO Model'!F146</f>
        <v>2529.1950000000002</v>
      </c>
      <c r="G73" s="182">
        <f>'LBO Model'!G146</f>
        <v>2681.58</v>
      </c>
      <c r="H73" s="315">
        <f>'LBO Model'!H146</f>
        <v>2795.3650000000002</v>
      </c>
      <c r="I73" s="182">
        <f ca="1">'LBO Model'!I146</f>
        <v>2846.1157142857151</v>
      </c>
      <c r="J73" s="182">
        <f ca="1">'LBO Model'!J146</f>
        <v>3083.1444285714297</v>
      </c>
      <c r="K73" s="182">
        <f ca="1">'LBO Model'!K146</f>
        <v>3374.4200000000014</v>
      </c>
      <c r="L73" s="182">
        <f ca="1">'LBO Model'!L146</f>
        <v>3886.8910000000014</v>
      </c>
      <c r="M73" s="182">
        <f ca="1">'LBO Model'!M146</f>
        <v>4220.0080000000016</v>
      </c>
      <c r="N73" s="182">
        <f ca="1">'LBO Model'!N146</f>
        <v>4593.740977397968</v>
      </c>
      <c r="O73" s="182">
        <f ca="1">'LBO Model'!O146</f>
        <v>5013.7081816123136</v>
      </c>
      <c r="P73" s="182">
        <f ca="1">'LBO Model'!P146</f>
        <v>5486.405976275908</v>
      </c>
      <c r="Q73" s="182">
        <f ca="1">'LBO Model'!Q146</f>
        <v>6019.3584004222148</v>
      </c>
      <c r="R73" s="182">
        <f ca="1">'LBO Model'!R146</f>
        <v>6621.2942404644364</v>
      </c>
    </row>
    <row r="74" spans="1:20" s="128" customFormat="1" x14ac:dyDescent="0.5">
      <c r="A74" s="179"/>
      <c r="B74" s="180" t="s">
        <v>124</v>
      </c>
      <c r="G74" s="187">
        <f>G73/F73-1</f>
        <v>6.0250395876948915E-2</v>
      </c>
      <c r="H74" s="316">
        <f t="shared" ref="H74" si="2">H73/G73-1</f>
        <v>4.2432073628234201E-2</v>
      </c>
      <c r="I74" s="187">
        <f t="shared" ref="I74:R74" ca="1" si="3">I73/H73-1</f>
        <v>1.8155308621848887E-2</v>
      </c>
      <c r="J74" s="187">
        <f t="shared" ca="1" si="3"/>
        <v>8.3281474852192172E-2</v>
      </c>
      <c r="K74" s="187">
        <f t="shared" ca="1" si="3"/>
        <v>9.4473540950377632E-2</v>
      </c>
      <c r="L74" s="187">
        <f t="shared" ca="1" si="3"/>
        <v>0.15186935828972081</v>
      </c>
      <c r="M74" s="187">
        <f t="shared" ca="1" si="3"/>
        <v>8.5702686285774377E-2</v>
      </c>
      <c r="N74" s="187">
        <f t="shared" ca="1" si="3"/>
        <v>8.8562149028619475E-2</v>
      </c>
      <c r="O74" s="187">
        <f t="shared" ca="1" si="3"/>
        <v>9.1421611771464573E-2</v>
      </c>
      <c r="P74" s="187">
        <f t="shared" ca="1" si="3"/>
        <v>9.4281074514309671E-2</v>
      </c>
      <c r="Q74" s="187">
        <f t="shared" ca="1" si="3"/>
        <v>9.7140537257154769E-2</v>
      </c>
      <c r="R74" s="187">
        <f t="shared" ca="1" si="3"/>
        <v>0.10000000000000009</v>
      </c>
    </row>
    <row r="75" spans="1:20" x14ac:dyDescent="0.5">
      <c r="H75" s="122"/>
    </row>
    <row r="76" spans="1:20" x14ac:dyDescent="0.5">
      <c r="B76" s="140" t="s">
        <v>376</v>
      </c>
      <c r="F76" s="140">
        <f>'LBO Model'!F155+'LBO Model'!F158+'LBO Model'!F159</f>
        <v>2129.1430000000005</v>
      </c>
      <c r="G76" s="140">
        <f>'LBO Model'!G155+'LBO Model'!G158+'LBO Model'!G159</f>
        <v>2287.48</v>
      </c>
      <c r="H76" s="122">
        <f>'LBO Model'!H155+'LBO Model'!H158+'LBO Model'!H159</f>
        <v>2392.1750000000002</v>
      </c>
      <c r="I76" s="140">
        <f ca="1">'LBO Model'!I155+'LBO Model'!I158+'LBO Model'!I159</f>
        <v>2405.2157142857154</v>
      </c>
      <c r="J76" s="140">
        <f ca="1">'LBO Model'!J155+'LBO Model'!J158+'LBO Model'!J159</f>
        <v>2593.7444285714291</v>
      </c>
      <c r="K76" s="140">
        <f ca="1">'LBO Model'!K155+'LBO Model'!K158+'LBO Model'!K159</f>
        <v>2813.3200000000011</v>
      </c>
      <c r="L76" s="140">
        <f ca="1">'LBO Model'!L155+'LBO Model'!L158+'LBO Model'!L159</f>
        <v>3255.2910000000011</v>
      </c>
      <c r="M76" s="140">
        <f ca="1">'LBO Model'!M155+'LBO Model'!M158+'LBO Model'!M159</f>
        <v>3527.9080000000008</v>
      </c>
      <c r="N76" s="140">
        <f ca="1">'LBO Model'!N155+'LBO Model'!N158+'LBO Model'!N159</f>
        <v>3840.3471140552601</v>
      </c>
      <c r="O76" s="140">
        <f ca="1">'LBO Model'!O155+'LBO Model'!O158+'LBO Model'!O159</f>
        <v>4191.4378369840842</v>
      </c>
      <c r="P76" s="140">
        <f ca="1">'LBO Model'!P155+'LBO Model'!P158+'LBO Model'!P159</f>
        <v>4586.6111000148776</v>
      </c>
      <c r="Q76" s="140">
        <f ca="1">'LBO Model'!Q155+'LBO Model'!Q158+'LBO Model'!Q159</f>
        <v>5032.1569664599538</v>
      </c>
      <c r="R76" s="140">
        <f ca="1">'LBO Model'!R155+'LBO Model'!R158+'LBO Model'!R159</f>
        <v>5535.372663105948</v>
      </c>
    </row>
    <row r="77" spans="1:20" s="128" customFormat="1" x14ac:dyDescent="0.5">
      <c r="A77" s="179"/>
      <c r="B77" s="180" t="s">
        <v>124</v>
      </c>
      <c r="F77" s="187"/>
      <c r="G77" s="187">
        <f>G76/F76-1</f>
        <v>7.4366540904016176E-2</v>
      </c>
      <c r="H77" s="316">
        <f t="shared" ref="H77" si="4">H76/G76-1</f>
        <v>4.5768706174480256E-2</v>
      </c>
      <c r="I77" s="187">
        <f t="shared" ref="I77:R77" ca="1" si="5">I76/H76-1</f>
        <v>5.4514048034592921E-3</v>
      </c>
      <c r="J77" s="187">
        <f t="shared" ca="1" si="5"/>
        <v>7.8383287272718372E-2</v>
      </c>
      <c r="K77" s="187">
        <f t="shared" ca="1" si="5"/>
        <v>8.4655823839016042E-2</v>
      </c>
      <c r="L77" s="187">
        <f t="shared" ca="1" si="5"/>
        <v>0.1570994412295792</v>
      </c>
      <c r="M77" s="187">
        <f t="shared" ca="1" si="5"/>
        <v>8.3745815658262002E-2</v>
      </c>
      <c r="N77" s="187">
        <f t="shared" ca="1" si="5"/>
        <v>8.8562149028619475E-2</v>
      </c>
      <c r="O77" s="187">
        <f t="shared" ca="1" si="5"/>
        <v>9.1421611771464573E-2</v>
      </c>
      <c r="P77" s="187">
        <f t="shared" ca="1" si="5"/>
        <v>9.4281074514309671E-2</v>
      </c>
      <c r="Q77" s="187">
        <f t="shared" ca="1" si="5"/>
        <v>9.7140537257154991E-2</v>
      </c>
      <c r="R77" s="187">
        <f t="shared" ca="1" si="5"/>
        <v>9.9999999999999867E-2</v>
      </c>
    </row>
    <row r="78" spans="1:20" s="128" customFormat="1" x14ac:dyDescent="0.5">
      <c r="A78" s="179"/>
      <c r="B78" s="180" t="s">
        <v>225</v>
      </c>
      <c r="F78" s="187">
        <f>F76/F73</f>
        <v>0.84182635186294463</v>
      </c>
      <c r="G78" s="187">
        <f>G76/G73</f>
        <v>0.85303440508953676</v>
      </c>
      <c r="H78" s="316">
        <f t="shared" ref="H78" si="6">H76/H73</f>
        <v>0.8557648106776754</v>
      </c>
      <c r="I78" s="187">
        <f t="shared" ref="I78:R78" ca="1" si="7">I76/I73</f>
        <v>0.8450871137153847</v>
      </c>
      <c r="J78" s="187">
        <f t="shared" ca="1" si="7"/>
        <v>0.84126595061044118</v>
      </c>
      <c r="K78" s="187">
        <f t="shared" ca="1" si="7"/>
        <v>0.83371957254876394</v>
      </c>
      <c r="L78" s="187">
        <f t="shared" ca="1" si="7"/>
        <v>0.83750509082966307</v>
      </c>
      <c r="M78" s="187">
        <f t="shared" ca="1" si="7"/>
        <v>0.83599557157237603</v>
      </c>
      <c r="N78" s="187">
        <f t="shared" ca="1" si="7"/>
        <v>0.83599557157237614</v>
      </c>
      <c r="O78" s="187">
        <f t="shared" ca="1" si="7"/>
        <v>0.83599557157237603</v>
      </c>
      <c r="P78" s="187">
        <f t="shared" ca="1" si="7"/>
        <v>0.83599557157237603</v>
      </c>
      <c r="Q78" s="187">
        <f t="shared" ca="1" si="7"/>
        <v>0.83599557157237625</v>
      </c>
      <c r="R78" s="187">
        <f t="shared" ca="1" si="7"/>
        <v>0.83599557157237603</v>
      </c>
    </row>
    <row r="79" spans="1:20" x14ac:dyDescent="0.5">
      <c r="H79" s="122"/>
    </row>
    <row r="80" spans="1:20" x14ac:dyDescent="0.5">
      <c r="B80" s="140" t="s">
        <v>110</v>
      </c>
      <c r="F80" s="140">
        <f>'LBO Model'!F160</f>
        <v>400.05199999999974</v>
      </c>
      <c r="G80" s="140">
        <f>'LBO Model'!G160</f>
        <v>394.09999999999985</v>
      </c>
      <c r="H80" s="122">
        <f>'LBO Model'!H160</f>
        <v>403.19000000000017</v>
      </c>
      <c r="I80" s="140">
        <f ca="1">'LBO Model'!I160</f>
        <v>440.89999999999992</v>
      </c>
      <c r="J80" s="140">
        <f ca="1">'LBO Model'!J160</f>
        <v>489.40000000000043</v>
      </c>
      <c r="K80" s="140">
        <f ca="1">'LBO Model'!K160</f>
        <v>561.10000000000059</v>
      </c>
      <c r="L80" s="140">
        <f ca="1">'LBO Model'!L160</f>
        <v>631.60000000000036</v>
      </c>
      <c r="M80" s="140">
        <f ca="1">'LBO Model'!M160</f>
        <v>692.1000000000007</v>
      </c>
      <c r="N80" s="140">
        <f ca="1">'LBO Model'!N160</f>
        <v>753.3938633427083</v>
      </c>
      <c r="O80" s="140">
        <f ca="1">'LBO Model'!O160</f>
        <v>822.27034462822928</v>
      </c>
      <c r="P80" s="140">
        <f ca="1">'LBO Model'!P160</f>
        <v>899.79487626102991</v>
      </c>
      <c r="Q80" s="140">
        <f ca="1">'LBO Model'!Q160</f>
        <v>987.2014339622616</v>
      </c>
      <c r="R80" s="140">
        <f ca="1">'LBO Model'!R160</f>
        <v>1085.9215773584885</v>
      </c>
    </row>
    <row r="81" spans="1:18" s="128" customFormat="1" x14ac:dyDescent="0.5">
      <c r="A81" s="179"/>
      <c r="B81" s="180" t="s">
        <v>124</v>
      </c>
      <c r="F81" s="187"/>
      <c r="G81" s="187">
        <f>G80/F80-1</f>
        <v>-1.4878065851439026E-2</v>
      </c>
      <c r="H81" s="316">
        <f t="shared" ref="H81" si="8">H80/G80-1</f>
        <v>2.3065211875159308E-2</v>
      </c>
      <c r="I81" s="187">
        <f t="shared" ref="I81:R81" ca="1" si="9">I80/H80-1</f>
        <v>9.3529105384557498E-2</v>
      </c>
      <c r="J81" s="187">
        <f t="shared" ca="1" si="9"/>
        <v>0.11000226808800306</v>
      </c>
      <c r="K81" s="187">
        <f t="shared" ca="1" si="9"/>
        <v>0.14650592562321219</v>
      </c>
      <c r="L81" s="187">
        <f t="shared" ca="1" si="9"/>
        <v>0.1256460523970766</v>
      </c>
      <c r="M81" s="187">
        <f t="shared" ca="1" si="9"/>
        <v>9.5788473717543177E-2</v>
      </c>
      <c r="N81" s="187">
        <f t="shared" ca="1" si="9"/>
        <v>8.8562149028619475E-2</v>
      </c>
      <c r="O81" s="187">
        <f t="shared" ca="1" si="9"/>
        <v>9.1421611771464573E-2</v>
      </c>
      <c r="P81" s="187">
        <f t="shared" ca="1" si="9"/>
        <v>9.4281074514309005E-2</v>
      </c>
      <c r="Q81" s="187">
        <f t="shared" ca="1" si="9"/>
        <v>9.7140537257154991E-2</v>
      </c>
      <c r="R81" s="187">
        <f t="shared" ca="1" si="9"/>
        <v>0.10000000000000075</v>
      </c>
    </row>
    <row r="82" spans="1:18" s="128" customFormat="1" x14ac:dyDescent="0.5">
      <c r="A82" s="179"/>
      <c r="B82" s="180" t="s">
        <v>225</v>
      </c>
      <c r="F82" s="187">
        <f>F80/F73</f>
        <v>0.15817364813705534</v>
      </c>
      <c r="G82" s="187">
        <f>G80/G73</f>
        <v>0.14696559491046318</v>
      </c>
      <c r="H82" s="316">
        <f t="shared" ref="H82" si="10">H80/H73</f>
        <v>0.14423518932232468</v>
      </c>
      <c r="I82" s="187">
        <f t="shared" ref="I82:R82" ca="1" si="11">I80/I73</f>
        <v>0.15491288628461541</v>
      </c>
      <c r="J82" s="187">
        <f t="shared" ca="1" si="11"/>
        <v>0.15873404938955882</v>
      </c>
      <c r="K82" s="187">
        <f t="shared" ca="1" si="11"/>
        <v>0.16628042745123617</v>
      </c>
      <c r="L82" s="187">
        <f t="shared" ca="1" si="11"/>
        <v>0.16249490917033693</v>
      </c>
      <c r="M82" s="187">
        <f t="shared" ca="1" si="11"/>
        <v>0.16400442842762394</v>
      </c>
      <c r="N82" s="187">
        <f t="shared" ca="1" si="11"/>
        <v>0.16400442842762394</v>
      </c>
      <c r="O82" s="187">
        <f t="shared" ca="1" si="11"/>
        <v>0.16400442842762394</v>
      </c>
      <c r="P82" s="187">
        <f t="shared" ca="1" si="11"/>
        <v>0.16400442842762386</v>
      </c>
      <c r="Q82" s="187">
        <f t="shared" ca="1" si="11"/>
        <v>0.16400442842762386</v>
      </c>
      <c r="R82" s="187">
        <f t="shared" ca="1" si="11"/>
        <v>0.16400442842762397</v>
      </c>
    </row>
    <row r="83" spans="1:18" x14ac:dyDescent="0.5">
      <c r="H83" s="122"/>
    </row>
    <row r="84" spans="1:18" x14ac:dyDescent="0.5">
      <c r="B84" s="140" t="s">
        <v>377</v>
      </c>
      <c r="F84" s="140">
        <f>'LBO Model'!F162+'LBO Model'!F163</f>
        <v>124.10899999999999</v>
      </c>
      <c r="G84" s="140">
        <f>'LBO Model'!G162+'LBO Model'!G163</f>
        <v>135.398</v>
      </c>
      <c r="H84" s="122">
        <f>'LBO Model'!H162+'LBO Model'!H163</f>
        <v>154.35499999999999</v>
      </c>
      <c r="I84" s="140">
        <f ca="1">'LBO Model'!I162+'LBO Model'!I163</f>
        <v>293.22063316428773</v>
      </c>
      <c r="J84" s="140">
        <f ca="1">'LBO Model'!J162+'LBO Model'!J163</f>
        <v>298.25077602143068</v>
      </c>
      <c r="K84" s="140">
        <f ca="1">'LBO Model'!K162+'LBO Model'!K163</f>
        <v>311.11434745000201</v>
      </c>
      <c r="L84" s="140">
        <f ca="1">'LBO Model'!L162+'LBO Model'!L163</f>
        <v>337.21134745000211</v>
      </c>
      <c r="M84" s="140">
        <f ca="1">'LBO Model'!M162+'LBO Model'!M163</f>
        <v>351.2893474500022</v>
      </c>
      <c r="N84" s="140">
        <f ca="1">'LBO Model'!N162+'LBO Model'!N163</f>
        <v>370.81313888980844</v>
      </c>
      <c r="O84" s="140">
        <f ca="1">'LBO Model'!O162+'LBO Model'!O163</f>
        <v>392.75220395098017</v>
      </c>
      <c r="P84" s="140">
        <f ca="1">'LBO Model'!P162+'LBO Model'!P163</f>
        <v>417.44591233422807</v>
      </c>
      <c r="Q84" s="140">
        <f ca="1">'LBO Model'!Q162+'LBO Model'!Q163</f>
        <v>445.28731945012123</v>
      </c>
      <c r="R84" s="140">
        <f ca="1">'LBO Model'!R162+'LBO Model'!R163</f>
        <v>476.73241665013313</v>
      </c>
    </row>
    <row r="85" spans="1:18" x14ac:dyDescent="0.5">
      <c r="B85" s="140" t="s">
        <v>111</v>
      </c>
      <c r="F85" s="140">
        <f>'LBO Model'!F164</f>
        <v>275.94299999999976</v>
      </c>
      <c r="G85" s="140">
        <f>'LBO Model'!G164</f>
        <v>258.70199999999988</v>
      </c>
      <c r="H85" s="122">
        <f>'LBO Model'!H164</f>
        <v>248.83500000000018</v>
      </c>
      <c r="I85" s="140">
        <f ca="1">'LBO Model'!I164</f>
        <v>147.67936683571222</v>
      </c>
      <c r="J85" s="140">
        <f ca="1">'LBO Model'!J164</f>
        <v>191.14922397856978</v>
      </c>
      <c r="K85" s="140">
        <f ca="1">'LBO Model'!K164</f>
        <v>249.9856525499986</v>
      </c>
      <c r="L85" s="140">
        <f ca="1">'LBO Model'!L164</f>
        <v>294.38865254999826</v>
      </c>
      <c r="M85" s="140">
        <f ca="1">'LBO Model'!M164</f>
        <v>340.81065254999851</v>
      </c>
      <c r="N85" s="140">
        <f ca="1">'LBO Model'!N164</f>
        <v>382.58072445289986</v>
      </c>
      <c r="O85" s="140">
        <f ca="1">'LBO Model'!O164</f>
        <v>429.51814067724922</v>
      </c>
      <c r="P85" s="140">
        <f ca="1">'LBO Model'!P164</f>
        <v>482.34896392680184</v>
      </c>
      <c r="Q85" s="140">
        <f ca="1">'LBO Model'!Q164</f>
        <v>541.91411451214049</v>
      </c>
      <c r="R85" s="140">
        <f ca="1">'LBO Model'!R164</f>
        <v>609.18916070835553</v>
      </c>
    </row>
    <row r="86" spans="1:18" s="128" customFormat="1" x14ac:dyDescent="0.5">
      <c r="A86" s="179"/>
      <c r="B86" s="180" t="s">
        <v>124</v>
      </c>
      <c r="G86" s="187">
        <f>G85/F85-1</f>
        <v>-6.2480294843499928E-2</v>
      </c>
      <c r="H86" s="316">
        <f t="shared" ref="H86" si="12">H85/G85-1</f>
        <v>-3.8140408655517599E-2</v>
      </c>
      <c r="I86" s="187">
        <f t="shared" ref="I86:R86" ca="1" si="13">I85/H85-1</f>
        <v>-0.40651690141775831</v>
      </c>
      <c r="J86" s="187">
        <f t="shared" ca="1" si="13"/>
        <v>0.29435294905628995</v>
      </c>
      <c r="K86" s="187">
        <f t="shared" ca="1" si="13"/>
        <v>0.30780364861970422</v>
      </c>
      <c r="L86" s="187">
        <f t="shared" ca="1" si="13"/>
        <v>0.1776221937021718</v>
      </c>
      <c r="M86" s="187">
        <f t="shared" ca="1" si="13"/>
        <v>0.15768950194884312</v>
      </c>
      <c r="N86" s="187">
        <f t="shared" ca="1" si="13"/>
        <v>0.12256093402706503</v>
      </c>
      <c r="O86" s="187">
        <f t="shared" ca="1" si="13"/>
        <v>0.12268630703094385</v>
      </c>
      <c r="P86" s="187">
        <f t="shared" ca="1" si="13"/>
        <v>0.12300021406837636</v>
      </c>
      <c r="Q86" s="187">
        <f t="shared" ca="1" si="13"/>
        <v>0.12348974506013</v>
      </c>
      <c r="R86" s="187">
        <f t="shared" ca="1" si="13"/>
        <v>0.12414337326640701</v>
      </c>
    </row>
    <row r="87" spans="1:18" s="128" customFormat="1" x14ac:dyDescent="0.5">
      <c r="A87" s="179"/>
      <c r="B87" s="180" t="s">
        <v>225</v>
      </c>
      <c r="F87" s="187">
        <f>F85/F73</f>
        <v>0.10910309406747987</v>
      </c>
      <c r="G87" s="187">
        <f>G85/G73</f>
        <v>9.6473720716890754E-2</v>
      </c>
      <c r="H87" s="316">
        <f t="shared" ref="H87" si="14">H85/H73</f>
        <v>8.9016997780254153E-2</v>
      </c>
      <c r="I87" s="187">
        <f t="shared" ref="I87:R87" ca="1" si="15">I85/I73</f>
        <v>5.1888040283975263E-2</v>
      </c>
      <c r="J87" s="187">
        <f t="shared" ca="1" si="15"/>
        <v>6.1998141315468144E-2</v>
      </c>
      <c r="K87" s="187">
        <f t="shared" ca="1" si="15"/>
        <v>7.4082554201906847E-2</v>
      </c>
      <c r="L87" s="187">
        <f t="shared" ca="1" si="15"/>
        <v>7.573884952009155E-2</v>
      </c>
      <c r="M87" s="187">
        <f t="shared" ca="1" si="15"/>
        <v>8.0760665039023238E-2</v>
      </c>
      <c r="N87" s="187">
        <f t="shared" ca="1" si="15"/>
        <v>8.3283042369011628E-2</v>
      </c>
      <c r="O87" s="187">
        <f t="shared" ca="1" si="15"/>
        <v>8.5668755563496776E-2</v>
      </c>
      <c r="P87" s="187">
        <f t="shared" ca="1" si="15"/>
        <v>8.7917111131140396E-2</v>
      </c>
      <c r="Q87" s="187">
        <f t="shared" ca="1" si="15"/>
        <v>9.0028550962197085E-2</v>
      </c>
      <c r="R87" s="187">
        <f t="shared" ca="1" si="15"/>
        <v>9.2004544517209866E-2</v>
      </c>
    </row>
    <row r="88" spans="1:18" x14ac:dyDescent="0.5">
      <c r="H88" s="122"/>
    </row>
    <row r="89" spans="1:18" x14ac:dyDescent="0.5">
      <c r="B89" s="140" t="s">
        <v>211</v>
      </c>
      <c r="F89" s="140">
        <f>'LBO Model'!F199</f>
        <v>224.21700000000001</v>
      </c>
      <c r="G89" s="140">
        <f>'LBO Model'!G199</f>
        <v>223.93199999999999</v>
      </c>
      <c r="H89" s="122">
        <f>'LBO Model'!H199</f>
        <v>200.06299999999999</v>
      </c>
      <c r="I89" s="140">
        <f ca="1">'LBO Model'!I199</f>
        <v>210.89375000000007</v>
      </c>
      <c r="J89" s="140">
        <f ca="1">'LBO Model'!J199</f>
        <v>199.77150000000009</v>
      </c>
      <c r="K89" s="140">
        <f ca="1">'LBO Model'!K199</f>
        <v>195.88400000000007</v>
      </c>
      <c r="L89" s="140">
        <f ca="1">'LBO Model'!L199</f>
        <v>196.36400000000006</v>
      </c>
      <c r="M89" s="140">
        <f ca="1">'LBO Model'!M199</f>
        <v>192.70400000000009</v>
      </c>
      <c r="N89" s="140">
        <f ca="1">'LBO Model'!N199</f>
        <v>215.59113045806779</v>
      </c>
      <c r="O89" s="140">
        <f ca="1">'LBO Model'!O199</f>
        <v>241.65382067709243</v>
      </c>
      <c r="P89" s="140">
        <f ca="1">'LBO Model'!P199</f>
        <v>271.38917195612709</v>
      </c>
      <c r="Q89" s="140">
        <f ca="1">'LBO Model'!Q199</f>
        <v>305.37934937383739</v>
      </c>
      <c r="R89" s="140">
        <f ca="1">'LBO Model'!R199</f>
        <v>344.3073005041507</v>
      </c>
    </row>
    <row r="90" spans="1:18" s="128" customFormat="1" ht="13.2" thickBot="1" x14ac:dyDescent="0.55000000000000004">
      <c r="A90" s="179"/>
      <c r="B90" s="297" t="s">
        <v>225</v>
      </c>
      <c r="C90" s="298"/>
      <c r="D90" s="298"/>
      <c r="E90" s="298"/>
      <c r="F90" s="299">
        <f>F89/F73</f>
        <v>8.8651527462295321E-2</v>
      </c>
      <c r="G90" s="299">
        <f>G89/G73</f>
        <v>8.3507484393529188E-2</v>
      </c>
      <c r="H90" s="317">
        <f t="shared" ref="H90" si="16">H89/H73</f>
        <v>7.1569544585411912E-2</v>
      </c>
      <c r="I90" s="299">
        <f t="shared" ref="I90:R90" ca="1" si="17">I89/I73</f>
        <v>7.409879680627382E-2</v>
      </c>
      <c r="J90" s="299">
        <f t="shared" ca="1" si="17"/>
        <v>6.4794726496988628E-2</v>
      </c>
      <c r="K90" s="299">
        <f t="shared" ca="1" si="17"/>
        <v>5.804967964865073E-2</v>
      </c>
      <c r="L90" s="299">
        <f t="shared" ca="1" si="17"/>
        <v>5.0519554060044387E-2</v>
      </c>
      <c r="M90" s="299">
        <f t="shared" ca="1" si="17"/>
        <v>4.566436840878027E-2</v>
      </c>
      <c r="N90" s="299">
        <f t="shared" ca="1" si="17"/>
        <v>4.6931494727024216E-2</v>
      </c>
      <c r="O90" s="299">
        <f t="shared" ca="1" si="17"/>
        <v>4.8198621045268161E-2</v>
      </c>
      <c r="P90" s="299">
        <f t="shared" ca="1" si="17"/>
        <v>4.9465747363512114E-2</v>
      </c>
      <c r="Q90" s="299">
        <f t="shared" ca="1" si="17"/>
        <v>5.0732873681756052E-2</v>
      </c>
      <c r="R90" s="299">
        <f t="shared" ca="1" si="17"/>
        <v>5.2000000000000005E-2</v>
      </c>
    </row>
    <row r="92" spans="1:18" s="148" customFormat="1" ht="13.2" thickBot="1" x14ac:dyDescent="0.55000000000000004">
      <c r="A92" s="138" t="s">
        <v>31</v>
      </c>
      <c r="B92" s="295" t="str">
        <f>"Returns Summary ("&amp;'LBO Model'!E4&amp;")"</f>
        <v>Returns Summary (Base Case)</v>
      </c>
      <c r="C92" s="170"/>
      <c r="D92" s="170"/>
      <c r="E92" s="170"/>
      <c r="F92" s="170"/>
      <c r="G92" s="170"/>
      <c r="H92" s="170"/>
      <c r="I92" s="170"/>
      <c r="J92" s="170"/>
      <c r="K92" s="170"/>
    </row>
    <row r="93" spans="1:18" x14ac:dyDescent="0.5">
      <c r="B93" s="128"/>
      <c r="E93" s="141" t="s">
        <v>109</v>
      </c>
      <c r="F93" s="164" t="s">
        <v>224</v>
      </c>
      <c r="G93" s="164"/>
      <c r="H93" s="164"/>
      <c r="I93" s="164"/>
      <c r="J93" s="164"/>
      <c r="K93" s="141" t="s">
        <v>129</v>
      </c>
    </row>
    <row r="94" spans="1:18" ht="14.7" x14ac:dyDescent="0.8">
      <c r="E94" s="284">
        <f>'LBO Model'!K39</f>
        <v>42731</v>
      </c>
      <c r="F94" s="285">
        <f>DATE(YEAR(E94)+1,MONTH(E94),DAY(E94))</f>
        <v>43096</v>
      </c>
      <c r="G94" s="285">
        <f>DATE(YEAR(F94)+1,MONTH(F94),DAY(F94))</f>
        <v>43461</v>
      </c>
      <c r="H94" s="285">
        <f>DATE(YEAR(G94)+1,MONTH(G94),DAY(G94))</f>
        <v>43826</v>
      </c>
      <c r="I94" s="285">
        <f>DATE(YEAR(H94)+1,MONTH(H94),DAY(H94))</f>
        <v>44192</v>
      </c>
      <c r="J94" s="285">
        <f>DATE(YEAR(I94)+1,MONTH(I94),DAY(I94))</f>
        <v>44557</v>
      </c>
      <c r="K94" s="286" t="s">
        <v>655</v>
      </c>
    </row>
    <row r="95" spans="1:18" x14ac:dyDescent="0.5">
      <c r="B95" s="140" t="s">
        <v>110</v>
      </c>
      <c r="E95" s="182">
        <f>'LBO Model'!K43</f>
        <v>403.19000000000017</v>
      </c>
      <c r="F95" s="182">
        <f ca="1">'LBO Model'!L43</f>
        <v>440.89999999999992</v>
      </c>
      <c r="G95" s="182">
        <f ca="1">'LBO Model'!M43</f>
        <v>489.40000000000043</v>
      </c>
      <c r="H95" s="182">
        <f ca="1">'LBO Model'!N43</f>
        <v>561.10000000000059</v>
      </c>
      <c r="I95" s="182">
        <f ca="1">'LBO Model'!O43</f>
        <v>631.60000000000036</v>
      </c>
      <c r="J95" s="182">
        <f ca="1">'LBO Model'!P43</f>
        <v>692.1000000000007</v>
      </c>
      <c r="K95" s="121">
        <f ca="1">'LBO Model'!Q43</f>
        <v>0.11411961247036118</v>
      </c>
    </row>
    <row r="96" spans="1:18" x14ac:dyDescent="0.5">
      <c r="B96" s="175" t="s">
        <v>124</v>
      </c>
      <c r="E96" s="125">
        <f>'LBO Model'!K44</f>
        <v>4.2432073628234201E-2</v>
      </c>
      <c r="F96" s="125">
        <f ca="1">'LBO Model'!L44</f>
        <v>1.8155308621848887E-2</v>
      </c>
      <c r="G96" s="125">
        <f ca="1">'LBO Model'!M44</f>
        <v>8.3281474852192172E-2</v>
      </c>
      <c r="H96" s="125">
        <f ca="1">'LBO Model'!N44</f>
        <v>9.4473540950377632E-2</v>
      </c>
      <c r="I96" s="125">
        <f ca="1">'LBO Model'!O44</f>
        <v>0.15186935828972081</v>
      </c>
      <c r="J96" s="125">
        <f ca="1">'LBO Model'!P44</f>
        <v>8.5702686285774377E-2</v>
      </c>
      <c r="K96" s="125"/>
    </row>
    <row r="97" spans="1:11" x14ac:dyDescent="0.5">
      <c r="B97" s="175" t="s">
        <v>225</v>
      </c>
      <c r="E97" s="125">
        <f>'LBO Model'!K45</f>
        <v>0.14423518932232468</v>
      </c>
      <c r="F97" s="125">
        <f ca="1">'LBO Model'!L45</f>
        <v>0.15491288628461541</v>
      </c>
      <c r="G97" s="125">
        <f ca="1">'LBO Model'!M45</f>
        <v>0.15873404938955882</v>
      </c>
      <c r="H97" s="125">
        <f ca="1">'LBO Model'!N45</f>
        <v>0.16628042745123617</v>
      </c>
      <c r="I97" s="125">
        <f ca="1">'LBO Model'!O45</f>
        <v>0.16249490917033693</v>
      </c>
      <c r="J97" s="125">
        <f ca="1">'LBO Model'!P45</f>
        <v>0.16400442842762394</v>
      </c>
      <c r="K97" s="125"/>
    </row>
    <row r="99" spans="1:11" x14ac:dyDescent="0.5">
      <c r="B99" s="140" t="s">
        <v>211</v>
      </c>
      <c r="E99" s="140">
        <f>H89</f>
        <v>200.06299999999999</v>
      </c>
      <c r="F99" s="140">
        <f t="shared" ref="F99:J99" ca="1" si="18">I89</f>
        <v>210.89375000000007</v>
      </c>
      <c r="G99" s="140">
        <f t="shared" ca="1" si="18"/>
        <v>199.77150000000009</v>
      </c>
      <c r="H99" s="140">
        <f t="shared" ca="1" si="18"/>
        <v>195.88400000000007</v>
      </c>
      <c r="I99" s="140">
        <f t="shared" ca="1" si="18"/>
        <v>196.36400000000006</v>
      </c>
      <c r="J99" s="140">
        <f t="shared" ca="1" si="18"/>
        <v>192.70400000000009</v>
      </c>
    </row>
    <row r="101" spans="1:11" x14ac:dyDescent="0.5">
      <c r="B101" s="140" t="s">
        <v>276</v>
      </c>
      <c r="E101" s="140">
        <f>'LBO Model'!K47</f>
        <v>8.8840000000000003</v>
      </c>
      <c r="F101" s="140">
        <f ca="1">'LBO Model'!L47</f>
        <v>174.13839668657508</v>
      </c>
      <c r="G101" s="140">
        <f ca="1">'LBO Model'!M47</f>
        <v>170.86082758556532</v>
      </c>
      <c r="H101" s="140">
        <f ca="1">'LBO Model'!N47</f>
        <v>164.48245205923334</v>
      </c>
      <c r="I101" s="140">
        <f ca="1">'LBO Model'!O47</f>
        <v>155.72268489383853</v>
      </c>
      <c r="J101" s="140">
        <f ca="1">'LBO Model'!P47</f>
        <v>141.98782935750975</v>
      </c>
    </row>
    <row r="103" spans="1:11" x14ac:dyDescent="0.5">
      <c r="B103" s="140" t="s">
        <v>214</v>
      </c>
      <c r="E103" s="442">
        <f ca="1">'LBO Model'!K49</f>
        <v>3000.0012372073261</v>
      </c>
      <c r="F103" s="442">
        <f ca="1">'LBO Model'!L49</f>
        <v>2969.8470493282257</v>
      </c>
      <c r="G103" s="442">
        <f ca="1">'LBO Model'!M49</f>
        <v>2823.1651153281405</v>
      </c>
      <c r="H103" s="442">
        <f ca="1">'LBO Model'!N49</f>
        <v>2625.7117596377211</v>
      </c>
      <c r="I103" s="442">
        <f ca="1">'LBO Model'!O49</f>
        <v>2350.5455590454108</v>
      </c>
      <c r="J103" s="442">
        <f ca="1">'LBO Model'!P49</f>
        <v>2035.0408181609478</v>
      </c>
    </row>
    <row r="104" spans="1:11" x14ac:dyDescent="0.5">
      <c r="B104" s="292" t="s">
        <v>242</v>
      </c>
      <c r="C104" s="292"/>
      <c r="D104" s="292"/>
      <c r="E104" s="292">
        <f>'LBO Model'!K50</f>
        <v>21.341549999999998</v>
      </c>
      <c r="F104" s="292">
        <f ca="1">'LBO Model'!L50</f>
        <v>21.341550000000002</v>
      </c>
      <c r="G104" s="292">
        <f ca="1">'LBO Model'!M50</f>
        <v>21.341550000000002</v>
      </c>
      <c r="H104" s="292">
        <f ca="1">'LBO Model'!N50</f>
        <v>21.341550000000002</v>
      </c>
      <c r="I104" s="292">
        <f ca="1">'LBO Model'!O50</f>
        <v>21.341550000000002</v>
      </c>
      <c r="J104" s="292">
        <f ca="1">'LBO Model'!P50</f>
        <v>21.341550000000002</v>
      </c>
      <c r="K104" s="292"/>
    </row>
    <row r="105" spans="1:11" x14ac:dyDescent="0.5">
      <c r="B105" s="140" t="s">
        <v>216</v>
      </c>
      <c r="E105" s="182">
        <f ca="1">'LBO Model'!K51</f>
        <v>2978.659687207326</v>
      </c>
      <c r="F105" s="182">
        <f ca="1">'LBO Model'!L51</f>
        <v>2948.5054993282256</v>
      </c>
      <c r="G105" s="182">
        <f ca="1">'LBO Model'!M51</f>
        <v>2801.8235653281404</v>
      </c>
      <c r="H105" s="182">
        <f ca="1">'LBO Model'!N51</f>
        <v>2604.370209637721</v>
      </c>
      <c r="I105" s="182">
        <f ca="1">'LBO Model'!O51</f>
        <v>2329.2040090454107</v>
      </c>
      <c r="J105" s="182">
        <f ca="1">'LBO Model'!P51</f>
        <v>2013.6992681609477</v>
      </c>
    </row>
    <row r="107" spans="1:11" x14ac:dyDescent="0.5">
      <c r="B107" s="140" t="s">
        <v>218</v>
      </c>
      <c r="E107" s="126">
        <f ca="1">'LBO Model'!K53</f>
        <v>7.4406637992144979</v>
      </c>
      <c r="F107" s="126">
        <f ca="1">'LBO Model'!L53</f>
        <v>6.7358744597991222</v>
      </c>
      <c r="G107" s="126">
        <f ca="1">'LBO Model'!M53</f>
        <v>5.7686250823946645</v>
      </c>
      <c r="H107" s="126">
        <f ca="1">'LBO Model'!N53</f>
        <v>4.6795789692719412</v>
      </c>
      <c r="I107" s="126">
        <f ca="1">'LBO Model'!O53</f>
        <v>3.7215730827575655</v>
      </c>
      <c r="J107" s="126">
        <f ca="1">'LBO Model'!P53</f>
        <v>2.9403855197238142</v>
      </c>
      <c r="K107" s="126"/>
    </row>
    <row r="108" spans="1:11" x14ac:dyDescent="0.5">
      <c r="B108" s="140" t="s">
        <v>219</v>
      </c>
      <c r="E108" s="126">
        <f ca="1">'LBO Model'!K54</f>
        <v>7.3877320548756007</v>
      </c>
      <c r="F108" s="126">
        <f ca="1">'LBO Model'!L54</f>
        <v>6.6874699463039988</v>
      </c>
      <c r="G108" s="126">
        <f ca="1">'LBO Model'!M54</f>
        <v>5.72501750168359</v>
      </c>
      <c r="H108" s="126">
        <f ca="1">'LBO Model'!N54</f>
        <v>4.6415437705551348</v>
      </c>
      <c r="I108" s="126">
        <f ca="1">'LBO Model'!O54</f>
        <v>3.6877834215796046</v>
      </c>
      <c r="J108" s="126">
        <f ca="1">'LBO Model'!P54</f>
        <v>2.9095495856102467</v>
      </c>
      <c r="K108" s="126"/>
    </row>
    <row r="109" spans="1:11" x14ac:dyDescent="0.5">
      <c r="B109" s="140" t="s">
        <v>286</v>
      </c>
      <c r="F109" s="126">
        <f ca="1">'LBO Model'!L55</f>
        <v>2.6089849392283346</v>
      </c>
      <c r="G109" s="126">
        <f ca="1">'LBO Model'!M55</f>
        <v>2.953256763681519</v>
      </c>
      <c r="H109" s="126">
        <f ca="1">'LBO Model'!N55</f>
        <v>3.5214674804694734</v>
      </c>
      <c r="I109" s="126">
        <f ca="1">'LBO Model'!O55</f>
        <v>4.1945257212245641</v>
      </c>
      <c r="J109" s="126">
        <f ca="1">'LBO Model'!P55</f>
        <v>5.0576444628532773</v>
      </c>
      <c r="K109" s="126"/>
    </row>
    <row r="110" spans="1:11" ht="13.2" thickBot="1" x14ac:dyDescent="0.55000000000000004">
      <c r="B110" s="163" t="s">
        <v>287</v>
      </c>
      <c r="C110" s="163"/>
      <c r="D110" s="163"/>
      <c r="E110" s="163"/>
      <c r="F110" s="186">
        <f ca="1">'LBO Model'!L56</f>
        <v>1.3610406944395257</v>
      </c>
      <c r="G110" s="186">
        <f ca="1">'LBO Model'!M56</f>
        <v>1.7477468871678241</v>
      </c>
      <c r="H110" s="186">
        <f ca="1">'LBO Model'!N56</f>
        <v>2.2920981417699871</v>
      </c>
      <c r="I110" s="186">
        <f ca="1">'LBO Model'!O56</f>
        <v>2.8904505965846972</v>
      </c>
      <c r="J110" s="186">
        <f ca="1">'LBO Model'!P56</f>
        <v>3.6494255370193267</v>
      </c>
      <c r="K110" s="186"/>
    </row>
    <row r="112" spans="1:11" s="148" customFormat="1" x14ac:dyDescent="0.5">
      <c r="A112" s="141" t="s">
        <v>31</v>
      </c>
      <c r="B112" s="172" t="str">
        <f>"Returns ("&amp;'LBO Model'!E4&amp;")"</f>
        <v>Returns (Base Case)</v>
      </c>
    </row>
    <row r="113" spans="1:15" x14ac:dyDescent="0.5">
      <c r="B113" s="140" t="s">
        <v>732</v>
      </c>
    </row>
    <row r="115" spans="1:15" s="138" customFormat="1" x14ac:dyDescent="0.5">
      <c r="B115" s="141" t="s">
        <v>110</v>
      </c>
      <c r="C115" s="141"/>
      <c r="D115" s="141"/>
      <c r="E115" s="141"/>
      <c r="F115" s="141"/>
      <c r="G115" s="141"/>
      <c r="H115" s="141" t="s">
        <v>226</v>
      </c>
      <c r="I115" s="141"/>
      <c r="J115" s="141" t="s">
        <v>336</v>
      </c>
    </row>
    <row r="116" spans="1:15" s="138" customFormat="1" ht="13.2" thickBot="1" x14ac:dyDescent="0.55000000000000004">
      <c r="B116" s="205" t="s">
        <v>258</v>
      </c>
      <c r="C116" s="205"/>
      <c r="D116" s="205" t="s">
        <v>226</v>
      </c>
      <c r="E116" s="205"/>
      <c r="F116" s="205" t="s">
        <v>336</v>
      </c>
      <c r="G116" s="205"/>
      <c r="H116" s="205" t="s">
        <v>335</v>
      </c>
      <c r="I116" s="205"/>
      <c r="J116" s="205" t="s">
        <v>335</v>
      </c>
    </row>
    <row r="117" spans="1:15" x14ac:dyDescent="0.5">
      <c r="B117" s="126">
        <f>'LBO Model'!I62</f>
        <v>0</v>
      </c>
      <c r="D117" s="125">
        <f ca="1">'LBO Model'!K62</f>
        <v>-0.99999940914518248</v>
      </c>
      <c r="F117" s="182">
        <f ca="1">'LBO Model'!M62</f>
        <v>-4534.1932261292477</v>
      </c>
      <c r="H117" s="125">
        <f ca="1">'LBO Model'!O62</f>
        <v>-0.99999940914518248</v>
      </c>
      <c r="J117" s="182">
        <f ca="1">'LBO Model'!Q62</f>
        <v>-4513.0356254792478</v>
      </c>
    </row>
    <row r="118" spans="1:15" x14ac:dyDescent="0.5">
      <c r="B118" s="126">
        <f>'LBO Model'!I63</f>
        <v>0</v>
      </c>
      <c r="D118" s="125">
        <f ca="1">'LBO Model'!K63</f>
        <v>-0.99999940914518248</v>
      </c>
      <c r="F118" s="182">
        <f ca="1">'LBO Model'!M63</f>
        <v>-4534.1932261292477</v>
      </c>
      <c r="H118" s="125">
        <f ca="1">'LBO Model'!O63</f>
        <v>-0.99999940914518248</v>
      </c>
      <c r="J118" s="182">
        <f ca="1">'LBO Model'!Q63</f>
        <v>-4513.0356254792478</v>
      </c>
    </row>
    <row r="119" spans="1:15" x14ac:dyDescent="0.5">
      <c r="B119" s="126">
        <f>'LBO Model'!I64</f>
        <v>0</v>
      </c>
      <c r="D119" s="125">
        <f ca="1">'LBO Model'!K64</f>
        <v>-0.99999940914518248</v>
      </c>
      <c r="F119" s="182">
        <f ca="1">'LBO Model'!M64</f>
        <v>-4534.1932261292477</v>
      </c>
      <c r="H119" s="125">
        <f ca="1">'LBO Model'!O64</f>
        <v>-0.99999940914518248</v>
      </c>
      <c r="J119" s="182">
        <f ca="1">'LBO Model'!Q64</f>
        <v>-4513.0356254792478</v>
      </c>
    </row>
    <row r="120" spans="1:15" x14ac:dyDescent="0.5">
      <c r="B120" s="302">
        <f>'LBO Model'!I65</f>
        <v>0</v>
      </c>
      <c r="C120" s="264"/>
      <c r="D120" s="265">
        <f ca="1">'LBO Model'!K65</f>
        <v>-0.99999940914518248</v>
      </c>
      <c r="E120" s="264"/>
      <c r="F120" s="266">
        <f ca="1">'LBO Model'!M65</f>
        <v>-4534.1932261292477</v>
      </c>
      <c r="G120" s="264"/>
      <c r="H120" s="265">
        <f ca="1">'LBO Model'!O65</f>
        <v>-0.99999940914518248</v>
      </c>
      <c r="I120" s="264"/>
      <c r="J120" s="267">
        <f ca="1">'LBO Model'!Q65</f>
        <v>-4513.0356254792478</v>
      </c>
    </row>
    <row r="121" spans="1:15" x14ac:dyDescent="0.5">
      <c r="B121" s="126">
        <f>'LBO Model'!I66</f>
        <v>0</v>
      </c>
      <c r="D121" s="125">
        <f ca="1">'LBO Model'!K66</f>
        <v>-0.99999940914518248</v>
      </c>
      <c r="F121" s="182">
        <f ca="1">'LBO Model'!M66</f>
        <v>-4534.1932261292477</v>
      </c>
      <c r="H121" s="125">
        <f ca="1">'LBO Model'!O66</f>
        <v>-0.99999940914518248</v>
      </c>
      <c r="J121" s="182">
        <f ca="1">'LBO Model'!Q66</f>
        <v>-4513.0356254792478</v>
      </c>
    </row>
    <row r="122" spans="1:15" x14ac:dyDescent="0.5">
      <c r="B122" s="126">
        <f>'LBO Model'!I67</f>
        <v>0</v>
      </c>
      <c r="D122" s="125">
        <f ca="1">'LBO Model'!K67</f>
        <v>-0.99999940914518248</v>
      </c>
      <c r="F122" s="182">
        <f ca="1">'LBO Model'!M67</f>
        <v>-4534.1932261292477</v>
      </c>
      <c r="H122" s="125">
        <f ca="1">'LBO Model'!O67</f>
        <v>-0.99999940914518248</v>
      </c>
      <c r="J122" s="182">
        <f ca="1">'LBO Model'!Q67</f>
        <v>-4513.0356254792478</v>
      </c>
    </row>
    <row r="123" spans="1:15" ht="13.2" thickBot="1" x14ac:dyDescent="0.55000000000000004">
      <c r="B123" s="186">
        <f>'LBO Model'!I68</f>
        <v>0</v>
      </c>
      <c r="C123" s="163"/>
      <c r="D123" s="130">
        <f ca="1">'LBO Model'!K68</f>
        <v>-0.99999940914518248</v>
      </c>
      <c r="E123" s="163"/>
      <c r="F123" s="309">
        <f ca="1">'LBO Model'!M68</f>
        <v>-4534.1932261292477</v>
      </c>
      <c r="G123" s="163"/>
      <c r="H123" s="130">
        <f ca="1">'LBO Model'!O68</f>
        <v>-0.99999940914518248</v>
      </c>
      <c r="I123" s="163"/>
      <c r="J123" s="309">
        <f ca="1">'LBO Model'!Q68</f>
        <v>-4513.0356254792478</v>
      </c>
    </row>
    <row r="124" spans="1:15" x14ac:dyDescent="0.5">
      <c r="B124" s="126"/>
      <c r="D124" s="125"/>
      <c r="F124" s="182"/>
      <c r="H124" s="125"/>
      <c r="J124" s="182"/>
    </row>
    <row r="125" spans="1:15" x14ac:dyDescent="0.5">
      <c r="A125" s="138" t="s">
        <v>31</v>
      </c>
      <c r="B125" s="282" t="str">
        <f>"Purchase Price Sensitivity ("&amp;'LBO Model'!E4&amp;")"</f>
        <v>Purchase Price Sensitivity (Base Case)</v>
      </c>
      <c r="D125" s="125"/>
      <c r="F125" s="182"/>
      <c r="H125" s="125"/>
      <c r="J125" s="182"/>
    </row>
    <row r="126" spans="1:15" x14ac:dyDescent="0.5">
      <c r="B126" s="126" t="s">
        <v>732</v>
      </c>
      <c r="D126" s="125"/>
      <c r="F126" s="182"/>
      <c r="H126" s="125"/>
      <c r="J126" s="182"/>
    </row>
    <row r="128" spans="1:15" s="141" customFormat="1" x14ac:dyDescent="0.5">
      <c r="B128" s="141" t="s">
        <v>378</v>
      </c>
      <c r="C128" s="142" t="s">
        <v>378</v>
      </c>
      <c r="D128" s="141" t="s">
        <v>110</v>
      </c>
      <c r="J128" s="141" t="s">
        <v>226</v>
      </c>
      <c r="L128" s="141" t="s">
        <v>336</v>
      </c>
      <c r="M128" s="140"/>
      <c r="N128" s="140"/>
      <c r="O128" s="140"/>
    </row>
    <row r="129" spans="1:15" s="141" customFormat="1" ht="13.2" thickBot="1" x14ac:dyDescent="0.55000000000000004">
      <c r="B129" s="205" t="s">
        <v>380</v>
      </c>
      <c r="C129" s="310" t="s">
        <v>340</v>
      </c>
      <c r="D129" s="311" t="s">
        <v>258</v>
      </c>
      <c r="E129" s="205"/>
      <c r="F129" s="205" t="s">
        <v>226</v>
      </c>
      <c r="G129" s="205"/>
      <c r="H129" s="205" t="s">
        <v>336</v>
      </c>
      <c r="I129" s="205"/>
      <c r="J129" s="205" t="s">
        <v>381</v>
      </c>
      <c r="K129" s="205"/>
      <c r="L129" s="205" t="s">
        <v>382</v>
      </c>
      <c r="M129" s="140"/>
      <c r="N129" s="140"/>
      <c r="O129" s="140"/>
    </row>
    <row r="130" spans="1:15" s="138" customFormat="1" x14ac:dyDescent="0.5">
      <c r="B130" s="308">
        <f>'LBO Model'!B382</f>
        <v>0</v>
      </c>
      <c r="C130" s="183">
        <f>'LBO Model'!C382</f>
        <v>242.30769230769229</v>
      </c>
      <c r="D130" s="504">
        <f>'LBO Model'!D382</f>
        <v>0</v>
      </c>
      <c r="F130" s="304">
        <f>'LBO Model'!E382</f>
        <v>-0.99999940914518248</v>
      </c>
      <c r="H130" s="313">
        <f>'LBO Model'!F382</f>
        <v>-3597.1800016974667</v>
      </c>
      <c r="J130" s="304">
        <f>'LBO Model'!G382</f>
        <v>-0.99999940914518248</v>
      </c>
      <c r="L130" s="313">
        <f>'LBO Model'!H382</f>
        <v>-3580.6561691251591</v>
      </c>
      <c r="M130" s="140"/>
      <c r="N130" s="140"/>
      <c r="O130" s="140"/>
    </row>
    <row r="131" spans="1:15" x14ac:dyDescent="0.5">
      <c r="B131" s="121">
        <f>'LBO Model'!B383</f>
        <v>0.05</v>
      </c>
      <c r="C131" s="183">
        <f>'LBO Model'!C383</f>
        <v>254.42307692307691</v>
      </c>
      <c r="D131" s="504">
        <f>'LBO Model'!D383</f>
        <v>0</v>
      </c>
      <c r="F131" s="304">
        <f>'LBO Model'!E383</f>
        <v>-0.99999940914518248</v>
      </c>
      <c r="H131" s="313">
        <f>'LBO Model'!F383</f>
        <v>-3764.3731411081067</v>
      </c>
      <c r="J131" s="304">
        <f>'LBO Model'!G383</f>
        <v>-0.99999940914518248</v>
      </c>
      <c r="L131" s="313">
        <f>'LBO Model'!H383</f>
        <v>-3747.0224960511837</v>
      </c>
    </row>
    <row r="132" spans="1:15" x14ac:dyDescent="0.5">
      <c r="B132" s="121">
        <f>'LBO Model'!B384</f>
        <v>0.1</v>
      </c>
      <c r="C132" s="183">
        <f>'LBO Model'!C384</f>
        <v>266.53846153846155</v>
      </c>
      <c r="D132" s="504">
        <f>'LBO Model'!D384</f>
        <v>0</v>
      </c>
      <c r="F132" s="304">
        <f>'LBO Model'!E384</f>
        <v>-0.99999940914518248</v>
      </c>
      <c r="H132" s="313">
        <f>'LBO Model'!F384</f>
        <v>-3931.5662805187462</v>
      </c>
      <c r="J132" s="304">
        <f>'LBO Model'!G384</f>
        <v>-0.99999940914518248</v>
      </c>
      <c r="L132" s="313">
        <f>'LBO Model'!H384</f>
        <v>-3913.3888229772078</v>
      </c>
    </row>
    <row r="133" spans="1:15" x14ac:dyDescent="0.5">
      <c r="B133" s="318">
        <f>'LBO Model'!B385</f>
        <v>0.15000000000000002</v>
      </c>
      <c r="C133" s="267">
        <f>'LBO Model'!C385</f>
        <v>278.65384615384613</v>
      </c>
      <c r="D133" s="505">
        <f>'LBO Model'!D385</f>
        <v>0</v>
      </c>
      <c r="E133" s="264"/>
      <c r="F133" s="320">
        <f>'LBO Model'!E385</f>
        <v>-0.99999940914518248</v>
      </c>
      <c r="G133" s="264"/>
      <c r="H133" s="322">
        <f>'LBO Model'!F385</f>
        <v>-4098.7594199293844</v>
      </c>
      <c r="I133" s="264"/>
      <c r="J133" s="320">
        <f>'LBO Model'!G385</f>
        <v>-0.99999940914518248</v>
      </c>
      <c r="K133" s="264"/>
      <c r="L133" s="327">
        <f>'LBO Model'!H385</f>
        <v>-4079.7551499032306</v>
      </c>
    </row>
    <row r="134" spans="1:15" x14ac:dyDescent="0.5">
      <c r="B134" s="121">
        <f>'LBO Model'!B386</f>
        <v>0.2</v>
      </c>
      <c r="C134" s="183">
        <f>'LBO Model'!C386</f>
        <v>290.76923076923072</v>
      </c>
      <c r="D134" s="504">
        <f>'LBO Model'!D386</f>
        <v>0</v>
      </c>
      <c r="F134" s="304">
        <f>'LBO Model'!E386</f>
        <v>-0.99999940914518248</v>
      </c>
      <c r="H134" s="313">
        <f>'LBO Model'!F386</f>
        <v>-4265.9525593384933</v>
      </c>
      <c r="J134" s="304">
        <f>'LBO Model'!G386</f>
        <v>-0.99999940914518248</v>
      </c>
      <c r="L134" s="313">
        <f>'LBO Model'!H386</f>
        <v>-4246.1214768277241</v>
      </c>
    </row>
    <row r="135" spans="1:15" x14ac:dyDescent="0.5">
      <c r="B135" s="121">
        <f>'LBO Model'!B387</f>
        <v>0.25</v>
      </c>
      <c r="C135" s="183">
        <f>'LBO Model'!C387</f>
        <v>302.88461538461536</v>
      </c>
      <c r="D135" s="504">
        <f>'LBO Model'!D387</f>
        <v>0</v>
      </c>
      <c r="F135" s="304">
        <f>'LBO Model'!E387</f>
        <v>-0.99999940914518248</v>
      </c>
      <c r="H135" s="313">
        <f>'LBO Model'!F387</f>
        <v>-4433.1456987400779</v>
      </c>
      <c r="J135" s="304">
        <f>'LBO Model'!G387</f>
        <v>-0.99999940914518248</v>
      </c>
      <c r="L135" s="313">
        <f>'LBO Model'!H387</f>
        <v>-4412.4878037446933</v>
      </c>
    </row>
    <row r="136" spans="1:15" ht="13.2" thickBot="1" x14ac:dyDescent="0.55000000000000004">
      <c r="B136" s="207">
        <f>'LBO Model'!B388</f>
        <v>0.3</v>
      </c>
      <c r="C136" s="312">
        <f>'LBO Model'!C388</f>
        <v>315</v>
      </c>
      <c r="D136" s="506">
        <f>'LBO Model'!D388</f>
        <v>0</v>
      </c>
      <c r="E136" s="163"/>
      <c r="F136" s="307">
        <f>'LBO Model'!E388</f>
        <v>-0.99999940914518248</v>
      </c>
      <c r="G136" s="163"/>
      <c r="H136" s="314">
        <f>'LBO Model'!F388</f>
        <v>-4600.3388381598725</v>
      </c>
      <c r="I136" s="163"/>
      <c r="J136" s="307">
        <f>'LBO Model'!G388</f>
        <v>-0.99999940914518248</v>
      </c>
      <c r="K136" s="163"/>
      <c r="L136" s="314">
        <f>'LBO Model'!H388</f>
        <v>-4578.8541306798725</v>
      </c>
    </row>
    <row r="137" spans="1:15" x14ac:dyDescent="0.5">
      <c r="B137" s="437" t="s">
        <v>754</v>
      </c>
      <c r="C137" s="138"/>
      <c r="D137" s="138"/>
      <c r="E137" s="138"/>
      <c r="F137" s="138"/>
      <c r="G137" s="138"/>
      <c r="H137" s="138"/>
      <c r="I137" s="138"/>
    </row>
    <row r="138" spans="1:15" x14ac:dyDescent="0.5">
      <c r="B138" s="138"/>
      <c r="C138" s="138"/>
      <c r="D138" s="138"/>
      <c r="E138" s="138"/>
      <c r="F138" s="138"/>
      <c r="G138" s="138"/>
      <c r="H138" s="138"/>
      <c r="I138" s="138"/>
    </row>
    <row r="139" spans="1:15" x14ac:dyDescent="0.5">
      <c r="A139" s="138" t="s">
        <v>31</v>
      </c>
      <c r="B139" s="148" t="str">
        <f>"Equity % Sensitivity ("&amp;'LBO Model'!E4&amp;")"</f>
        <v>Equity % Sensitivity (Base Case)</v>
      </c>
    </row>
    <row r="140" spans="1:15" x14ac:dyDescent="0.5">
      <c r="B140" s="140" t="s">
        <v>732</v>
      </c>
    </row>
    <row r="141" spans="1:15" x14ac:dyDescent="0.5">
      <c r="B141" s="148"/>
    </row>
    <row r="142" spans="1:15" x14ac:dyDescent="0.5">
      <c r="B142" s="141" t="s">
        <v>384</v>
      </c>
      <c r="C142" s="142" t="s">
        <v>328</v>
      </c>
      <c r="D142" s="141" t="s">
        <v>110</v>
      </c>
      <c r="E142" s="141"/>
      <c r="F142" s="141"/>
      <c r="G142" s="141"/>
      <c r="H142" s="141"/>
      <c r="I142" s="141"/>
      <c r="J142" s="141" t="s">
        <v>226</v>
      </c>
      <c r="K142" s="141"/>
      <c r="L142" s="141" t="s">
        <v>336</v>
      </c>
    </row>
    <row r="143" spans="1:15" ht="13.2" thickBot="1" x14ac:dyDescent="0.55000000000000004">
      <c r="B143" s="205" t="s">
        <v>379</v>
      </c>
      <c r="C143" s="310" t="s">
        <v>183</v>
      </c>
      <c r="D143" s="311" t="s">
        <v>258</v>
      </c>
      <c r="E143" s="205"/>
      <c r="F143" s="205" t="s">
        <v>226</v>
      </c>
      <c r="G143" s="205"/>
      <c r="H143" s="205" t="s">
        <v>336</v>
      </c>
      <c r="I143" s="205"/>
      <c r="J143" s="205" t="s">
        <v>381</v>
      </c>
      <c r="K143" s="205"/>
      <c r="L143" s="205" t="s">
        <v>382</v>
      </c>
    </row>
    <row r="144" spans="1:15" x14ac:dyDescent="0.5">
      <c r="B144" s="308">
        <f>'LBO Model'!B395</f>
        <v>0</v>
      </c>
      <c r="C144" s="183">
        <f>'LBO Model'!C395</f>
        <v>0</v>
      </c>
      <c r="D144" s="504">
        <f>'LBO Model'!D395</f>
        <v>0</v>
      </c>
      <c r="E144" s="138"/>
      <c r="F144" s="304" t="e">
        <f>'LBO Model'!E395</f>
        <v>#NUM!</v>
      </c>
      <c r="G144" s="138"/>
      <c r="H144" s="313">
        <f>'LBO Model'!F395</f>
        <v>0</v>
      </c>
      <c r="I144" s="138"/>
      <c r="J144" s="304">
        <f>'LBO Model'!G395</f>
        <v>-0.99999940981024027</v>
      </c>
      <c r="K144" s="138"/>
      <c r="L144" s="313">
        <f>'LBO Model'!F395</f>
        <v>0</v>
      </c>
    </row>
    <row r="145" spans="2:17" x14ac:dyDescent="0.5">
      <c r="B145" s="121">
        <f>'LBO Model'!B396</f>
        <v>0.1</v>
      </c>
      <c r="C145" s="183">
        <f>'LBO Model'!C396</f>
        <v>770.50142055419656</v>
      </c>
      <c r="D145" s="504">
        <f>'LBO Model'!D396</f>
        <v>0</v>
      </c>
      <c r="F145" s="304">
        <f>'LBO Model'!E396</f>
        <v>-0.99999940914518248</v>
      </c>
      <c r="H145" s="313">
        <f>'LBO Model'!F396</f>
        <v>-770.50142055976494</v>
      </c>
      <c r="J145" s="304">
        <f>'LBO Model'!G396</f>
        <v>-0.99999940914518248</v>
      </c>
      <c r="L145" s="313">
        <f>'LBO Model'!F396</f>
        <v>-770.50142055976494</v>
      </c>
    </row>
    <row r="146" spans="2:17" x14ac:dyDescent="0.5">
      <c r="B146" s="121">
        <f>'LBO Model'!B397</f>
        <v>0.2</v>
      </c>
      <c r="C146" s="183">
        <f>'LBO Model'!C397</f>
        <v>1537.4720301238058</v>
      </c>
      <c r="D146" s="504">
        <f>'LBO Model'!D397</f>
        <v>0</v>
      </c>
      <c r="F146" s="304">
        <f>'LBO Model'!E397</f>
        <v>-0.99999940914518248</v>
      </c>
      <c r="H146" s="313">
        <f>'LBO Model'!F397</f>
        <v>-1537.4720301242032</v>
      </c>
      <c r="J146" s="304">
        <f>'LBO Model'!G397</f>
        <v>-0.99999940914518248</v>
      </c>
      <c r="L146" s="313">
        <f>'LBO Model'!F397</f>
        <v>-1537.4720301242032</v>
      </c>
    </row>
    <row r="147" spans="2:17" x14ac:dyDescent="0.5">
      <c r="B147" s="318">
        <f>'LBO Model'!B398</f>
        <v>0.30000000000000004</v>
      </c>
      <c r="C147" s="267">
        <f>'LBO Model'!C398</f>
        <v>2300.9360430650795</v>
      </c>
      <c r="D147" s="505">
        <f>'LBO Model'!D398</f>
        <v>0</v>
      </c>
      <c r="E147" s="264"/>
      <c r="F147" s="320">
        <f>'LBO Model'!E398</f>
        <v>-0.99999940914518248</v>
      </c>
      <c r="G147" s="264"/>
      <c r="H147" s="322">
        <f>'LBO Model'!F398</f>
        <v>-2300.9360433649103</v>
      </c>
      <c r="I147" s="264"/>
      <c r="J147" s="320">
        <f>'LBO Model'!G398</f>
        <v>-0.99999940914518248</v>
      </c>
      <c r="K147" s="264"/>
      <c r="L147" s="327">
        <f>'LBO Model'!F398</f>
        <v>-2300.9360433649103</v>
      </c>
    </row>
    <row r="148" spans="2:17" x14ac:dyDescent="0.5">
      <c r="B148" s="121">
        <f>'LBO Model'!B399</f>
        <v>0.4</v>
      </c>
      <c r="C148" s="183">
        <f>'LBO Model'!C399</f>
        <v>3060.9174527818232</v>
      </c>
      <c r="D148" s="504">
        <f>'LBO Model'!D399</f>
        <v>0</v>
      </c>
      <c r="F148" s="304">
        <f>'LBO Model'!E399</f>
        <v>-0.99999940914518248</v>
      </c>
      <c r="H148" s="313">
        <f>'LBO Model'!F399</f>
        <v>-3060.9174529948546</v>
      </c>
      <c r="J148" s="304">
        <f>'LBO Model'!G399</f>
        <v>-0.99999940914518248</v>
      </c>
      <c r="L148" s="313">
        <f>'LBO Model'!F399</f>
        <v>-3060.9174529948546</v>
      </c>
    </row>
    <row r="149" spans="2:17" x14ac:dyDescent="0.5">
      <c r="B149" s="121">
        <f>'LBO Model'!B400</f>
        <v>0.5</v>
      </c>
      <c r="C149" s="183">
        <f>'LBO Model'!C400</f>
        <v>3817.4400343256552</v>
      </c>
      <c r="D149" s="504">
        <f>'LBO Model'!D400</f>
        <v>0</v>
      </c>
      <c r="F149" s="304">
        <f>'LBO Model'!E400</f>
        <v>-0.99999940914518248</v>
      </c>
      <c r="H149" s="313">
        <f>'LBO Model'!F400</f>
        <v>-3817.4400343370266</v>
      </c>
      <c r="J149" s="304">
        <f>'LBO Model'!G400</f>
        <v>-0.99999940914518248</v>
      </c>
      <c r="L149" s="313">
        <f>'LBO Model'!F400</f>
        <v>-3817.4400343370266</v>
      </c>
    </row>
    <row r="150" spans="2:17" ht="13.2" thickBot="1" x14ac:dyDescent="0.55000000000000004">
      <c r="B150" s="207">
        <f>'LBO Model'!B401</f>
        <v>0.6</v>
      </c>
      <c r="C150" s="312">
        <f>'LBO Model'!C401</f>
        <v>4570.5273468473051</v>
      </c>
      <c r="D150" s="506">
        <f>'LBO Model'!D401</f>
        <v>0</v>
      </c>
      <c r="E150" s="163"/>
      <c r="F150" s="307">
        <f>'LBO Model'!E401</f>
        <v>-0.99999940914518248</v>
      </c>
      <c r="G150" s="163"/>
      <c r="H150" s="314">
        <f>'LBO Model'!F401</f>
        <v>-4570.527346847598</v>
      </c>
      <c r="I150" s="163"/>
      <c r="J150" s="307">
        <f>'LBO Model'!G401</f>
        <v>-0.99999940914518248</v>
      </c>
      <c r="K150" s="163"/>
      <c r="L150" s="314">
        <f>'LBO Model'!F401</f>
        <v>-4570.527346847598</v>
      </c>
    </row>
    <row r="151" spans="2:17" x14ac:dyDescent="0.5">
      <c r="B151" s="437" t="s">
        <v>755</v>
      </c>
    </row>
    <row r="153" spans="2:17" x14ac:dyDescent="0.5">
      <c r="B153" s="148"/>
    </row>
    <row r="154" spans="2:17" x14ac:dyDescent="0.5">
      <c r="E154" s="164"/>
      <c r="F154" s="164"/>
      <c r="H154" s="164"/>
      <c r="I154" s="164"/>
    </row>
    <row r="155" spans="2:17" x14ac:dyDescent="0.5">
      <c r="D155" s="138"/>
      <c r="E155" s="138"/>
      <c r="F155" s="138"/>
      <c r="H155" s="138"/>
      <c r="I155" s="138"/>
      <c r="K155" s="138"/>
      <c r="L155" s="138"/>
      <c r="N155" s="138"/>
      <c r="O155" s="138"/>
      <c r="P155" s="138"/>
      <c r="Q155" s="138"/>
    </row>
    <row r="156" spans="2:17" x14ac:dyDescent="0.5">
      <c r="D156" s="138"/>
      <c r="E156" s="138"/>
      <c r="F156" s="138"/>
      <c r="H156" s="138"/>
      <c r="I156" s="138"/>
      <c r="K156" s="138"/>
      <c r="L156" s="138"/>
      <c r="N156" s="138"/>
      <c r="O156" s="138"/>
      <c r="P156" s="138"/>
      <c r="Q156" s="138"/>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
  <sheetViews>
    <sheetView showGridLines="0" zoomScaleNormal="100" workbookViewId="0"/>
  </sheetViews>
  <sheetFormatPr baseColWidth="10" defaultColWidth="9" defaultRowHeight="15.6" x14ac:dyDescent="0.6"/>
  <cols>
    <col min="1" max="16384" width="9" style="244"/>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Z2544"/>
  <sheetViews>
    <sheetView showGridLines="0" zoomScaleNormal="100" workbookViewId="0"/>
  </sheetViews>
  <sheetFormatPr baseColWidth="10" defaultColWidth="9" defaultRowHeight="15.6" x14ac:dyDescent="0.6"/>
  <cols>
    <col min="1" max="2" width="9" style="62"/>
    <col min="3" max="3" width="32" style="62" bestFit="1" customWidth="1"/>
    <col min="4" max="5" width="10.59765625" style="62" customWidth="1"/>
    <col min="6" max="6" width="15.09765625" style="62" bestFit="1" customWidth="1"/>
    <col min="7" max="7" width="13.8984375" style="62" bestFit="1" customWidth="1"/>
    <col min="8" max="9" width="9" style="62"/>
    <col min="10" max="10" width="32" style="62" bestFit="1" customWidth="1"/>
    <col min="11" max="12" width="10.59765625" style="62" customWidth="1"/>
    <col min="13" max="13" width="15.69921875" style="62" bestFit="1" customWidth="1"/>
    <col min="14" max="14" width="13.8984375" style="62" bestFit="1" customWidth="1"/>
    <col min="15" max="15" width="9" style="62"/>
    <col min="16" max="16" width="23" style="62" bestFit="1" customWidth="1"/>
    <col min="17" max="23" width="9" style="62"/>
    <col min="24" max="24" width="10.59765625" style="62" bestFit="1" customWidth="1"/>
    <col min="25" max="25" width="12.3984375" style="62" bestFit="1" customWidth="1"/>
    <col min="26" max="30" width="9" style="62"/>
    <col min="31" max="32" width="11.8984375" style="62" bestFit="1" customWidth="1"/>
    <col min="33" max="34" width="9" style="62"/>
    <col min="35" max="35" width="20.69921875" style="62" bestFit="1" customWidth="1"/>
    <col min="36" max="41" width="9" style="62"/>
    <col min="42" max="42" width="10.5" style="62" bestFit="1" customWidth="1"/>
    <col min="43" max="55" width="9" style="62"/>
    <col min="56" max="56" width="19.09765625" style="62" bestFit="1" customWidth="1"/>
    <col min="57" max="69" width="9" style="62"/>
    <col min="70" max="70" width="13.3984375" style="62" bestFit="1" customWidth="1"/>
    <col min="71" max="83" width="9" style="62"/>
    <col min="84" max="84" width="13.09765625" style="62" bestFit="1" customWidth="1"/>
    <col min="85" max="97" width="9" style="62"/>
    <col min="98" max="98" width="13.09765625" style="62" bestFit="1" customWidth="1"/>
    <col min="99" max="111" width="9" style="62"/>
    <col min="112" max="112" width="17.09765625" style="62" customWidth="1"/>
    <col min="113" max="125" width="9" style="62"/>
    <col min="126" max="126" width="32.69921875" style="62" bestFit="1" customWidth="1"/>
    <col min="127" max="129" width="10.5" style="62" bestFit="1" customWidth="1"/>
    <col min="130" max="130" width="10.5" style="62" customWidth="1"/>
    <col min="131" max="131" width="9" style="62"/>
    <col min="132" max="132" width="10.3984375" style="62" bestFit="1" customWidth="1"/>
    <col min="133" max="140" width="9" style="62"/>
    <col min="141" max="141" width="24.19921875" style="62" bestFit="1" customWidth="1"/>
    <col min="142" max="146" width="13.09765625" style="62" bestFit="1" customWidth="1"/>
    <col min="147" max="147" width="9" style="62"/>
    <col min="148" max="148" width="24.19921875" style="62" bestFit="1" customWidth="1"/>
    <col min="149" max="153" width="13.09765625" style="62" bestFit="1" customWidth="1"/>
    <col min="154" max="154" width="9" style="62"/>
    <col min="155" max="155" width="16.59765625" style="62" bestFit="1" customWidth="1"/>
    <col min="156" max="161" width="9" style="62"/>
    <col min="162" max="162" width="33.59765625" style="66" bestFit="1" customWidth="1"/>
    <col min="163" max="164" width="12.59765625" style="66" customWidth="1"/>
    <col min="165" max="165" width="1.59765625" style="66" customWidth="1"/>
    <col min="166" max="168" width="12.59765625" style="66" customWidth="1"/>
    <col min="169" max="169" width="27.19921875" style="66" bestFit="1" customWidth="1"/>
    <col min="170" max="170" width="27.3984375" style="66" bestFit="1" customWidth="1"/>
    <col min="171" max="171" width="10.8984375" style="66" bestFit="1" customWidth="1"/>
    <col min="172" max="172" width="13.5" style="66" bestFit="1" customWidth="1"/>
    <col min="173" max="173" width="9" style="62"/>
    <col min="174" max="174" width="13.59765625" style="62" bestFit="1" customWidth="1"/>
    <col min="175" max="175" width="7.19921875" style="62" bestFit="1" customWidth="1"/>
    <col min="176" max="176" width="11" style="62" bestFit="1" customWidth="1"/>
    <col min="177" max="177" width="11" style="62" customWidth="1"/>
    <col min="178" max="185" width="13.59765625" style="62" bestFit="1" customWidth="1"/>
    <col min="186" max="186" width="9" style="62"/>
    <col min="187" max="187" width="13.59765625" style="62" bestFit="1" customWidth="1"/>
    <col min="188" max="189" width="11" style="62" customWidth="1"/>
    <col min="190" max="191" width="13.59765625" style="62" bestFit="1" customWidth="1"/>
    <col min="192" max="192" width="19.69921875" style="66" bestFit="1" customWidth="1"/>
    <col min="193" max="198" width="10.59765625" style="66" customWidth="1"/>
    <col min="199" max="199" width="11" style="66" bestFit="1" customWidth="1"/>
    <col min="200" max="200" width="21.69921875" style="66" bestFit="1" customWidth="1"/>
    <col min="201" max="201" width="15.59765625" style="66" bestFit="1" customWidth="1"/>
    <col min="202" max="204" width="12" style="66" bestFit="1" customWidth="1"/>
    <col min="205" max="205" width="20.5" style="66" bestFit="1" customWidth="1"/>
    <col min="206" max="207" width="11" style="66" customWidth="1"/>
    <col min="208" max="208" width="9" style="66"/>
    <col min="209" max="16384" width="9" style="62"/>
  </cols>
  <sheetData>
    <row r="1" spans="1:208" x14ac:dyDescent="0.6">
      <c r="A1" s="62" t="s">
        <v>647</v>
      </c>
      <c r="B1" s="62" t="s">
        <v>31</v>
      </c>
      <c r="I1" s="62" t="s">
        <v>31</v>
      </c>
      <c r="P1" s="62" t="s">
        <v>31</v>
      </c>
      <c r="X1" s="62" t="s">
        <v>31</v>
      </c>
      <c r="AE1" s="62" t="s">
        <v>31</v>
      </c>
      <c r="AI1" s="62" t="s">
        <v>31</v>
      </c>
      <c r="AP1" s="62" t="s">
        <v>31</v>
      </c>
      <c r="BD1" s="62" t="s">
        <v>31</v>
      </c>
      <c r="BR1" s="62" t="s">
        <v>31</v>
      </c>
      <c r="CF1" s="62" t="s">
        <v>31</v>
      </c>
      <c r="CT1" s="62" t="s">
        <v>31</v>
      </c>
      <c r="DH1" s="62" t="s">
        <v>31</v>
      </c>
      <c r="DV1" s="62" t="s">
        <v>31</v>
      </c>
      <c r="EB1" s="62" t="s">
        <v>31</v>
      </c>
      <c r="EK1" s="62" t="s">
        <v>31</v>
      </c>
      <c r="ER1" s="62" t="s">
        <v>31</v>
      </c>
      <c r="EY1" s="62" t="s">
        <v>31</v>
      </c>
      <c r="FF1" s="66" t="s">
        <v>31</v>
      </c>
      <c r="FM1" s="66" t="s">
        <v>31</v>
      </c>
      <c r="FR1" s="62" t="s">
        <v>31</v>
      </c>
      <c r="GE1" s="62" t="s">
        <v>31</v>
      </c>
      <c r="GJ1" s="66" t="s">
        <v>31</v>
      </c>
      <c r="GR1" s="66" t="s">
        <v>31</v>
      </c>
    </row>
    <row r="2" spans="1:208" s="96" customFormat="1" x14ac:dyDescent="0.6">
      <c r="A2" s="420" t="s">
        <v>648</v>
      </c>
      <c r="B2" s="96" t="s">
        <v>758</v>
      </c>
      <c r="I2" s="96" t="s">
        <v>759</v>
      </c>
      <c r="P2" s="96" t="s">
        <v>799</v>
      </c>
      <c r="X2" s="96" t="s">
        <v>798</v>
      </c>
      <c r="AD2" s="96" t="s">
        <v>119</v>
      </c>
      <c r="AE2" s="96" t="s">
        <v>618</v>
      </c>
      <c r="AI2" s="96" t="s">
        <v>619</v>
      </c>
      <c r="AP2" s="96" t="s">
        <v>797</v>
      </c>
      <c r="BD2" s="96" t="s">
        <v>627</v>
      </c>
      <c r="BR2" s="96" t="s">
        <v>631</v>
      </c>
      <c r="CF2" s="96" t="s">
        <v>796</v>
      </c>
      <c r="CT2" s="96" t="s">
        <v>646</v>
      </c>
      <c r="DH2" s="96" t="s">
        <v>777</v>
      </c>
      <c r="DV2" s="96" t="s">
        <v>767</v>
      </c>
      <c r="EB2" s="96" t="s">
        <v>645</v>
      </c>
      <c r="EK2" s="96" t="s">
        <v>795</v>
      </c>
      <c r="ER2" s="96" t="s">
        <v>794</v>
      </c>
      <c r="EY2" s="96" t="s">
        <v>784</v>
      </c>
      <c r="FF2" s="69" t="s">
        <v>653</v>
      </c>
      <c r="FG2" s="69"/>
      <c r="FH2" s="69"/>
      <c r="FI2" s="69"/>
      <c r="FJ2" s="69"/>
      <c r="FK2" s="69"/>
      <c r="FL2" s="69"/>
      <c r="FM2" s="69" t="s">
        <v>652</v>
      </c>
      <c r="FN2" s="69"/>
      <c r="FO2" s="69"/>
      <c r="FP2" s="69"/>
      <c r="FR2" s="96" t="s">
        <v>651</v>
      </c>
      <c r="GE2" s="96" t="s">
        <v>650</v>
      </c>
      <c r="GJ2" s="69" t="s">
        <v>793</v>
      </c>
      <c r="GK2" s="69"/>
      <c r="GL2" s="69"/>
      <c r="GM2" s="69"/>
      <c r="GN2" s="69"/>
      <c r="GO2" s="69"/>
      <c r="GP2" s="69"/>
      <c r="GQ2" s="69"/>
      <c r="GR2" s="69" t="s">
        <v>792</v>
      </c>
      <c r="GS2" s="69"/>
      <c r="GT2" s="69"/>
      <c r="GU2" s="69"/>
      <c r="GV2" s="69"/>
      <c r="GW2" s="69"/>
      <c r="GX2" s="69"/>
      <c r="GY2" s="69"/>
      <c r="GZ2" s="69"/>
    </row>
    <row r="3" spans="1:208" x14ac:dyDescent="0.6">
      <c r="A3" s="336" t="s">
        <v>612</v>
      </c>
      <c r="B3" s="62" t="s">
        <v>104</v>
      </c>
      <c r="C3" s="62" t="s">
        <v>768</v>
      </c>
      <c r="H3" s="62" t="s">
        <v>119</v>
      </c>
      <c r="I3" s="62" t="s">
        <v>102</v>
      </c>
      <c r="J3" s="62" t="s">
        <v>768</v>
      </c>
      <c r="O3" s="62" t="s">
        <v>119</v>
      </c>
      <c r="P3" s="62" t="s">
        <v>102</v>
      </c>
      <c r="Q3" s="62" t="s">
        <v>120</v>
      </c>
      <c r="X3" s="62" t="s">
        <v>104</v>
      </c>
      <c r="Y3" s="65" t="s">
        <v>105</v>
      </c>
      <c r="AD3" s="62" t="s">
        <v>119</v>
      </c>
      <c r="AE3" s="62" t="s">
        <v>104</v>
      </c>
      <c r="AF3" s="65" t="s">
        <v>105</v>
      </c>
      <c r="AH3" s="62" t="s">
        <v>119</v>
      </c>
      <c r="AI3" s="62" t="s">
        <v>102</v>
      </c>
      <c r="AJ3" s="65" t="s">
        <v>121</v>
      </c>
      <c r="AO3" s="62" t="s">
        <v>119</v>
      </c>
      <c r="AP3" s="404" t="s">
        <v>104</v>
      </c>
      <c r="AQ3" s="404" t="s">
        <v>771</v>
      </c>
      <c r="BD3" s="62" t="s">
        <v>102</v>
      </c>
      <c r="BE3" s="404" t="s">
        <v>773</v>
      </c>
      <c r="BR3" s="62" t="s">
        <v>102</v>
      </c>
      <c r="BS3" s="62" t="s">
        <v>773</v>
      </c>
      <c r="CF3" s="62" t="s">
        <v>104</v>
      </c>
      <c r="CG3" s="62" t="s">
        <v>773</v>
      </c>
      <c r="CT3" s="62" t="s">
        <v>102</v>
      </c>
      <c r="CU3" s="62" t="s">
        <v>773</v>
      </c>
      <c r="DH3" s="62" t="s">
        <v>102</v>
      </c>
      <c r="DI3" s="62" t="s">
        <v>776</v>
      </c>
      <c r="DV3" s="62" t="s">
        <v>104</v>
      </c>
      <c r="DW3" s="62" t="s">
        <v>779</v>
      </c>
      <c r="EA3" s="62" t="s">
        <v>119</v>
      </c>
      <c r="EB3" s="62" t="s">
        <v>102</v>
      </c>
      <c r="EC3" s="65" t="s">
        <v>780</v>
      </c>
      <c r="EJ3" s="62" t="s">
        <v>119</v>
      </c>
      <c r="EK3" s="62" t="s">
        <v>102</v>
      </c>
      <c r="EL3" s="62" t="s">
        <v>782</v>
      </c>
      <c r="EQ3" s="62" t="s">
        <v>119</v>
      </c>
      <c r="ER3" s="62" t="s">
        <v>102</v>
      </c>
      <c r="ES3" s="62" t="s">
        <v>783</v>
      </c>
      <c r="EY3" s="62" t="s">
        <v>102</v>
      </c>
      <c r="EZ3" s="65" t="s">
        <v>121</v>
      </c>
      <c r="FE3" s="62" t="s">
        <v>119</v>
      </c>
      <c r="FF3" s="66" t="s">
        <v>102</v>
      </c>
      <c r="FG3" s="539" t="s">
        <v>786</v>
      </c>
      <c r="FL3" s="66" t="s">
        <v>119</v>
      </c>
      <c r="FM3" s="66" t="s">
        <v>102</v>
      </c>
      <c r="FN3" s="539" t="s">
        <v>786</v>
      </c>
      <c r="FQ3" s="62" t="s">
        <v>119</v>
      </c>
      <c r="FR3" s="62" t="s">
        <v>102</v>
      </c>
      <c r="FS3" s="62" t="s">
        <v>787</v>
      </c>
      <c r="GE3" s="62" t="s">
        <v>102</v>
      </c>
      <c r="GF3" s="62" t="s">
        <v>789</v>
      </c>
      <c r="GI3" s="62" t="s">
        <v>119</v>
      </c>
      <c r="GJ3" s="66" t="s">
        <v>104</v>
      </c>
      <c r="GK3" s="66" t="s">
        <v>790</v>
      </c>
      <c r="GR3" s="66" t="s">
        <v>102</v>
      </c>
      <c r="GS3" s="66" t="s">
        <v>791</v>
      </c>
    </row>
    <row r="4" spans="1:208" x14ac:dyDescent="0.6">
      <c r="C4" s="65" t="s">
        <v>769</v>
      </c>
      <c r="H4" s="62" t="s">
        <v>119</v>
      </c>
      <c r="J4" s="65" t="s">
        <v>769</v>
      </c>
      <c r="O4" s="62" t="s">
        <v>119</v>
      </c>
      <c r="Q4" s="65" t="s">
        <v>105</v>
      </c>
      <c r="R4" s="66"/>
      <c r="S4" s="66"/>
      <c r="T4" s="66"/>
      <c r="U4" s="66"/>
      <c r="V4" s="66"/>
      <c r="W4" s="62" t="s">
        <v>119</v>
      </c>
      <c r="AQ4" s="62" t="s">
        <v>770</v>
      </c>
      <c r="BE4" s="62" t="s">
        <v>772</v>
      </c>
      <c r="BS4" s="62" t="s">
        <v>772</v>
      </c>
      <c r="CG4" s="62" t="s">
        <v>772</v>
      </c>
      <c r="CU4" s="62" t="s">
        <v>772</v>
      </c>
      <c r="DI4" s="62" t="s">
        <v>774</v>
      </c>
      <c r="EC4" s="62" t="s">
        <v>781</v>
      </c>
      <c r="FS4" s="62" t="s">
        <v>788</v>
      </c>
      <c r="GD4" s="62" t="s">
        <v>119</v>
      </c>
    </row>
    <row r="5" spans="1:208" x14ac:dyDescent="0.6">
      <c r="P5" s="66"/>
      <c r="Q5" s="66"/>
      <c r="R5" s="66"/>
      <c r="S5" s="66"/>
      <c r="T5" s="66"/>
      <c r="U5" s="66"/>
      <c r="V5" s="66"/>
      <c r="W5" s="78"/>
      <c r="X5" s="77" t="s">
        <v>122</v>
      </c>
      <c r="Y5" s="76" t="s">
        <v>123</v>
      </c>
      <c r="AA5" s="78">
        <v>20.16</v>
      </c>
      <c r="AB5" s="78"/>
      <c r="AC5" s="78"/>
      <c r="AD5" s="78"/>
      <c r="AE5" s="77" t="s">
        <v>595</v>
      </c>
      <c r="AF5" s="77" t="s">
        <v>125</v>
      </c>
      <c r="AG5" s="78"/>
      <c r="AH5" s="78"/>
      <c r="AI5" s="80"/>
      <c r="AJ5" s="80">
        <v>2012</v>
      </c>
      <c r="AK5" s="80">
        <v>2013</v>
      </c>
      <c r="AL5" s="80">
        <v>2014</v>
      </c>
      <c r="AM5" s="80">
        <v>2015</v>
      </c>
      <c r="AN5" s="80">
        <v>2016</v>
      </c>
      <c r="CE5" s="406"/>
      <c r="DV5" s="342"/>
      <c r="DW5" s="76" t="s">
        <v>610</v>
      </c>
      <c r="DX5" s="400" t="s">
        <v>611</v>
      </c>
      <c r="DY5" s="342"/>
      <c r="DZ5" s="394"/>
      <c r="ER5" s="245"/>
      <c r="ES5" s="246">
        <v>2017</v>
      </c>
      <c r="ET5" s="246">
        <f>ES5+1</f>
        <v>2018</v>
      </c>
      <c r="EU5" s="246">
        <f>ET5+1</f>
        <v>2019</v>
      </c>
      <c r="EV5" s="246">
        <f>EU5+1</f>
        <v>2020</v>
      </c>
      <c r="EW5" s="246">
        <f>EV5+1</f>
        <v>2021</v>
      </c>
      <c r="EY5" s="80"/>
      <c r="EZ5" s="80">
        <v>2012</v>
      </c>
      <c r="FA5" s="80">
        <v>2013</v>
      </c>
      <c r="FB5" s="80">
        <v>2014</v>
      </c>
      <c r="FC5" s="80">
        <v>2015</v>
      </c>
      <c r="FD5" s="80">
        <v>2016</v>
      </c>
      <c r="FE5" s="78"/>
      <c r="FF5" s="67"/>
      <c r="FG5" s="118" t="s">
        <v>434</v>
      </c>
      <c r="FH5" s="118"/>
      <c r="FI5" s="79"/>
      <c r="FJ5" s="118" t="s">
        <v>562</v>
      </c>
      <c r="FK5" s="118"/>
      <c r="FM5" s="79"/>
      <c r="FN5" s="79"/>
      <c r="FO5" s="79"/>
      <c r="FP5" s="79" t="s">
        <v>585</v>
      </c>
      <c r="FQ5" s="78"/>
      <c r="GJ5" s="84"/>
      <c r="GK5" s="80">
        <v>2011</v>
      </c>
      <c r="GL5" s="80">
        <f>GK5+1</f>
        <v>2012</v>
      </c>
      <c r="GM5" s="80">
        <f>GL5+1</f>
        <v>2013</v>
      </c>
      <c r="GN5" s="80">
        <f>GM5+1</f>
        <v>2014</v>
      </c>
      <c r="GO5" s="80">
        <f>GN5+1</f>
        <v>2015</v>
      </c>
      <c r="GP5" s="80">
        <f>GO5+1</f>
        <v>2016</v>
      </c>
      <c r="GR5" s="67"/>
      <c r="GS5" s="79" t="s">
        <v>744</v>
      </c>
      <c r="GT5" s="79" t="s">
        <v>743</v>
      </c>
      <c r="GU5" s="67"/>
      <c r="GV5" s="79"/>
      <c r="GW5" s="79" t="s">
        <v>742</v>
      </c>
    </row>
    <row r="6" spans="1:208" x14ac:dyDescent="0.6">
      <c r="B6" s="76"/>
      <c r="C6" s="76"/>
      <c r="D6" s="76"/>
      <c r="E6" s="76"/>
      <c r="F6" s="103" t="s">
        <v>613</v>
      </c>
      <c r="G6" s="103"/>
      <c r="I6" s="76"/>
      <c r="J6" s="76"/>
      <c r="K6" s="76"/>
      <c r="L6" s="76"/>
      <c r="M6" s="103" t="s">
        <v>613</v>
      </c>
      <c r="N6" s="103"/>
      <c r="P6" s="84"/>
      <c r="Q6" s="80">
        <v>2011</v>
      </c>
      <c r="R6" s="80">
        <f>Q6+1</f>
        <v>2012</v>
      </c>
      <c r="S6" s="80">
        <f t="shared" ref="S6:V6" si="0">R6+1</f>
        <v>2013</v>
      </c>
      <c r="T6" s="80">
        <f t="shared" si="0"/>
        <v>2014</v>
      </c>
      <c r="U6" s="80">
        <f t="shared" si="0"/>
        <v>2015</v>
      </c>
      <c r="V6" s="80">
        <f t="shared" si="0"/>
        <v>2016</v>
      </c>
      <c r="X6" s="81"/>
      <c r="Y6" s="82" t="s">
        <v>127</v>
      </c>
      <c r="AE6" s="81"/>
      <c r="AF6" s="82" t="s">
        <v>128</v>
      </c>
      <c r="AI6" s="62" t="s">
        <v>130</v>
      </c>
      <c r="AJ6" s="66">
        <v>809</v>
      </c>
      <c r="AK6" s="66">
        <v>867</v>
      </c>
      <c r="AL6" s="66">
        <v>925</v>
      </c>
      <c r="AM6" s="66">
        <v>901</v>
      </c>
      <c r="AN6" s="66">
        <v>902</v>
      </c>
      <c r="AP6" s="80"/>
      <c r="AQ6" s="80">
        <v>2005</v>
      </c>
      <c r="AR6" s="80">
        <v>2006</v>
      </c>
      <c r="AS6" s="80">
        <v>2007</v>
      </c>
      <c r="AT6" s="80">
        <v>2008</v>
      </c>
      <c r="AU6" s="80">
        <v>2009</v>
      </c>
      <c r="AV6" s="80">
        <v>2010</v>
      </c>
      <c r="AW6" s="80">
        <v>2011</v>
      </c>
      <c r="AX6" s="80">
        <v>2012</v>
      </c>
      <c r="AY6" s="80">
        <v>2013</v>
      </c>
      <c r="AZ6" s="80">
        <v>2014</v>
      </c>
      <c r="BA6" s="80">
        <v>2015</v>
      </c>
      <c r="BB6" s="80">
        <v>2016</v>
      </c>
      <c r="BD6" s="329"/>
      <c r="BE6" s="80">
        <v>2006</v>
      </c>
      <c r="BF6" s="80">
        <v>2007</v>
      </c>
      <c r="BG6" s="80">
        <v>2008</v>
      </c>
      <c r="BH6" s="80">
        <v>2009</v>
      </c>
      <c r="BI6" s="80">
        <v>2010</v>
      </c>
      <c r="BJ6" s="80">
        <v>2011</v>
      </c>
      <c r="BK6" s="80">
        <v>2012</v>
      </c>
      <c r="BL6" s="80">
        <v>2013</v>
      </c>
      <c r="BM6" s="80">
        <v>2014</v>
      </c>
      <c r="BN6" s="80">
        <v>2015</v>
      </c>
      <c r="BO6" s="80">
        <v>2016</v>
      </c>
      <c r="BP6" s="80" t="s">
        <v>621</v>
      </c>
      <c r="BR6" s="329"/>
      <c r="BS6" s="80">
        <v>2006</v>
      </c>
      <c r="BT6" s="80">
        <v>2007</v>
      </c>
      <c r="BU6" s="80">
        <v>2008</v>
      </c>
      <c r="BV6" s="80">
        <v>2009</v>
      </c>
      <c r="BW6" s="80">
        <v>2010</v>
      </c>
      <c r="BX6" s="80">
        <v>2011</v>
      </c>
      <c r="BY6" s="80">
        <v>2012</v>
      </c>
      <c r="BZ6" s="80">
        <v>2013</v>
      </c>
      <c r="CA6" s="80">
        <v>2014</v>
      </c>
      <c r="CB6" s="80">
        <v>2015</v>
      </c>
      <c r="CC6" s="80">
        <v>2016</v>
      </c>
      <c r="CD6" s="80">
        <v>2017</v>
      </c>
      <c r="CE6" s="414"/>
      <c r="CF6" s="329"/>
      <c r="CG6" s="80">
        <v>2006</v>
      </c>
      <c r="CH6" s="80">
        <v>2007</v>
      </c>
      <c r="CI6" s="80">
        <v>2008</v>
      </c>
      <c r="CJ6" s="80">
        <v>2009</v>
      </c>
      <c r="CK6" s="80">
        <v>2010</v>
      </c>
      <c r="CL6" s="80">
        <v>2011</v>
      </c>
      <c r="CM6" s="80">
        <v>2012</v>
      </c>
      <c r="CN6" s="80">
        <v>2013</v>
      </c>
      <c r="CO6" s="80">
        <v>2014</v>
      </c>
      <c r="CP6" s="80">
        <v>2015</v>
      </c>
      <c r="CQ6" s="80">
        <v>2016</v>
      </c>
      <c r="CR6" s="415" t="s">
        <v>621</v>
      </c>
      <c r="CT6" s="329"/>
      <c r="CU6" s="80">
        <v>2006</v>
      </c>
      <c r="CV6" s="80">
        <v>2007</v>
      </c>
      <c r="CW6" s="80">
        <v>2008</v>
      </c>
      <c r="CX6" s="80">
        <v>2009</v>
      </c>
      <c r="CY6" s="80">
        <v>2010</v>
      </c>
      <c r="CZ6" s="80">
        <v>2011</v>
      </c>
      <c r="DA6" s="80">
        <v>2012</v>
      </c>
      <c r="DB6" s="80">
        <v>2013</v>
      </c>
      <c r="DC6" s="80">
        <v>2014</v>
      </c>
      <c r="DD6" s="80">
        <v>2015</v>
      </c>
      <c r="DE6" s="80">
        <v>2016</v>
      </c>
      <c r="DF6" s="415" t="s">
        <v>621</v>
      </c>
      <c r="DH6" s="329"/>
      <c r="DI6" s="80">
        <v>2006</v>
      </c>
      <c r="DJ6" s="80">
        <v>2007</v>
      </c>
      <c r="DK6" s="80">
        <v>2008</v>
      </c>
      <c r="DL6" s="80">
        <v>2009</v>
      </c>
      <c r="DM6" s="80">
        <v>2010</v>
      </c>
      <c r="DN6" s="80">
        <v>2011</v>
      </c>
      <c r="DO6" s="80">
        <v>2012</v>
      </c>
      <c r="DP6" s="80">
        <v>2013</v>
      </c>
      <c r="DQ6" s="80">
        <v>2014</v>
      </c>
      <c r="DR6" s="80">
        <v>2015</v>
      </c>
      <c r="DS6" s="80">
        <v>2016</v>
      </c>
      <c r="DT6" s="80" t="s">
        <v>641</v>
      </c>
      <c r="DV6" s="343" t="s">
        <v>119</v>
      </c>
      <c r="DW6" s="82" t="s">
        <v>233</v>
      </c>
      <c r="DX6" s="82" t="s">
        <v>387</v>
      </c>
      <c r="DY6" s="82" t="s">
        <v>388</v>
      </c>
      <c r="DZ6" s="406"/>
      <c r="EK6" s="245"/>
      <c r="EL6" s="246">
        <v>2017</v>
      </c>
      <c r="EM6" s="246">
        <f>EL6+1</f>
        <v>2018</v>
      </c>
      <c r="EN6" s="246">
        <f>EM6+1</f>
        <v>2019</v>
      </c>
      <c r="EO6" s="246">
        <f>EN6+1</f>
        <v>2020</v>
      </c>
      <c r="EP6" s="246">
        <f>EO6+1</f>
        <v>2021</v>
      </c>
      <c r="ER6" s="96" t="s">
        <v>108</v>
      </c>
      <c r="ES6" s="66"/>
      <c r="ET6" s="66"/>
      <c r="EU6" s="66"/>
      <c r="EV6" s="106"/>
      <c r="EY6" s="62" t="s">
        <v>130</v>
      </c>
      <c r="EZ6" s="64">
        <v>6.5000000000000002E-2</v>
      </c>
      <c r="FA6" s="64">
        <v>2.5999999999999999E-2</v>
      </c>
      <c r="FB6" s="64">
        <v>1.4E-2</v>
      </c>
      <c r="FC6" s="64">
        <v>0.03</v>
      </c>
      <c r="FD6" s="64">
        <v>4.2000000000000003E-2</v>
      </c>
      <c r="FF6" s="86" t="s">
        <v>435</v>
      </c>
      <c r="FG6" s="84" t="s">
        <v>465</v>
      </c>
      <c r="FH6" s="84" t="s">
        <v>466</v>
      </c>
      <c r="FI6" s="86"/>
      <c r="FJ6" s="84" t="s">
        <v>465</v>
      </c>
      <c r="FK6" s="84" t="s">
        <v>466</v>
      </c>
      <c r="FM6" s="380"/>
      <c r="FN6" s="83"/>
      <c r="FO6" s="83"/>
      <c r="FP6" s="83" t="s">
        <v>586</v>
      </c>
      <c r="FR6" s="342"/>
      <c r="FS6" s="342"/>
      <c r="FT6" s="76"/>
      <c r="FU6" s="76" t="s">
        <v>413</v>
      </c>
      <c r="GE6" s="342"/>
      <c r="GF6" s="103" t="s">
        <v>419</v>
      </c>
      <c r="GG6" s="103"/>
      <c r="GH6" s="76" t="s">
        <v>420</v>
      </c>
      <c r="GJ6" s="66" t="s">
        <v>433</v>
      </c>
      <c r="GK6" s="73">
        <f t="shared" ref="GK6:GP6" si="1">GK25</f>
        <v>300.15800000000002</v>
      </c>
      <c r="GL6" s="73">
        <f t="shared" si="1"/>
        <v>373.80899999999997</v>
      </c>
      <c r="GM6" s="73">
        <f t="shared" si="1"/>
        <v>416.279</v>
      </c>
      <c r="GN6" s="73">
        <f t="shared" si="1"/>
        <v>400.05200000000002</v>
      </c>
      <c r="GO6" s="73">
        <f t="shared" si="1"/>
        <v>394.1</v>
      </c>
      <c r="GP6" s="73">
        <f t="shared" si="1"/>
        <v>403.19000000000005</v>
      </c>
      <c r="GR6" s="86"/>
      <c r="GS6" s="82" t="s">
        <v>745</v>
      </c>
      <c r="GT6" s="82" t="s">
        <v>316</v>
      </c>
      <c r="GU6" s="82" t="s">
        <v>361</v>
      </c>
      <c r="GV6" s="82" t="s">
        <v>746</v>
      </c>
      <c r="GW6" s="86" t="s">
        <v>741</v>
      </c>
    </row>
    <row r="7" spans="1:208" ht="16.5" customHeight="1" thickBot="1" x14ac:dyDescent="0.65">
      <c r="B7" s="82" t="s">
        <v>147</v>
      </c>
      <c r="C7" s="82" t="s">
        <v>148</v>
      </c>
      <c r="D7" s="82" t="s">
        <v>594</v>
      </c>
      <c r="E7" s="82" t="s">
        <v>595</v>
      </c>
      <c r="F7" s="104" t="s">
        <v>149</v>
      </c>
      <c r="G7" s="80" t="s">
        <v>654</v>
      </c>
      <c r="I7" s="82" t="s">
        <v>147</v>
      </c>
      <c r="J7" s="82" t="s">
        <v>148</v>
      </c>
      <c r="K7" s="82" t="s">
        <v>594</v>
      </c>
      <c r="L7" s="82" t="s">
        <v>595</v>
      </c>
      <c r="M7" s="104" t="s">
        <v>668</v>
      </c>
      <c r="N7" s="80" t="s">
        <v>596</v>
      </c>
      <c r="P7" s="66" t="s">
        <v>133</v>
      </c>
      <c r="Q7" s="63">
        <v>198.98329999999999</v>
      </c>
      <c r="R7" s="63">
        <v>206.32029999999997</v>
      </c>
      <c r="S7" s="63">
        <v>211.6113</v>
      </c>
      <c r="T7" s="63">
        <v>217.9539</v>
      </c>
      <c r="U7" s="63">
        <v>230.91639999999998</v>
      </c>
      <c r="V7" s="63">
        <v>243.95269999999999</v>
      </c>
      <c r="W7" s="78"/>
      <c r="X7" s="62" t="s">
        <v>131</v>
      </c>
      <c r="Y7" s="85">
        <f t="shared" ref="Y7:Y13" si="2">AA7*$Y$14</f>
        <v>8.93</v>
      </c>
      <c r="AA7" s="78">
        <v>0.19</v>
      </c>
      <c r="AB7" s="78"/>
      <c r="AC7" s="78"/>
      <c r="AD7" s="78"/>
      <c r="AE7" s="62" t="s">
        <v>132</v>
      </c>
      <c r="AF7" s="78">
        <v>0.37</v>
      </c>
      <c r="AI7" s="62" t="s">
        <v>134</v>
      </c>
      <c r="AJ7" s="66">
        <v>843</v>
      </c>
      <c r="AK7" s="66">
        <v>910</v>
      </c>
      <c r="AL7" s="66">
        <v>995</v>
      </c>
      <c r="AM7" s="66">
        <v>1071</v>
      </c>
      <c r="AN7" s="66">
        <v>1134</v>
      </c>
      <c r="AP7" s="407" t="s">
        <v>620</v>
      </c>
      <c r="AQ7" s="408">
        <v>337.91961961248523</v>
      </c>
      <c r="AR7" s="408">
        <v>512.89750218429947</v>
      </c>
      <c r="AS7" s="408">
        <v>600.219920591966</v>
      </c>
      <c r="AT7" s="408">
        <v>651.74877698449234</v>
      </c>
      <c r="AU7" s="408">
        <v>640.34446236956182</v>
      </c>
      <c r="AV7" s="408">
        <v>530.98952790229453</v>
      </c>
      <c r="AW7" s="408">
        <v>520.6997196869255</v>
      </c>
      <c r="AX7" s="408">
        <v>564.73614577794649</v>
      </c>
      <c r="AY7" s="408">
        <v>629.04712152463651</v>
      </c>
      <c r="AZ7" s="408">
        <v>623.9859634581527</v>
      </c>
      <c r="BA7" s="408">
        <v>677.33297047543567</v>
      </c>
      <c r="BB7" s="408">
        <v>692.87643890870152</v>
      </c>
      <c r="BD7" s="410" t="s">
        <v>622</v>
      </c>
      <c r="BE7" s="87">
        <v>1218</v>
      </c>
      <c r="BF7" s="87">
        <v>1392</v>
      </c>
      <c r="BG7" s="87">
        <v>1028</v>
      </c>
      <c r="BH7" s="87">
        <v>606</v>
      </c>
      <c r="BI7" s="87">
        <v>936</v>
      </c>
      <c r="BJ7" s="87">
        <v>1012</v>
      </c>
      <c r="BK7" s="87">
        <v>1179</v>
      </c>
      <c r="BL7" s="87">
        <v>972</v>
      </c>
      <c r="BM7" s="87">
        <v>1178</v>
      </c>
      <c r="BN7" s="87">
        <v>1249</v>
      </c>
      <c r="BO7" s="87">
        <v>1175</v>
      </c>
      <c r="BP7" s="87">
        <v>313</v>
      </c>
      <c r="BR7" s="412" t="s">
        <v>432</v>
      </c>
      <c r="BS7" s="414">
        <v>9.9827399999999997</v>
      </c>
      <c r="BT7" s="414">
        <v>10.334099999999999</v>
      </c>
      <c r="BU7" s="414">
        <v>12.574999999999999</v>
      </c>
      <c r="BV7" s="414">
        <v>6.9805200000000003</v>
      </c>
      <c r="BW7" s="414">
        <v>8.1730800000000006</v>
      </c>
      <c r="BX7" s="414">
        <v>9.13462</v>
      </c>
      <c r="BY7" s="414">
        <v>8.4044349999999994</v>
      </c>
      <c r="BZ7" s="414">
        <v>9.9682200000000005</v>
      </c>
      <c r="CA7" s="414">
        <v>12.41765</v>
      </c>
      <c r="CB7" s="414">
        <v>10.39415</v>
      </c>
      <c r="CC7" s="414">
        <v>10.8025</v>
      </c>
      <c r="CD7" s="414">
        <v>12.1212</v>
      </c>
      <c r="CE7" s="414"/>
      <c r="CF7" s="411" t="s">
        <v>632</v>
      </c>
      <c r="CG7" s="73">
        <v>8.5558092240151513</v>
      </c>
      <c r="CH7" s="73">
        <v>10.292939852582464</v>
      </c>
      <c r="CI7" s="73">
        <v>11.410969788936285</v>
      </c>
      <c r="CJ7" s="73">
        <v>6.9131003219172529</v>
      </c>
      <c r="CK7" s="73">
        <v>7.9546169863929173</v>
      </c>
      <c r="CL7" s="73">
        <v>8.9527456484355969</v>
      </c>
      <c r="CM7" s="73">
        <v>10.147509832038274</v>
      </c>
      <c r="CN7" s="73">
        <v>10.877353815116155</v>
      </c>
      <c r="CO7" s="73">
        <v>12.305245517540984</v>
      </c>
      <c r="CP7" s="73">
        <v>13.856215468613787</v>
      </c>
      <c r="CQ7" s="73">
        <v>13.88256071502418</v>
      </c>
      <c r="CR7" s="73">
        <v>3.4109703481230462</v>
      </c>
      <c r="CT7" s="411" t="s">
        <v>632</v>
      </c>
      <c r="CU7" s="87">
        <v>1101</v>
      </c>
      <c r="CV7" s="87">
        <v>1367</v>
      </c>
      <c r="CW7" s="87">
        <v>1271</v>
      </c>
      <c r="CX7" s="87">
        <v>1086</v>
      </c>
      <c r="CY7" s="87">
        <v>1297</v>
      </c>
      <c r="CZ7" s="87">
        <v>1455</v>
      </c>
      <c r="DA7" s="87">
        <v>1545</v>
      </c>
      <c r="DB7" s="87">
        <v>1598</v>
      </c>
      <c r="DC7" s="87">
        <v>1855</v>
      </c>
      <c r="DD7" s="87">
        <v>2099</v>
      </c>
      <c r="DE7" s="87">
        <v>2004</v>
      </c>
      <c r="DF7" s="87">
        <v>601</v>
      </c>
      <c r="DH7" s="419" t="s">
        <v>640</v>
      </c>
      <c r="DI7" s="414">
        <f t="shared" ref="DI7:DT7" si="3">DI20/SUM(DI$20:DI$23)*DI$11</f>
        <v>4.1934532589289795</v>
      </c>
      <c r="DJ7" s="414">
        <f t="shared" si="3"/>
        <v>3.7147835690176323</v>
      </c>
      <c r="DK7" s="414">
        <f t="shared" si="3"/>
        <v>5.1900500420711966</v>
      </c>
      <c r="DL7" s="414">
        <f t="shared" si="3"/>
        <v>2.4799357222156795</v>
      </c>
      <c r="DM7" s="414">
        <f t="shared" si="3"/>
        <v>3.5061977835833562</v>
      </c>
      <c r="DN7" s="414">
        <f t="shared" si="3"/>
        <v>3.5762557564327162</v>
      </c>
      <c r="DO7" s="414">
        <f t="shared" si="3"/>
        <v>2.9886396650791038</v>
      </c>
      <c r="DP7" s="414">
        <f t="shared" si="3"/>
        <v>4.3180513700780283</v>
      </c>
      <c r="DQ7" s="414">
        <f t="shared" si="3"/>
        <v>5.2227326372017471</v>
      </c>
      <c r="DR7" s="414">
        <f t="shared" si="3"/>
        <v>4.2785049864374995</v>
      </c>
      <c r="DS7" s="414">
        <f t="shared" si="3"/>
        <v>4.21130029755831</v>
      </c>
      <c r="DT7" s="414">
        <f t="shared" si="3"/>
        <v>4.8077044802926832</v>
      </c>
      <c r="DV7" s="330" t="s">
        <v>126</v>
      </c>
      <c r="DW7" s="331">
        <f>SUM(DW12:DZ12)/SUM($DW$15:$DZ$15)</f>
        <v>0.45627342733767934</v>
      </c>
      <c r="DX7" s="331">
        <f>SUM(DW14:DZ14)/SUM($DW$15:$DZ$15)</f>
        <v>0.41982473844618218</v>
      </c>
      <c r="DY7" s="331">
        <f>SUM(DW13:DZ13)/SUM($DW$15:$DZ$15)</f>
        <v>0.12390183421613854</v>
      </c>
      <c r="DZ7" s="421"/>
      <c r="EK7" s="96" t="s">
        <v>108</v>
      </c>
      <c r="EL7" s="66"/>
      <c r="EM7" s="66"/>
      <c r="EN7" s="66"/>
      <c r="EO7" s="106"/>
      <c r="ER7" s="109" t="s">
        <v>107</v>
      </c>
      <c r="ES7" s="73">
        <v>2987</v>
      </c>
      <c r="ET7" s="73">
        <v>3296</v>
      </c>
      <c r="EU7" s="73">
        <v>3667</v>
      </c>
      <c r="EV7" s="73">
        <v>4062</v>
      </c>
      <c r="EW7" s="73">
        <v>4504</v>
      </c>
      <c r="EY7" s="62" t="s">
        <v>134</v>
      </c>
      <c r="EZ7" s="64">
        <v>0.05</v>
      </c>
      <c r="FA7" s="64">
        <v>0.02</v>
      </c>
      <c r="FB7" s="64">
        <v>8.9999999999999993E-3</v>
      </c>
      <c r="FC7" s="64">
        <v>0.01</v>
      </c>
      <c r="FD7" s="64">
        <v>7.0000000000000001E-3</v>
      </c>
      <c r="FE7" s="78"/>
      <c r="FF7" s="69" t="s">
        <v>467</v>
      </c>
      <c r="FM7" s="380"/>
      <c r="FN7" s="83"/>
      <c r="FO7" s="83" t="s">
        <v>649</v>
      </c>
      <c r="FP7" s="83" t="s">
        <v>587</v>
      </c>
      <c r="FQ7" s="78"/>
      <c r="FR7" s="82" t="s">
        <v>106</v>
      </c>
      <c r="FS7" s="82" t="s">
        <v>414</v>
      </c>
      <c r="FT7" s="82" t="s">
        <v>389</v>
      </c>
      <c r="FU7" s="82" t="s">
        <v>116</v>
      </c>
      <c r="GE7" s="82" t="s">
        <v>106</v>
      </c>
      <c r="GF7" s="80" t="s">
        <v>109</v>
      </c>
      <c r="GG7" s="80" t="s">
        <v>116</v>
      </c>
      <c r="GH7" s="82" t="s">
        <v>421</v>
      </c>
      <c r="GJ7" s="66" t="s">
        <v>230</v>
      </c>
      <c r="GK7" s="66">
        <f t="shared" ref="GK7:GP7" si="4">GK37</f>
        <v>4834.5768492699999</v>
      </c>
      <c r="GL7" s="66">
        <f t="shared" si="4"/>
        <v>4432.5951502800008</v>
      </c>
      <c r="GM7" s="66">
        <f t="shared" si="4"/>
        <v>4676.4207451000002</v>
      </c>
      <c r="GN7" s="66">
        <f t="shared" si="4"/>
        <v>4639.4461995799993</v>
      </c>
      <c r="GO7" s="66">
        <f t="shared" si="4"/>
        <v>5065.5680963199993</v>
      </c>
      <c r="GP7" s="66">
        <f t="shared" si="4"/>
        <v>5596.3672879999995</v>
      </c>
      <c r="GR7" s="423" t="s">
        <v>751</v>
      </c>
      <c r="GS7" s="528">
        <v>1500000000</v>
      </c>
      <c r="GT7" s="535">
        <v>2.2499999999999999E-2</v>
      </c>
      <c r="GU7" s="532">
        <f>'LBO Model'!M15</f>
        <v>3.7069000000000005E-2</v>
      </c>
      <c r="GV7" s="529" t="s">
        <v>739</v>
      </c>
      <c r="GW7" s="537">
        <v>7.4406607060772201</v>
      </c>
    </row>
    <row r="8" spans="1:208" ht="16.2" thickTop="1" thickBot="1" x14ac:dyDescent="0.65">
      <c r="B8" s="69"/>
      <c r="C8" s="394" t="s">
        <v>161</v>
      </c>
      <c r="D8" s="62" t="s">
        <v>467</v>
      </c>
      <c r="E8" s="342" t="s">
        <v>157</v>
      </c>
      <c r="F8" s="374">
        <v>2795.3649999999998</v>
      </c>
      <c r="G8" s="375">
        <v>2036</v>
      </c>
      <c r="I8" s="342"/>
      <c r="J8" s="342" t="s">
        <v>154</v>
      </c>
      <c r="K8" s="342" t="s">
        <v>597</v>
      </c>
      <c r="L8" s="402" t="s">
        <v>151</v>
      </c>
      <c r="M8" s="376">
        <v>11300</v>
      </c>
      <c r="N8" s="377">
        <v>25908</v>
      </c>
      <c r="P8" s="88" t="s">
        <v>137</v>
      </c>
      <c r="Q8" s="89"/>
      <c r="R8" s="90">
        <f>R7/Q7-1</f>
        <v>3.687244105409837E-2</v>
      </c>
      <c r="S8" s="90">
        <f t="shared" ref="S8:V8" si="5">S7/R7-1</f>
        <v>2.5644592412864986E-2</v>
      </c>
      <c r="T8" s="90">
        <f t="shared" si="5"/>
        <v>2.9972879520139051E-2</v>
      </c>
      <c r="U8" s="90">
        <f t="shared" si="5"/>
        <v>5.9473585928033312E-2</v>
      </c>
      <c r="V8" s="90">
        <f t="shared" si="5"/>
        <v>5.6454630333748534E-2</v>
      </c>
      <c r="W8" s="78"/>
      <c r="X8" s="62" t="s">
        <v>135</v>
      </c>
      <c r="Y8" s="85">
        <f t="shared" si="2"/>
        <v>8.93</v>
      </c>
      <c r="AA8" s="78">
        <v>0.19</v>
      </c>
      <c r="AB8" s="78"/>
      <c r="AC8" s="78"/>
      <c r="AD8" s="78"/>
      <c r="AE8" s="62" t="s">
        <v>136</v>
      </c>
      <c r="AF8" s="78">
        <v>0.25</v>
      </c>
      <c r="AI8" s="94" t="s">
        <v>138</v>
      </c>
      <c r="AJ8" s="95">
        <f t="shared" ref="AJ8" si="6">SUM(AJ6:AJ7)</f>
        <v>1652</v>
      </c>
      <c r="AK8" s="95">
        <f t="shared" ref="AK8:AL8" si="7">SUM(AK6:AK7)</f>
        <v>1777</v>
      </c>
      <c r="AL8" s="95">
        <f t="shared" si="7"/>
        <v>1920</v>
      </c>
      <c r="AM8" s="95">
        <f>SUM(AM6:AM7)</f>
        <v>1972</v>
      </c>
      <c r="AN8" s="95">
        <f>SUM(AN6:AN7)</f>
        <v>2036</v>
      </c>
      <c r="AP8" s="87"/>
      <c r="AQ8" s="87"/>
      <c r="AR8" s="87"/>
      <c r="AS8" s="87"/>
      <c r="AT8" s="87"/>
      <c r="AU8" s="87"/>
      <c r="AV8" s="87"/>
      <c r="AW8" s="87"/>
      <c r="AX8" s="87"/>
      <c r="AY8" s="87"/>
      <c r="AZ8" s="87"/>
      <c r="BA8" s="87"/>
      <c r="BB8" s="87"/>
      <c r="BD8" s="411" t="s">
        <v>623</v>
      </c>
      <c r="BE8" s="87">
        <v>1058</v>
      </c>
      <c r="BF8" s="87">
        <v>1491</v>
      </c>
      <c r="BG8" s="87">
        <v>1132</v>
      </c>
      <c r="BH8" s="87">
        <v>792</v>
      </c>
      <c r="BI8" s="87">
        <v>1192</v>
      </c>
      <c r="BJ8" s="87">
        <v>1404</v>
      </c>
      <c r="BK8" s="87">
        <v>1587</v>
      </c>
      <c r="BL8" s="87">
        <v>1528</v>
      </c>
      <c r="BM8" s="87">
        <v>1999</v>
      </c>
      <c r="BN8" s="87">
        <v>2086</v>
      </c>
      <c r="BO8" s="87">
        <v>2163</v>
      </c>
      <c r="BP8" s="87">
        <v>573</v>
      </c>
      <c r="BR8" s="412" t="s">
        <v>628</v>
      </c>
      <c r="BS8" s="414">
        <v>6.0947223212399999</v>
      </c>
      <c r="BT8" s="414">
        <v>5.6940891000000002</v>
      </c>
      <c r="BU8" s="414">
        <v>7.4591881999999998</v>
      </c>
      <c r="BV8" s="414">
        <v>3.0391369144799998</v>
      </c>
      <c r="BW8" s="414">
        <v>4.6644952656600003</v>
      </c>
      <c r="BX8" s="414">
        <v>4.8701043837599993</v>
      </c>
      <c r="BY8" s="414">
        <v>4.2423486771249994</v>
      </c>
      <c r="BZ8" s="414">
        <v>6.0114048485399998</v>
      </c>
      <c r="CA8" s="414">
        <v>7.2225150224499997</v>
      </c>
      <c r="CB8" s="414">
        <v>5.7046733152499991</v>
      </c>
      <c r="CC8" s="414">
        <v>5.3499111187500006</v>
      </c>
      <c r="CD8" s="414">
        <v>6.2466301170000005</v>
      </c>
      <c r="CE8" s="414"/>
      <c r="CF8" s="411" t="s">
        <v>633</v>
      </c>
      <c r="CG8" s="73">
        <v>33.825370095268795</v>
      </c>
      <c r="CH8" s="73">
        <v>37.797222316161985</v>
      </c>
      <c r="CI8" s="73">
        <v>39.419591703082503</v>
      </c>
      <c r="CJ8" s="73">
        <v>18.799751262615871</v>
      </c>
      <c r="CK8" s="73">
        <v>23.050359094770819</v>
      </c>
      <c r="CL8" s="73">
        <v>28.258013193967315</v>
      </c>
      <c r="CM8" s="73">
        <v>36.167026359366375</v>
      </c>
      <c r="CN8" s="73">
        <v>30.964424256724403</v>
      </c>
      <c r="CO8" s="73">
        <v>40.570607216253315</v>
      </c>
      <c r="CP8" s="73">
        <v>38.584764878520623</v>
      </c>
      <c r="CQ8" s="73">
        <v>45.040262219661585</v>
      </c>
      <c r="CR8" s="73">
        <v>9.10566939933973</v>
      </c>
      <c r="CT8" s="411" t="s">
        <v>633</v>
      </c>
      <c r="CU8" s="87">
        <v>800</v>
      </c>
      <c r="CV8" s="87">
        <v>950</v>
      </c>
      <c r="CW8" s="87">
        <v>841</v>
      </c>
      <c r="CX8" s="87">
        <v>479</v>
      </c>
      <c r="CY8" s="87">
        <v>623</v>
      </c>
      <c r="CZ8" s="87">
        <v>741</v>
      </c>
      <c r="DA8" s="87">
        <v>957</v>
      </c>
      <c r="DB8" s="87">
        <v>768</v>
      </c>
      <c r="DC8" s="87">
        <v>973</v>
      </c>
      <c r="DD8" s="87">
        <v>1001</v>
      </c>
      <c r="DE8" s="87">
        <v>1104</v>
      </c>
      <c r="DF8" s="87">
        <v>222</v>
      </c>
      <c r="DH8" s="412" t="s">
        <v>639</v>
      </c>
      <c r="DI8" s="414">
        <f t="shared" ref="DI8:DT8" si="8">DI21/SUM(DI$20:DI$23)*DI$11</f>
        <v>0.76406139887265312</v>
      </c>
      <c r="DJ8" s="414">
        <f t="shared" si="8"/>
        <v>0.68845409773299748</v>
      </c>
      <c r="DK8" s="414">
        <f t="shared" si="8"/>
        <v>0.26553744401294499</v>
      </c>
      <c r="DL8" s="414">
        <f t="shared" si="8"/>
        <v>0.14587857189504</v>
      </c>
      <c r="DM8" s="414">
        <f t="shared" si="8"/>
        <v>6.2610674706845643E-2</v>
      </c>
      <c r="DN8" s="414">
        <f t="shared" si="8"/>
        <v>0.24713962544453727</v>
      </c>
      <c r="DO8" s="414">
        <f t="shared" si="8"/>
        <v>0.60785891493134325</v>
      </c>
      <c r="DP8" s="414">
        <f t="shared" si="8"/>
        <v>0.89747734358484499</v>
      </c>
      <c r="DQ8" s="414">
        <f t="shared" si="8"/>
        <v>1.514398311158871</v>
      </c>
      <c r="DR8" s="414">
        <f t="shared" si="8"/>
        <v>0.98247151540416655</v>
      </c>
      <c r="DS8" s="414">
        <f t="shared" si="8"/>
        <v>0.90464969354956271</v>
      </c>
      <c r="DT8" s="414">
        <f t="shared" si="8"/>
        <v>1.1511405093658538</v>
      </c>
      <c r="EK8" s="109" t="s">
        <v>107</v>
      </c>
      <c r="EL8" s="73">
        <f>AVERAGE(EL26,EL33,EL40,EL48,EL55,EL62,EL69)</f>
        <v>2846.1157142857146</v>
      </c>
      <c r="EM8" s="73">
        <f>AVERAGE(EM26,EM33,EM40,EM48,EM55,EM62,EM69)</f>
        <v>3083.1444285714283</v>
      </c>
      <c r="EN8" s="73">
        <f>AVERAGE(EN26,EN33,EN40,EN48,EN55,EN62,EN69)</f>
        <v>3374.42</v>
      </c>
      <c r="EO8" s="73">
        <f>AVERAGE(EO26,EO33,EO40,EO48,EO55,EO62,EO69)</f>
        <v>3886.8910000000001</v>
      </c>
      <c r="EP8" s="73">
        <f>AVERAGE(EP26,EP33,EP40,EP48,EP55,EP62,EP69)</f>
        <v>4220.0079999999998</v>
      </c>
      <c r="ER8" s="88" t="s">
        <v>124</v>
      </c>
      <c r="ES8" s="90">
        <f>ES7/2795.365-1</f>
        <v>6.8554553698711995E-2</v>
      </c>
      <c r="ET8" s="90">
        <f>ET7/ES7-1</f>
        <v>0.10344827586206895</v>
      </c>
      <c r="EU8" s="90">
        <f t="shared" ref="EU8:EW8" si="9">EU7/ET7-1</f>
        <v>0.1125606796116505</v>
      </c>
      <c r="EV8" s="90">
        <f t="shared" si="9"/>
        <v>0.10771748022907013</v>
      </c>
      <c r="EW8" s="90">
        <f t="shared" si="9"/>
        <v>0.1088133924175283</v>
      </c>
      <c r="EY8" s="91" t="s">
        <v>138</v>
      </c>
      <c r="EZ8" s="92">
        <v>5.7000000000000002E-2</v>
      </c>
      <c r="FA8" s="93">
        <v>2.3E-2</v>
      </c>
      <c r="FB8" s="93">
        <v>1.0999999999999999E-2</v>
      </c>
      <c r="FC8" s="93">
        <v>1.9E-2</v>
      </c>
      <c r="FD8" s="93">
        <v>2.4E-2</v>
      </c>
      <c r="FE8" s="78"/>
      <c r="FF8" s="71" t="s">
        <v>468</v>
      </c>
      <c r="FG8" s="70" t="s">
        <v>469</v>
      </c>
      <c r="FH8" s="70" t="s">
        <v>470</v>
      </c>
      <c r="FI8" s="70"/>
      <c r="FJ8" s="70" t="s">
        <v>471</v>
      </c>
      <c r="FK8" s="70" t="s">
        <v>472</v>
      </c>
      <c r="FM8" s="381" t="s">
        <v>667</v>
      </c>
      <c r="FN8" s="86" t="s">
        <v>437</v>
      </c>
      <c r="FO8" s="86" t="s">
        <v>565</v>
      </c>
      <c r="FP8" s="86" t="s">
        <v>588</v>
      </c>
      <c r="FQ8" s="78"/>
      <c r="FR8" s="62">
        <f>FR24</f>
        <v>2014</v>
      </c>
      <c r="FS8" s="339" t="str">
        <f>FS24</f>
        <v>Q1</v>
      </c>
      <c r="FT8" s="339" t="str">
        <f>FT24</f>
        <v>1/1 - 3/31</v>
      </c>
      <c r="FU8" s="341">
        <f>FU24</f>
        <v>178.33333333333334</v>
      </c>
      <c r="GE8" s="62">
        <f t="shared" ref="GE8:GG9" si="10">GE24</f>
        <v>2013</v>
      </c>
      <c r="GF8" s="341">
        <f t="shared" si="10"/>
        <v>6.68</v>
      </c>
      <c r="GG8" s="354">
        <f t="shared" si="10"/>
        <v>6.66</v>
      </c>
      <c r="GH8" s="64">
        <f>GF8/GG8-1</f>
        <v>3.0030030030030463E-3</v>
      </c>
      <c r="GJ8" s="115" t="s">
        <v>434</v>
      </c>
      <c r="GK8" s="359">
        <f t="shared" ref="GK8:GP8" si="11">GK39</f>
        <v>16.10677326364781</v>
      </c>
      <c r="GL8" s="359">
        <f t="shared" si="11"/>
        <v>11.857914470438114</v>
      </c>
      <c r="GM8" s="359">
        <f t="shared" si="11"/>
        <v>11.233861773233818</v>
      </c>
      <c r="GN8" s="359">
        <f t="shared" si="11"/>
        <v>11.597107874926257</v>
      </c>
      <c r="GO8" s="359">
        <f t="shared" si="11"/>
        <v>12.853509506013699</v>
      </c>
      <c r="GP8" s="359">
        <f t="shared" si="11"/>
        <v>13.880223438081298</v>
      </c>
      <c r="GR8" s="423" t="s">
        <v>752</v>
      </c>
      <c r="GS8" s="529">
        <v>2250000000</v>
      </c>
      <c r="GT8" s="535">
        <v>2.2499999999999999E-2</v>
      </c>
      <c r="GU8" s="532">
        <f>'LBO Model'!M16</f>
        <v>6.3E-2</v>
      </c>
      <c r="GV8" s="531" t="s">
        <v>740</v>
      </c>
      <c r="GW8" s="537">
        <v>7.4406607060772201</v>
      </c>
    </row>
    <row r="9" spans="1:208" ht="17.25" customHeight="1" thickTop="1" thickBot="1" x14ac:dyDescent="0.65">
      <c r="B9" s="69" t="s">
        <v>467</v>
      </c>
      <c r="C9" s="394"/>
      <c r="E9" s="394"/>
      <c r="F9" s="395"/>
      <c r="G9" s="396"/>
      <c r="I9" s="96"/>
      <c r="J9" s="62" t="s">
        <v>614</v>
      </c>
      <c r="K9" s="62" t="s">
        <v>597</v>
      </c>
      <c r="L9" s="403" t="s">
        <v>139</v>
      </c>
      <c r="M9" s="376">
        <v>6743</v>
      </c>
      <c r="N9" s="377">
        <v>2261</v>
      </c>
      <c r="P9" s="66" t="s">
        <v>440</v>
      </c>
      <c r="Q9" s="87">
        <v>29</v>
      </c>
      <c r="R9" s="87">
        <v>32</v>
      </c>
      <c r="S9" s="87">
        <v>36</v>
      </c>
      <c r="T9" s="87">
        <v>40</v>
      </c>
      <c r="U9" s="87">
        <v>44</v>
      </c>
      <c r="V9" s="87">
        <v>47</v>
      </c>
      <c r="W9" s="78"/>
      <c r="X9" s="62" t="s">
        <v>146</v>
      </c>
      <c r="Y9" s="85">
        <f t="shared" si="2"/>
        <v>8.4599999999999991</v>
      </c>
      <c r="AA9" s="78">
        <v>0.18</v>
      </c>
      <c r="AB9" s="78"/>
      <c r="AC9" s="78"/>
      <c r="AD9" s="78"/>
      <c r="AE9" s="62" t="s">
        <v>439</v>
      </c>
      <c r="AF9" s="78">
        <v>0.21</v>
      </c>
      <c r="AP9" s="87"/>
      <c r="AQ9" s="87"/>
      <c r="AR9" s="87"/>
      <c r="AS9" s="87"/>
      <c r="AT9" s="87"/>
      <c r="AU9" s="87"/>
      <c r="AV9" s="87"/>
      <c r="AW9" s="87"/>
      <c r="AX9" s="87"/>
      <c r="AY9" s="87"/>
      <c r="AZ9" s="87"/>
      <c r="BA9" s="87"/>
      <c r="BB9" s="87"/>
      <c r="BD9" s="411" t="s">
        <v>624</v>
      </c>
      <c r="BE9" s="87">
        <v>12</v>
      </c>
      <c r="BF9" s="87">
        <v>14</v>
      </c>
      <c r="BG9" s="87">
        <v>8</v>
      </c>
      <c r="BH9" s="87">
        <v>6</v>
      </c>
      <c r="BI9" s="87">
        <v>13</v>
      </c>
      <c r="BJ9" s="87">
        <v>19</v>
      </c>
      <c r="BK9" s="87">
        <v>28</v>
      </c>
      <c r="BL9" s="87">
        <v>56</v>
      </c>
      <c r="BM9" s="87">
        <v>48</v>
      </c>
      <c r="BN9" s="87">
        <v>39</v>
      </c>
      <c r="BO9" s="87">
        <v>24</v>
      </c>
      <c r="BP9" s="87">
        <v>8</v>
      </c>
      <c r="BR9" s="412" t="s">
        <v>629</v>
      </c>
      <c r="BS9" s="414">
        <v>3.8880176787599998</v>
      </c>
      <c r="BT9" s="414">
        <v>4.6400108999999992</v>
      </c>
      <c r="BU9" s="414">
        <v>5.1158117999999995</v>
      </c>
      <c r="BV9" s="414">
        <v>3.9413830855200005</v>
      </c>
      <c r="BW9" s="414">
        <v>3.5085847343400003</v>
      </c>
      <c r="BX9" s="414">
        <v>4.2645156162400006</v>
      </c>
      <c r="BY9" s="414">
        <v>4.162086322875</v>
      </c>
      <c r="BZ9" s="414">
        <v>3.9568151514600007</v>
      </c>
      <c r="CA9" s="414">
        <v>5.1951349775500004</v>
      </c>
      <c r="CB9" s="414">
        <v>4.6894766847500007</v>
      </c>
      <c r="CC9" s="414">
        <v>5.4525888812499996</v>
      </c>
      <c r="CD9" s="414">
        <v>5.8745698829999995</v>
      </c>
      <c r="CE9" s="421"/>
      <c r="CF9" s="411" t="s">
        <v>634</v>
      </c>
      <c r="CG9" s="73">
        <v>131.49360371238208</v>
      </c>
      <c r="CH9" s="73">
        <v>157.9165227019927</v>
      </c>
      <c r="CI9" s="73">
        <v>103.12484344697943</v>
      </c>
      <c r="CJ9" s="73">
        <v>48.99655305362856</v>
      </c>
      <c r="CK9" s="73">
        <v>98.72821627209575</v>
      </c>
      <c r="CL9" s="73">
        <v>125.87164022954926</v>
      </c>
      <c r="CM9" s="73">
        <v>139.29395330181165</v>
      </c>
      <c r="CN9" s="73">
        <v>153.16911575110177</v>
      </c>
      <c r="CO9" s="73">
        <v>202.37970071035642</v>
      </c>
      <c r="CP9" s="73">
        <v>166.7223215561209</v>
      </c>
      <c r="CQ9" s="73">
        <v>175.00683539387234</v>
      </c>
      <c r="CR9" s="73">
        <v>51.039417079132846</v>
      </c>
      <c r="CT9" s="411" t="s">
        <v>634</v>
      </c>
      <c r="CU9" s="87">
        <v>730</v>
      </c>
      <c r="CV9" s="87">
        <v>937</v>
      </c>
      <c r="CW9" s="87">
        <v>535</v>
      </c>
      <c r="CX9" s="87">
        <v>293</v>
      </c>
      <c r="CY9" s="87">
        <v>649</v>
      </c>
      <c r="CZ9" s="87">
        <v>757</v>
      </c>
      <c r="DA9" s="87">
        <v>804</v>
      </c>
      <c r="DB9" s="87">
        <v>864</v>
      </c>
      <c r="DC9" s="87">
        <v>1117</v>
      </c>
      <c r="DD9" s="87">
        <v>978</v>
      </c>
      <c r="DE9" s="87">
        <v>1004</v>
      </c>
      <c r="DF9" s="87">
        <v>283</v>
      </c>
      <c r="DH9" s="412" t="s">
        <v>638</v>
      </c>
      <c r="DI9" s="414">
        <f t="shared" ref="DI9:DT9" si="12">DI22/SUM(DI$20:DI$23)*DI$11</f>
        <v>0.31983965534204084</v>
      </c>
      <c r="DJ9" s="414">
        <f t="shared" si="12"/>
        <v>0.58805454181360206</v>
      </c>
      <c r="DK9" s="414">
        <f t="shared" si="12"/>
        <v>0.91731117022653719</v>
      </c>
      <c r="DL9" s="414">
        <f t="shared" si="12"/>
        <v>0.19450476252672</v>
      </c>
      <c r="DM9" s="414">
        <f t="shared" si="12"/>
        <v>0.7513280964821476</v>
      </c>
      <c r="DN9" s="414">
        <f t="shared" si="12"/>
        <v>0.85771987654280579</v>
      </c>
      <c r="DO9" s="414">
        <f t="shared" si="12"/>
        <v>0.51921282317052231</v>
      </c>
      <c r="DP9" s="414">
        <f t="shared" si="12"/>
        <v>0.49107250875397185</v>
      </c>
      <c r="DQ9" s="414">
        <f t="shared" si="12"/>
        <v>0.48538407408938167</v>
      </c>
      <c r="DR9" s="414">
        <f t="shared" si="12"/>
        <v>0.44369681340833328</v>
      </c>
      <c r="DS9" s="414">
        <f t="shared" si="12"/>
        <v>0.23396112764212829</v>
      </c>
      <c r="DT9" s="414">
        <f t="shared" si="12"/>
        <v>0.28778512734146344</v>
      </c>
      <c r="EK9" s="332" t="s">
        <v>124</v>
      </c>
      <c r="EL9" s="90">
        <f>EL8/2795.365-1</f>
        <v>1.8155308621848887E-2</v>
      </c>
      <c r="EM9" s="90">
        <f>EM8/EL8-1</f>
        <v>8.3281474852191728E-2</v>
      </c>
      <c r="EN9" s="90">
        <f>EN8/EM8-1</f>
        <v>9.4473540950377632E-2</v>
      </c>
      <c r="EO9" s="90">
        <f>EO8/EN8-1</f>
        <v>0.15186935828972081</v>
      </c>
      <c r="EP9" s="90">
        <f>EP8/EO8-1</f>
        <v>8.5702686285774377E-2</v>
      </c>
      <c r="ER9" s="109" t="s">
        <v>110</v>
      </c>
      <c r="ES9" s="66">
        <v>458</v>
      </c>
      <c r="ET9" s="66">
        <v>533</v>
      </c>
      <c r="EU9" s="66">
        <v>624</v>
      </c>
      <c r="EV9" s="66">
        <v>722</v>
      </c>
      <c r="EW9" s="66">
        <v>821</v>
      </c>
      <c r="EY9" s="78"/>
      <c r="EZ9" s="78"/>
      <c r="FA9" s="78"/>
      <c r="FB9" s="78"/>
      <c r="FC9" s="78"/>
      <c r="FD9" s="78"/>
      <c r="FE9" s="78"/>
      <c r="FF9" s="71" t="s">
        <v>153</v>
      </c>
      <c r="FG9" s="70" t="s">
        <v>473</v>
      </c>
      <c r="FH9" s="70" t="s">
        <v>474</v>
      </c>
      <c r="FI9" s="70"/>
      <c r="FJ9" s="70" t="s">
        <v>475</v>
      </c>
      <c r="FK9" s="70" t="s">
        <v>476</v>
      </c>
      <c r="FM9" s="66" t="s">
        <v>446</v>
      </c>
      <c r="FN9" s="66" t="s">
        <v>566</v>
      </c>
      <c r="FO9" s="70" t="s">
        <v>567</v>
      </c>
      <c r="FP9" s="78">
        <v>0.26</v>
      </c>
      <c r="FQ9" s="78"/>
      <c r="FS9" s="339" t="str">
        <f>FS25</f>
        <v>Q2</v>
      </c>
      <c r="FT9" s="339" t="str">
        <f>FT25</f>
        <v>4/1 - 6/30</v>
      </c>
      <c r="FU9" s="341">
        <f>FU25</f>
        <v>186</v>
      </c>
      <c r="GE9" s="62">
        <f t="shared" si="10"/>
        <v>2014</v>
      </c>
      <c r="GF9" s="341">
        <f t="shared" si="10"/>
        <v>6.53</v>
      </c>
      <c r="GG9" s="354">
        <f t="shared" si="10"/>
        <v>6.51</v>
      </c>
      <c r="GH9" s="64">
        <f>GF9/GG9-1</f>
        <v>3.0721966205837781E-3</v>
      </c>
      <c r="GR9" s="111" t="s">
        <v>753</v>
      </c>
      <c r="GS9" s="534">
        <v>120000000</v>
      </c>
      <c r="GT9" s="536">
        <v>0.03</v>
      </c>
      <c r="GU9" s="533">
        <f>'LBO Model'!M17</f>
        <v>9.5000000000000001E-2</v>
      </c>
      <c r="GV9" s="530" t="s">
        <v>740</v>
      </c>
      <c r="GW9" s="538">
        <v>7.4406607060772201</v>
      </c>
      <c r="GY9" s="75"/>
    </row>
    <row r="10" spans="1:208" ht="16.2" thickTop="1" thickBot="1" x14ac:dyDescent="0.65">
      <c r="C10" s="74" t="s">
        <v>468</v>
      </c>
      <c r="D10" s="74" t="s">
        <v>467</v>
      </c>
      <c r="E10" s="394" t="s">
        <v>135</v>
      </c>
      <c r="F10" s="395">
        <v>3904.384</v>
      </c>
      <c r="G10" s="396">
        <v>2198</v>
      </c>
      <c r="J10" s="62" t="s">
        <v>150</v>
      </c>
      <c r="K10" s="62" t="s">
        <v>615</v>
      </c>
      <c r="L10" s="403" t="s">
        <v>151</v>
      </c>
      <c r="M10" s="376">
        <v>2220</v>
      </c>
      <c r="N10" s="377">
        <v>2819</v>
      </c>
      <c r="O10" s="65"/>
      <c r="P10" s="88" t="s">
        <v>137</v>
      </c>
      <c r="Q10" s="90"/>
      <c r="R10" s="90">
        <f>R9/Q9-1</f>
        <v>0.10344827586206895</v>
      </c>
      <c r="S10" s="90">
        <f t="shared" ref="S10:V10" si="13">S9/R9-1</f>
        <v>0.125</v>
      </c>
      <c r="T10" s="90">
        <f t="shared" si="13"/>
        <v>0.11111111111111116</v>
      </c>
      <c r="U10" s="90">
        <f t="shared" si="13"/>
        <v>0.10000000000000009</v>
      </c>
      <c r="V10" s="90">
        <f t="shared" si="13"/>
        <v>6.8181818181818121E-2</v>
      </c>
      <c r="W10" s="78"/>
      <c r="X10" s="62" t="s">
        <v>139</v>
      </c>
      <c r="Y10" s="85">
        <f t="shared" si="2"/>
        <v>5.64</v>
      </c>
      <c r="AA10" s="78">
        <v>0.12</v>
      </c>
      <c r="AB10" s="78"/>
      <c r="AC10" s="78"/>
      <c r="AD10" s="78"/>
      <c r="AE10" s="62" t="s">
        <v>140</v>
      </c>
      <c r="AF10" s="78">
        <v>0.18</v>
      </c>
      <c r="AP10" s="87"/>
      <c r="AQ10" s="87"/>
      <c r="AR10" s="87"/>
      <c r="AS10" s="87"/>
      <c r="AT10" s="87"/>
      <c r="AU10" s="87"/>
      <c r="AV10" s="87"/>
      <c r="AW10" s="87"/>
      <c r="AX10" s="87"/>
      <c r="AY10" s="87"/>
      <c r="AZ10" s="87"/>
      <c r="BA10" s="87"/>
      <c r="BB10" s="87"/>
      <c r="BD10" s="412" t="s">
        <v>625</v>
      </c>
      <c r="BE10" s="87">
        <v>498</v>
      </c>
      <c r="BF10" s="87">
        <v>620</v>
      </c>
      <c r="BG10" s="87">
        <v>542</v>
      </c>
      <c r="BH10" s="87">
        <v>470</v>
      </c>
      <c r="BI10" s="87">
        <v>608</v>
      </c>
      <c r="BJ10" s="87">
        <v>664</v>
      </c>
      <c r="BK10" s="87">
        <v>693</v>
      </c>
      <c r="BL10" s="87">
        <v>829</v>
      </c>
      <c r="BM10" s="87">
        <v>965</v>
      </c>
      <c r="BN10" s="87">
        <v>991</v>
      </c>
      <c r="BO10" s="87">
        <v>988</v>
      </c>
      <c r="BP10" s="87">
        <v>291</v>
      </c>
      <c r="BR10" s="413" t="s">
        <v>630</v>
      </c>
      <c r="BS10" s="101">
        <v>0.61052600000000001</v>
      </c>
      <c r="BT10" s="101">
        <v>0.55100000000000005</v>
      </c>
      <c r="BU10" s="101">
        <v>0.59317600000000004</v>
      </c>
      <c r="BV10" s="101">
        <v>0.43537399999999998</v>
      </c>
      <c r="BW10" s="101">
        <v>0.57071450000000001</v>
      </c>
      <c r="BX10" s="101">
        <v>0.53314799999999996</v>
      </c>
      <c r="BY10" s="101">
        <v>0.50477499999999997</v>
      </c>
      <c r="BZ10" s="101">
        <v>0.60305699999999995</v>
      </c>
      <c r="CA10" s="101">
        <v>0.58163299999999996</v>
      </c>
      <c r="CB10" s="101">
        <v>0.54883499999999996</v>
      </c>
      <c r="CC10" s="101">
        <v>0.49524750000000001</v>
      </c>
      <c r="CD10" s="101">
        <v>0.51534750000000007</v>
      </c>
      <c r="CF10" s="411" t="s">
        <v>635</v>
      </c>
      <c r="CG10" s="73">
        <v>99.832736968333677</v>
      </c>
      <c r="CH10" s="73">
        <v>122.34077412926254</v>
      </c>
      <c r="CI10" s="73">
        <v>52.689395061001946</v>
      </c>
      <c r="CJ10" s="73">
        <v>26.00164236183825</v>
      </c>
      <c r="CK10" s="73">
        <v>103.26075364674094</v>
      </c>
      <c r="CL10" s="73">
        <v>88.15832992804738</v>
      </c>
      <c r="CM10" s="73">
        <v>104.0909885067847</v>
      </c>
      <c r="CN10" s="73">
        <v>105.37788817705663</v>
      </c>
      <c r="CO10" s="73">
        <v>159.68717655584842</v>
      </c>
      <c r="CP10" s="73">
        <v>162.57633109674217</v>
      </c>
      <c r="CQ10" s="73">
        <v>133.51566067144171</v>
      </c>
      <c r="CR10" s="73">
        <v>55.638367173404298</v>
      </c>
      <c r="CT10" s="411" t="s">
        <v>635</v>
      </c>
      <c r="CU10" s="87">
        <v>176</v>
      </c>
      <c r="CV10" s="87">
        <v>229</v>
      </c>
      <c r="CW10" s="87">
        <v>95</v>
      </c>
      <c r="CX10" s="87">
        <v>50</v>
      </c>
      <c r="CY10" s="87">
        <v>213</v>
      </c>
      <c r="CZ10" s="87">
        <v>175</v>
      </c>
      <c r="DA10" s="87">
        <v>207</v>
      </c>
      <c r="DB10" s="87">
        <v>197</v>
      </c>
      <c r="DC10" s="87">
        <v>282</v>
      </c>
      <c r="DD10" s="87">
        <v>311</v>
      </c>
      <c r="DE10" s="87">
        <v>257</v>
      </c>
      <c r="DF10" s="87">
        <v>106</v>
      </c>
      <c r="DH10" s="413" t="s">
        <v>197</v>
      </c>
      <c r="DI10" s="438">
        <f t="shared" ref="DI10:DT10" si="14">DI23/SUM(DI$20:DI$23)*DI$11</f>
        <v>0.81736800809632648</v>
      </c>
      <c r="DJ10" s="438">
        <f t="shared" si="14"/>
        <v>0.70279689143576829</v>
      </c>
      <c r="DK10" s="438">
        <f t="shared" si="14"/>
        <v>1.0862895436893203</v>
      </c>
      <c r="DL10" s="438">
        <f t="shared" si="14"/>
        <v>0.21881785784255997</v>
      </c>
      <c r="DM10" s="438">
        <f t="shared" si="14"/>
        <v>0.34435871088765102</v>
      </c>
      <c r="DN10" s="438">
        <f t="shared" si="14"/>
        <v>0.18898912533994025</v>
      </c>
      <c r="DO10" s="438">
        <f t="shared" si="14"/>
        <v>0.12663727394402982</v>
      </c>
      <c r="DP10" s="438">
        <f t="shared" si="14"/>
        <v>0.30480362612315492</v>
      </c>
      <c r="DQ10" s="438">
        <f t="shared" si="14"/>
        <v>0</v>
      </c>
      <c r="DR10" s="438">
        <f t="shared" si="14"/>
        <v>0</v>
      </c>
      <c r="DS10" s="438">
        <f t="shared" si="14"/>
        <v>0</v>
      </c>
      <c r="DT10" s="438">
        <f t="shared" si="14"/>
        <v>0</v>
      </c>
      <c r="DY10" s="62">
        <v>2016</v>
      </c>
      <c r="DZ10" s="62">
        <v>2017</v>
      </c>
      <c r="EK10" s="109" t="s">
        <v>110</v>
      </c>
      <c r="EL10" s="66">
        <f>AVERAGE(EL27,EL34,EL41,EL49,EL56,EL63,EL70)</f>
        <v>440.8642857142857</v>
      </c>
      <c r="EM10" s="66">
        <f>AVERAGE(EM27,EM34,EM41,EM49,EM56,EM63,EM70)</f>
        <v>489.37442857142861</v>
      </c>
      <c r="EN10" s="66">
        <f>AVERAGE(EN27,EN34,EN41,EN49,EN56,EN63,EN70)</f>
        <v>561.11299999999994</v>
      </c>
      <c r="EO10" s="66">
        <f>AVERAGE(EO27,EO34,EO41,EO49,EO56,EO63,EO70)</f>
        <v>631.64</v>
      </c>
      <c r="EP10" s="66">
        <f>AVERAGE(EP27,EP34,EP41,EP49,EP56,EP63,EP70)</f>
        <v>692.13300000000004</v>
      </c>
      <c r="ER10" s="332" t="s">
        <v>124</v>
      </c>
      <c r="ES10" s="90"/>
      <c r="ET10" s="90">
        <f>ET9/ES9-1</f>
        <v>0.16375545851528384</v>
      </c>
      <c r="EU10" s="90">
        <f>EU9/ET9-1</f>
        <v>0.1707317073170731</v>
      </c>
      <c r="EV10" s="90">
        <f>EV9/EU9-1</f>
        <v>0.15705128205128216</v>
      </c>
      <c r="EW10" s="90">
        <f>EW9/EV9-1</f>
        <v>0.13711911357340711</v>
      </c>
      <c r="EY10" s="78" t="s">
        <v>785</v>
      </c>
      <c r="FD10" s="78"/>
      <c r="FE10" s="78" t="s">
        <v>119</v>
      </c>
      <c r="FF10" s="71" t="s">
        <v>477</v>
      </c>
      <c r="FG10" s="70" t="s">
        <v>478</v>
      </c>
      <c r="FH10" s="70" t="s">
        <v>479</v>
      </c>
      <c r="FI10" s="70"/>
      <c r="FJ10" s="70" t="s">
        <v>480</v>
      </c>
      <c r="FK10" s="70" t="s">
        <v>481</v>
      </c>
      <c r="FM10" s="66" t="s">
        <v>568</v>
      </c>
      <c r="FN10" s="66" t="s">
        <v>569</v>
      </c>
      <c r="FO10" s="70" t="s">
        <v>529</v>
      </c>
      <c r="FP10" s="78">
        <v>0.27</v>
      </c>
      <c r="FQ10" s="78"/>
      <c r="FS10" s="339" t="s">
        <v>405</v>
      </c>
      <c r="FT10" s="339" t="str">
        <f t="shared" ref="FT10:FU17" si="15">FT26</f>
        <v>7/1 - 9/30</v>
      </c>
      <c r="FU10" s="341">
        <f t="shared" si="15"/>
        <v>167</v>
      </c>
      <c r="GE10" s="62">
        <f>GE27</f>
        <v>2016</v>
      </c>
      <c r="GF10" s="341">
        <f>GF27</f>
        <v>6.74</v>
      </c>
      <c r="GG10" s="354">
        <f>GG27</f>
        <v>6.7</v>
      </c>
      <c r="GH10" s="64">
        <f>GF10/GG10-1</f>
        <v>5.9701492537314049E-3</v>
      </c>
      <c r="GY10" s="75"/>
    </row>
    <row r="11" spans="1:208" ht="16.2" thickTop="1" thickBot="1" x14ac:dyDescent="0.65">
      <c r="C11" s="74" t="s">
        <v>500</v>
      </c>
      <c r="D11" s="74" t="s">
        <v>467</v>
      </c>
      <c r="E11" s="394" t="s">
        <v>145</v>
      </c>
      <c r="F11" s="395">
        <v>487.47399999999999</v>
      </c>
      <c r="G11" s="396">
        <v>530</v>
      </c>
      <c r="J11" s="62" t="s">
        <v>152</v>
      </c>
      <c r="K11" s="62" t="s">
        <v>615</v>
      </c>
      <c r="L11" s="403" t="s">
        <v>143</v>
      </c>
      <c r="M11" s="376">
        <v>1437</v>
      </c>
      <c r="N11" s="377">
        <v>1500</v>
      </c>
      <c r="P11" s="98" t="s">
        <v>142</v>
      </c>
      <c r="Q11" s="99">
        <f t="shared" ref="Q11:V11" si="16">Q9/Q7</f>
        <v>0.14574087373161468</v>
      </c>
      <c r="R11" s="99">
        <f t="shared" si="16"/>
        <v>0.15509865001165665</v>
      </c>
      <c r="S11" s="99">
        <f t="shared" si="16"/>
        <v>0.1701232401105234</v>
      </c>
      <c r="T11" s="99">
        <f t="shared" si="16"/>
        <v>0.18352504818679546</v>
      </c>
      <c r="U11" s="99">
        <f t="shared" si="16"/>
        <v>0.19054514967321509</v>
      </c>
      <c r="V11" s="99">
        <f t="shared" si="16"/>
        <v>0.19266029849228969</v>
      </c>
      <c r="W11" s="78"/>
      <c r="X11" s="62" t="s">
        <v>141</v>
      </c>
      <c r="Y11" s="85">
        <f t="shared" si="2"/>
        <v>5.17</v>
      </c>
      <c r="AA11" s="78">
        <v>0.11</v>
      </c>
      <c r="AB11" s="78"/>
      <c r="AC11" s="78"/>
      <c r="AD11" s="78"/>
      <c r="AE11" s="62" t="s">
        <v>139</v>
      </c>
      <c r="AF11" s="78">
        <v>0.17</v>
      </c>
      <c r="BD11" s="413" t="s">
        <v>626</v>
      </c>
      <c r="BE11" s="97">
        <v>78</v>
      </c>
      <c r="BF11" s="97">
        <v>72</v>
      </c>
      <c r="BG11" s="97">
        <v>69</v>
      </c>
      <c r="BH11" s="97">
        <v>50</v>
      </c>
      <c r="BI11" s="97">
        <v>61</v>
      </c>
      <c r="BJ11" s="97">
        <v>67</v>
      </c>
      <c r="BK11" s="97">
        <v>74</v>
      </c>
      <c r="BL11" s="97">
        <v>85</v>
      </c>
      <c r="BM11" s="97">
        <v>102</v>
      </c>
      <c r="BN11" s="97">
        <v>78</v>
      </c>
      <c r="BO11" s="97">
        <v>87</v>
      </c>
      <c r="BP11" s="97">
        <v>39</v>
      </c>
      <c r="CF11" s="411" t="s">
        <v>636</v>
      </c>
      <c r="CG11" s="73">
        <v>54.356999999999999</v>
      </c>
      <c r="CH11" s="73">
        <v>90.694562000000033</v>
      </c>
      <c r="CI11" s="73">
        <v>32.747287000000007</v>
      </c>
      <c r="CJ11" s="73">
        <v>12.895</v>
      </c>
      <c r="CK11" s="73">
        <v>29.147638000000001</v>
      </c>
      <c r="CL11" s="73">
        <v>39.050895000000004</v>
      </c>
      <c r="CM11" s="73">
        <v>59.522552999999988</v>
      </c>
      <c r="CN11" s="73">
        <v>40.974019000000013</v>
      </c>
      <c r="CO11" s="73">
        <v>75.383409999999998</v>
      </c>
      <c r="CP11" s="73">
        <v>58.038000000000004</v>
      </c>
      <c r="CQ11" s="73">
        <v>69.492874000000029</v>
      </c>
      <c r="CR11" s="73">
        <v>12.423999999999998</v>
      </c>
      <c r="CT11" s="411" t="s">
        <v>636</v>
      </c>
      <c r="CU11" s="87">
        <v>36</v>
      </c>
      <c r="CV11" s="87">
        <v>61</v>
      </c>
      <c r="CW11" s="87">
        <v>25</v>
      </c>
      <c r="CX11" s="87">
        <v>9</v>
      </c>
      <c r="CY11" s="87">
        <v>21</v>
      </c>
      <c r="CZ11" s="87">
        <v>27</v>
      </c>
      <c r="DA11" s="87">
        <v>39</v>
      </c>
      <c r="DB11" s="87">
        <v>29</v>
      </c>
      <c r="DC11" s="87">
        <v>52</v>
      </c>
      <c r="DD11" s="87">
        <v>40</v>
      </c>
      <c r="DE11" s="87">
        <v>46</v>
      </c>
      <c r="DF11" s="87">
        <v>8</v>
      </c>
      <c r="DH11" s="62" t="s">
        <v>126</v>
      </c>
      <c r="DI11" s="414">
        <f t="shared" ref="DI11:DT11" si="17">BS8</f>
        <v>6.0947223212399999</v>
      </c>
      <c r="DJ11" s="414">
        <f t="shared" si="17"/>
        <v>5.6940891000000002</v>
      </c>
      <c r="DK11" s="414">
        <f t="shared" si="17"/>
        <v>7.4591881999999998</v>
      </c>
      <c r="DL11" s="414">
        <f t="shared" si="17"/>
        <v>3.0391369144799998</v>
      </c>
      <c r="DM11" s="414">
        <f t="shared" si="17"/>
        <v>4.6644952656600003</v>
      </c>
      <c r="DN11" s="414">
        <f t="shared" si="17"/>
        <v>4.8701043837599993</v>
      </c>
      <c r="DO11" s="414">
        <f t="shared" si="17"/>
        <v>4.2423486771249994</v>
      </c>
      <c r="DP11" s="414">
        <f t="shared" si="17"/>
        <v>6.0114048485399998</v>
      </c>
      <c r="DQ11" s="414">
        <f t="shared" si="17"/>
        <v>7.2225150224499997</v>
      </c>
      <c r="DR11" s="414">
        <f t="shared" si="17"/>
        <v>5.7046733152499991</v>
      </c>
      <c r="DS11" s="414">
        <f t="shared" si="17"/>
        <v>5.3499111187500006</v>
      </c>
      <c r="DT11" s="414">
        <f t="shared" si="17"/>
        <v>6.2466301170000005</v>
      </c>
      <c r="DW11" s="339" t="s">
        <v>760</v>
      </c>
      <c r="DX11" s="339" t="s">
        <v>761</v>
      </c>
      <c r="DY11" s="339" t="s">
        <v>762</v>
      </c>
      <c r="DZ11" s="339" t="s">
        <v>763</v>
      </c>
      <c r="EK11" s="332" t="s">
        <v>124</v>
      </c>
      <c r="EL11" s="90"/>
      <c r="EM11" s="90">
        <f>EM10/EL10-1</f>
        <v>0.11003418609549431</v>
      </c>
      <c r="EN11" s="90">
        <f>EN10/EM10-1</f>
        <v>0.14659239886724174</v>
      </c>
      <c r="EO11" s="90">
        <f>EO10/EN10-1</f>
        <v>0.12569126004922371</v>
      </c>
      <c r="EP11" s="90">
        <f>EP10/EO10-1</f>
        <v>9.5771325438541055E-2</v>
      </c>
      <c r="ER11" s="332" t="s">
        <v>225</v>
      </c>
      <c r="ES11" s="90">
        <f>ES9/ES$7</f>
        <v>0.15333110143957149</v>
      </c>
      <c r="ET11" s="90">
        <f>ET9/ET$7</f>
        <v>0.16171116504854369</v>
      </c>
      <c r="EU11" s="90">
        <f>EU9/EU$7</f>
        <v>0.17016634851377146</v>
      </c>
      <c r="EV11" s="90">
        <f>EV9/EV$7</f>
        <v>0.1777449532250123</v>
      </c>
      <c r="EW11" s="90">
        <f>EW9/EW$7</f>
        <v>0.18228241563055061</v>
      </c>
      <c r="EY11" s="78"/>
      <c r="FD11" s="78"/>
      <c r="FE11" s="78"/>
      <c r="FF11" s="71" t="s">
        <v>482</v>
      </c>
      <c r="FG11" s="70" t="s">
        <v>483</v>
      </c>
      <c r="FH11" s="70" t="s">
        <v>484</v>
      </c>
      <c r="FI11" s="70"/>
      <c r="FJ11" s="70" t="s">
        <v>485</v>
      </c>
      <c r="FK11" s="70" t="s">
        <v>486</v>
      </c>
      <c r="FM11" s="66" t="s">
        <v>446</v>
      </c>
      <c r="FN11" s="66" t="s">
        <v>447</v>
      </c>
      <c r="FO11" s="70" t="s">
        <v>570</v>
      </c>
      <c r="FP11" s="78">
        <v>0.25</v>
      </c>
      <c r="FQ11" s="78"/>
      <c r="FS11" s="339" t="str">
        <f t="shared" ref="FS11:FS17" si="18">FS27</f>
        <v>Q4</v>
      </c>
      <c r="FT11" s="339" t="str">
        <f t="shared" si="15"/>
        <v>10/1 - 12/31</v>
      </c>
      <c r="FU11" s="341">
        <f t="shared" si="15"/>
        <v>154</v>
      </c>
      <c r="GE11" s="62">
        <f>GE28</f>
        <v>2017</v>
      </c>
      <c r="GF11" s="355" t="s">
        <v>169</v>
      </c>
      <c r="GG11" s="354">
        <f>GG28</f>
        <v>7.67</v>
      </c>
      <c r="GH11" s="355" t="s">
        <v>169</v>
      </c>
      <c r="GY11" s="75"/>
    </row>
    <row r="12" spans="1:208" ht="16.2" thickTop="1" thickBot="1" x14ac:dyDescent="0.65">
      <c r="C12" s="74" t="s">
        <v>603</v>
      </c>
      <c r="D12" s="74" t="s">
        <v>467</v>
      </c>
      <c r="E12" s="394" t="s">
        <v>139</v>
      </c>
      <c r="F12" s="395">
        <v>401.798</v>
      </c>
      <c r="G12" s="396">
        <v>182</v>
      </c>
      <c r="J12" s="62" t="s">
        <v>163</v>
      </c>
      <c r="K12" s="62" t="s">
        <v>615</v>
      </c>
      <c r="L12" s="403" t="s">
        <v>616</v>
      </c>
      <c r="M12" s="376">
        <v>381</v>
      </c>
      <c r="N12" s="62">
        <v>707</v>
      </c>
      <c r="P12" s="78"/>
      <c r="Q12" s="78"/>
      <c r="R12" s="78"/>
      <c r="S12" s="78"/>
      <c r="T12" s="78"/>
      <c r="U12" s="78"/>
      <c r="V12" s="78"/>
      <c r="W12" s="78"/>
      <c r="X12" s="62" t="s">
        <v>143</v>
      </c>
      <c r="Y12" s="85">
        <f t="shared" si="2"/>
        <v>4.7</v>
      </c>
      <c r="AA12" s="78">
        <v>0.1</v>
      </c>
      <c r="AB12" s="78"/>
      <c r="AC12" s="78"/>
      <c r="AD12" s="78"/>
      <c r="AE12" s="62" t="s">
        <v>143</v>
      </c>
      <c r="AF12" s="78">
        <v>0.13</v>
      </c>
      <c r="CF12" s="411" t="s">
        <v>637</v>
      </c>
      <c r="CG12" s="73">
        <v>136.16234299999999</v>
      </c>
      <c r="CH12" s="73">
        <v>395.33481599999999</v>
      </c>
      <c r="CI12" s="73">
        <v>90.736111999999991</v>
      </c>
      <c r="CJ12" s="73">
        <v>29.75</v>
      </c>
      <c r="CK12" s="73">
        <v>36.956148999999996</v>
      </c>
      <c r="CL12" s="73">
        <v>55.364000000000004</v>
      </c>
      <c r="CM12" s="73">
        <v>32.660400000000003</v>
      </c>
      <c r="CN12" s="73">
        <v>106.50167800000001</v>
      </c>
      <c r="CO12" s="73">
        <v>46.349999999999994</v>
      </c>
      <c r="CP12" s="73">
        <v>123.57599999999999</v>
      </c>
      <c r="CQ12" s="73">
        <v>176.68600000000004</v>
      </c>
      <c r="CR12" s="73">
        <v>11.6</v>
      </c>
      <c r="CT12" s="411" t="s">
        <v>637</v>
      </c>
      <c r="CU12" s="87">
        <v>21</v>
      </c>
      <c r="CV12" s="87">
        <v>44</v>
      </c>
      <c r="CW12" s="87">
        <v>12</v>
      </c>
      <c r="CX12" s="87">
        <v>7</v>
      </c>
      <c r="CY12" s="87">
        <v>8</v>
      </c>
      <c r="CZ12" s="87">
        <v>12</v>
      </c>
      <c r="DA12" s="87">
        <v>8</v>
      </c>
      <c r="DB12" s="87">
        <v>13</v>
      </c>
      <c r="DC12" s="87">
        <v>12</v>
      </c>
      <c r="DD12" s="87">
        <v>14</v>
      </c>
      <c r="DE12" s="87">
        <v>22</v>
      </c>
      <c r="DF12" s="87">
        <v>3</v>
      </c>
      <c r="DH12" s="62" t="s">
        <v>675</v>
      </c>
      <c r="DI12" s="414">
        <v>6</v>
      </c>
      <c r="DJ12" s="414">
        <f t="shared" ref="DJ12:DT12" si="19">DI12</f>
        <v>6</v>
      </c>
      <c r="DK12" s="414">
        <f t="shared" si="19"/>
        <v>6</v>
      </c>
      <c r="DL12" s="414">
        <f t="shared" si="19"/>
        <v>6</v>
      </c>
      <c r="DM12" s="414">
        <f t="shared" si="19"/>
        <v>6</v>
      </c>
      <c r="DN12" s="414">
        <f t="shared" si="19"/>
        <v>6</v>
      </c>
      <c r="DO12" s="414">
        <f t="shared" si="19"/>
        <v>6</v>
      </c>
      <c r="DP12" s="414">
        <f t="shared" si="19"/>
        <v>6</v>
      </c>
      <c r="DQ12" s="414">
        <f t="shared" si="19"/>
        <v>6</v>
      </c>
      <c r="DR12" s="414">
        <f t="shared" si="19"/>
        <v>6</v>
      </c>
      <c r="DS12" s="414">
        <f t="shared" si="19"/>
        <v>6</v>
      </c>
      <c r="DT12" s="414">
        <f t="shared" si="19"/>
        <v>6</v>
      </c>
      <c r="DV12" s="62" t="s">
        <v>764</v>
      </c>
      <c r="DW12" s="114">
        <v>41.722388999999971</v>
      </c>
      <c r="DX12" s="114">
        <v>47.695960999999954</v>
      </c>
      <c r="DY12" s="114">
        <v>42.792986999999975</v>
      </c>
      <c r="DZ12" s="114">
        <v>28.025749999999995</v>
      </c>
      <c r="EK12" s="332" t="s">
        <v>225</v>
      </c>
      <c r="EL12" s="90">
        <f>EL10/EL$8</f>
        <v>0.1549003378539473</v>
      </c>
      <c r="EM12" s="90">
        <f>EM10/EM$8</f>
        <v>0.15872575544512513</v>
      </c>
      <c r="EN12" s="90">
        <f>EN10/EN$8</f>
        <v>0.16628427996514955</v>
      </c>
      <c r="EO12" s="90">
        <f>EO10/EO$8</f>
        <v>0.16250520017155098</v>
      </c>
      <c r="EP12" s="90">
        <f>EP10/EP$8</f>
        <v>0.16401224831801267</v>
      </c>
      <c r="ER12" s="109" t="s">
        <v>111</v>
      </c>
      <c r="ES12" s="66">
        <v>287</v>
      </c>
      <c r="ET12" s="66">
        <v>346</v>
      </c>
      <c r="EU12" s="66">
        <v>412</v>
      </c>
      <c r="EV12" s="66">
        <v>486</v>
      </c>
      <c r="EW12" s="66">
        <v>562</v>
      </c>
      <c r="EY12" s="78"/>
      <c r="FD12" s="78"/>
      <c r="FE12" s="78"/>
      <c r="FF12" s="71" t="s">
        <v>487</v>
      </c>
      <c r="FG12" s="70" t="s">
        <v>488</v>
      </c>
      <c r="FH12" s="70" t="s">
        <v>489</v>
      </c>
      <c r="FI12" s="70"/>
      <c r="FJ12" s="70" t="s">
        <v>453</v>
      </c>
      <c r="FK12" s="70" t="s">
        <v>453</v>
      </c>
      <c r="FM12" s="66" t="s">
        <v>386</v>
      </c>
      <c r="FN12" s="66" t="s">
        <v>448</v>
      </c>
      <c r="FO12" s="70" t="s">
        <v>571</v>
      </c>
      <c r="FP12" s="78">
        <v>0.34</v>
      </c>
      <c r="FQ12" s="78"/>
      <c r="FR12" s="62">
        <f>FR28</f>
        <v>2015</v>
      </c>
      <c r="FS12" s="339" t="str">
        <f t="shared" si="18"/>
        <v>Q1</v>
      </c>
      <c r="FT12" s="339" t="str">
        <f t="shared" si="15"/>
        <v>1/1 - 3/31</v>
      </c>
      <c r="FU12" s="341">
        <f t="shared" si="15"/>
        <v>178.75</v>
      </c>
      <c r="GE12" s="91">
        <f>GE29</f>
        <v>2018</v>
      </c>
      <c r="GF12" s="356" t="s">
        <v>169</v>
      </c>
      <c r="GG12" s="357">
        <f>GG29</f>
        <v>9.14</v>
      </c>
      <c r="GH12" s="356" t="s">
        <v>169</v>
      </c>
      <c r="GY12" s="75"/>
    </row>
    <row r="13" spans="1:208" ht="16.2" thickTop="1" thickBot="1" x14ac:dyDescent="0.65">
      <c r="C13" s="74" t="s">
        <v>604</v>
      </c>
      <c r="D13" s="74" t="s">
        <v>467</v>
      </c>
      <c r="E13" s="394" t="s">
        <v>135</v>
      </c>
      <c r="F13" s="395">
        <v>309.97199999999998</v>
      </c>
      <c r="G13" s="396">
        <v>173</v>
      </c>
      <c r="J13" s="62" t="s">
        <v>158</v>
      </c>
      <c r="K13" s="62" t="s">
        <v>615</v>
      </c>
      <c r="L13" s="403" t="s">
        <v>616</v>
      </c>
      <c r="M13" s="376">
        <v>376</v>
      </c>
      <c r="N13" s="62">
        <v>185</v>
      </c>
      <c r="P13" s="78" t="s">
        <v>663</v>
      </c>
      <c r="Q13" s="78"/>
      <c r="R13" s="78"/>
      <c r="S13" s="78"/>
      <c r="T13" s="78"/>
      <c r="U13" s="78"/>
      <c r="V13" s="78"/>
      <c r="W13" s="78"/>
      <c r="X13" s="62" t="s">
        <v>144</v>
      </c>
      <c r="Y13" s="85">
        <f t="shared" si="2"/>
        <v>5.17</v>
      </c>
      <c r="AA13" s="78">
        <v>0.11</v>
      </c>
      <c r="AB13" s="78"/>
      <c r="AC13" s="78"/>
      <c r="AD13" s="78"/>
      <c r="AE13" s="62" t="s">
        <v>145</v>
      </c>
      <c r="AF13" s="78">
        <v>0.12</v>
      </c>
      <c r="CF13" s="416" t="s">
        <v>126</v>
      </c>
      <c r="CG13" s="417">
        <v>464.22686299999964</v>
      </c>
      <c r="CH13" s="417">
        <v>814.3768369999998</v>
      </c>
      <c r="CI13" s="417">
        <v>330.12819900000011</v>
      </c>
      <c r="CJ13" s="417">
        <v>143.35604699999993</v>
      </c>
      <c r="CK13" s="417">
        <v>299.0977330000004</v>
      </c>
      <c r="CL13" s="417">
        <v>345.65562399999953</v>
      </c>
      <c r="CM13" s="417">
        <v>381.88243100000102</v>
      </c>
      <c r="CN13" s="417">
        <v>447.86447899999899</v>
      </c>
      <c r="CO13" s="417">
        <v>536.67613999999912</v>
      </c>
      <c r="CP13" s="417">
        <v>563.35363299999756</v>
      </c>
      <c r="CQ13" s="417">
        <v>613.62419299999988</v>
      </c>
      <c r="CR13" s="417">
        <v>143.21842399999991</v>
      </c>
      <c r="CT13" s="416" t="s">
        <v>126</v>
      </c>
      <c r="CU13" s="407">
        <v>2864</v>
      </c>
      <c r="CV13" s="407">
        <v>3588</v>
      </c>
      <c r="CW13" s="407">
        <v>2779</v>
      </c>
      <c r="CX13" s="407">
        <v>1924</v>
      </c>
      <c r="CY13" s="407">
        <v>2811</v>
      </c>
      <c r="CZ13" s="407">
        <v>3167</v>
      </c>
      <c r="DA13" s="407">
        <v>3560</v>
      </c>
      <c r="DB13" s="407">
        <v>3469</v>
      </c>
      <c r="DC13" s="407">
        <v>4291</v>
      </c>
      <c r="DD13" s="407">
        <v>4443</v>
      </c>
      <c r="DE13" s="407">
        <v>4437</v>
      </c>
      <c r="DF13" s="407">
        <v>1223</v>
      </c>
      <c r="DV13" s="62" t="s">
        <v>388</v>
      </c>
      <c r="DW13" s="114">
        <v>11.390980594236574</v>
      </c>
      <c r="DX13" s="114">
        <v>6.7769516510000001</v>
      </c>
      <c r="DY13" s="114">
        <v>8.1900084769999992</v>
      </c>
      <c r="DZ13" s="114">
        <v>17.154715941982502</v>
      </c>
      <c r="EK13" s="109" t="s">
        <v>111</v>
      </c>
      <c r="EL13" s="66">
        <f>AVERAGE(EL28,EL35,EL42,EL50,EL57,EL64,EL71)</f>
        <v>278.48</v>
      </c>
      <c r="EM13" s="66">
        <f>AVERAGE(EM28,EM35,EM42,EM50,EM57,EM64,EM71)</f>
        <v>321.96000000000004</v>
      </c>
      <c r="EN13" s="66">
        <f>AVERAGE(EN28,EN35,EN42,EN50,EN57,EN64,EN71)</f>
        <v>380.83500000000004</v>
      </c>
      <c r="EO13" s="66">
        <f>AVERAGE(EO28,EO35,EO42,EO50,EO57,EO64,EO71)</f>
        <v>425.26499999999999</v>
      </c>
      <c r="EP13" s="66">
        <f>AVERAGE(EP28,EP35,EP42,EP50,EP57,EP64,EP71)</f>
        <v>471.68</v>
      </c>
      <c r="ER13" s="332" t="s">
        <v>124</v>
      </c>
      <c r="ES13" s="90"/>
      <c r="ET13" s="90">
        <f>ET12/ES12-1</f>
        <v>0.20557491289198615</v>
      </c>
      <c r="EU13" s="90">
        <f>EU12/ET12-1</f>
        <v>0.19075144508670516</v>
      </c>
      <c r="EV13" s="90">
        <f>EV12/EU12-1</f>
        <v>0.17961165048543681</v>
      </c>
      <c r="EW13" s="90">
        <f>EW12/EV12-1</f>
        <v>0.15637860082304522</v>
      </c>
      <c r="EY13" s="78"/>
      <c r="FD13" s="78"/>
      <c r="FE13" s="78"/>
      <c r="FF13" s="71" t="s">
        <v>490</v>
      </c>
      <c r="FG13" s="70" t="s">
        <v>491</v>
      </c>
      <c r="FH13" s="70" t="s">
        <v>492</v>
      </c>
      <c r="FI13" s="70"/>
      <c r="FJ13" s="70" t="s">
        <v>493</v>
      </c>
      <c r="FK13" s="70" t="s">
        <v>494</v>
      </c>
      <c r="FM13" s="66" t="s">
        <v>572</v>
      </c>
      <c r="FN13" s="66" t="s">
        <v>573</v>
      </c>
      <c r="FO13" s="70" t="s">
        <v>519</v>
      </c>
      <c r="FP13" s="360" t="s">
        <v>169</v>
      </c>
      <c r="FQ13" s="78"/>
      <c r="FS13" s="339" t="str">
        <f t="shared" si="18"/>
        <v>Q2</v>
      </c>
      <c r="FT13" s="339" t="str">
        <f t="shared" si="15"/>
        <v>4/1 - 6/30</v>
      </c>
      <c r="FU13" s="341">
        <f t="shared" si="15"/>
        <v>205.83333333333334</v>
      </c>
      <c r="GY13" s="75"/>
    </row>
    <row r="14" spans="1:208" ht="16.2" thickTop="1" thickBot="1" x14ac:dyDescent="0.65">
      <c r="C14" s="74" t="s">
        <v>607</v>
      </c>
      <c r="D14" s="74" t="s">
        <v>467</v>
      </c>
      <c r="E14" s="394" t="s">
        <v>143</v>
      </c>
      <c r="F14" s="397">
        <v>283.81</v>
      </c>
      <c r="G14" s="396">
        <v>172</v>
      </c>
      <c r="J14" s="62" t="s">
        <v>617</v>
      </c>
      <c r="K14" s="62" t="s">
        <v>615</v>
      </c>
      <c r="L14" s="403" t="s">
        <v>616</v>
      </c>
      <c r="M14" s="376">
        <v>352</v>
      </c>
      <c r="N14" s="62">
        <v>212</v>
      </c>
      <c r="X14" s="94" t="s">
        <v>126</v>
      </c>
      <c r="Y14" s="100">
        <v>47</v>
      </c>
      <c r="AE14" s="62" t="s">
        <v>146</v>
      </c>
      <c r="AF14" s="78">
        <v>0.11</v>
      </c>
      <c r="DH14" s="62" t="s">
        <v>778</v>
      </c>
      <c r="DU14" s="62" t="s">
        <v>119</v>
      </c>
      <c r="DV14" s="62" t="s">
        <v>765</v>
      </c>
      <c r="DW14" s="114">
        <v>39.732675999999962</v>
      </c>
      <c r="DX14" s="114">
        <v>32.040201000000003</v>
      </c>
      <c r="DY14" s="114">
        <v>41.913399999999982</v>
      </c>
      <c r="DZ14" s="114">
        <v>33.750520999999999</v>
      </c>
      <c r="EK14" s="332" t="s">
        <v>124</v>
      </c>
      <c r="EL14" s="90"/>
      <c r="EM14" s="90">
        <f>EM13/EL13-1</f>
        <v>0.15613329503016371</v>
      </c>
      <c r="EN14" s="90">
        <f>EN13/EM13-1</f>
        <v>0.18286433097279153</v>
      </c>
      <c r="EO14" s="90">
        <f>EO13/EN13-1</f>
        <v>0.1166646973098584</v>
      </c>
      <c r="EP14" s="90">
        <f>EP13/EO13-1</f>
        <v>0.10914371039234361</v>
      </c>
      <c r="ER14" s="332" t="s">
        <v>225</v>
      </c>
      <c r="ES14" s="90">
        <f>ES12/ES$7</f>
        <v>9.6083026447941075E-2</v>
      </c>
      <c r="ET14" s="90">
        <f>ET12/ET$7</f>
        <v>0.1049757281553398</v>
      </c>
      <c r="EU14" s="90">
        <f>EU12/EU$7</f>
        <v>0.11235342241614399</v>
      </c>
      <c r="EV14" s="90">
        <f>EV12/EV$7</f>
        <v>0.11964549483013294</v>
      </c>
      <c r="EW14" s="90">
        <f>EW12/EW$7</f>
        <v>0.12477797513321492</v>
      </c>
      <c r="FF14" s="71" t="s">
        <v>495</v>
      </c>
      <c r="FG14" s="70" t="s">
        <v>496</v>
      </c>
      <c r="FH14" s="70" t="s">
        <v>497</v>
      </c>
      <c r="FI14" s="70"/>
      <c r="FJ14" s="70" t="s">
        <v>498</v>
      </c>
      <c r="FK14" s="70" t="s">
        <v>499</v>
      </c>
      <c r="FM14" s="66" t="s">
        <v>449</v>
      </c>
      <c r="FN14" s="66" t="s">
        <v>450</v>
      </c>
      <c r="FO14" s="70" t="s">
        <v>473</v>
      </c>
      <c r="FP14" s="78">
        <v>0.4</v>
      </c>
      <c r="FS14" s="339" t="str">
        <f t="shared" si="18"/>
        <v>Q3</v>
      </c>
      <c r="FT14" s="339" t="str">
        <f t="shared" si="15"/>
        <v>7/1 - 9/30</v>
      </c>
      <c r="FU14" s="341">
        <f t="shared" si="15"/>
        <v>212.5</v>
      </c>
      <c r="GF14" s="341"/>
      <c r="GG14" s="354"/>
      <c r="GY14" s="75"/>
    </row>
    <row r="15" spans="1:208" ht="17.25" customHeight="1" thickTop="1" x14ac:dyDescent="0.6">
      <c r="C15" s="74" t="s">
        <v>605</v>
      </c>
      <c r="D15" s="74" t="s">
        <v>467</v>
      </c>
      <c r="E15" s="394" t="s">
        <v>143</v>
      </c>
      <c r="F15" s="397">
        <v>275.96300000000002</v>
      </c>
      <c r="G15" s="396">
        <v>204</v>
      </c>
      <c r="I15" s="96"/>
      <c r="J15" s="62" t="s">
        <v>159</v>
      </c>
      <c r="K15" s="62" t="s">
        <v>597</v>
      </c>
      <c r="L15" s="404" t="s">
        <v>616</v>
      </c>
      <c r="M15" s="376">
        <v>272</v>
      </c>
      <c r="N15" s="62">
        <v>246</v>
      </c>
      <c r="AE15" s="62" t="s">
        <v>131</v>
      </c>
      <c r="AF15" s="78">
        <v>0.04</v>
      </c>
      <c r="DH15" s="62" t="s">
        <v>775</v>
      </c>
      <c r="DV15" s="62" t="s">
        <v>766</v>
      </c>
      <c r="DW15" s="114">
        <v>92.8460455942365</v>
      </c>
      <c r="DX15" s="114">
        <v>86.513113650999955</v>
      </c>
      <c r="DY15" s="114">
        <v>92.896395476999956</v>
      </c>
      <c r="DZ15" s="114">
        <v>78.930986941982496</v>
      </c>
      <c r="EK15" s="332" t="s">
        <v>225</v>
      </c>
      <c r="EL15" s="90">
        <f>EL13/EL$8</f>
        <v>9.7845635229166963E-2</v>
      </c>
      <c r="EM15" s="90">
        <f>EM13/EM$8</f>
        <v>0.10442585725676817</v>
      </c>
      <c r="EN15" s="90">
        <f>EN13/EN$8</f>
        <v>0.11285939509604614</v>
      </c>
      <c r="EO15" s="90">
        <f>EO13/EO$8</f>
        <v>0.1094100657826525</v>
      </c>
      <c r="EP15" s="90">
        <f>EP13/EP$8</f>
        <v>0.11177229995772521</v>
      </c>
      <c r="ER15" s="109" t="s">
        <v>170</v>
      </c>
      <c r="ES15" s="66">
        <v>175</v>
      </c>
      <c r="ET15" s="66">
        <v>214</v>
      </c>
      <c r="EU15" s="66">
        <v>256</v>
      </c>
      <c r="EV15" s="66">
        <v>306</v>
      </c>
      <c r="EW15" s="66">
        <v>360</v>
      </c>
      <c r="FF15" s="71" t="s">
        <v>500</v>
      </c>
      <c r="FG15" s="70" t="s">
        <v>501</v>
      </c>
      <c r="FH15" s="70" t="s">
        <v>502</v>
      </c>
      <c r="FI15" s="70"/>
      <c r="FJ15" s="70" t="s">
        <v>453</v>
      </c>
      <c r="FK15" s="70" t="s">
        <v>453</v>
      </c>
      <c r="FM15" s="66" t="s">
        <v>446</v>
      </c>
      <c r="FN15" s="66" t="s">
        <v>451</v>
      </c>
      <c r="FO15" s="70" t="s">
        <v>549</v>
      </c>
      <c r="FP15" s="78">
        <v>0.36</v>
      </c>
      <c r="FS15" s="339" t="str">
        <f t="shared" si="18"/>
        <v>Q4</v>
      </c>
      <c r="FT15" s="339" t="str">
        <f t="shared" si="15"/>
        <v>10/1 - 12/31</v>
      </c>
      <c r="FU15" s="341">
        <f t="shared" si="15"/>
        <v>214</v>
      </c>
      <c r="GE15" s="347"/>
      <c r="GY15" s="75"/>
    </row>
    <row r="16" spans="1:208" ht="15.9" thickBot="1" x14ac:dyDescent="0.65">
      <c r="C16" s="74" t="s">
        <v>153</v>
      </c>
      <c r="D16" s="74" t="s">
        <v>467</v>
      </c>
      <c r="E16" s="394" t="s">
        <v>143</v>
      </c>
      <c r="F16" s="397">
        <v>268.47500000000002</v>
      </c>
      <c r="G16" s="396">
        <v>71</v>
      </c>
      <c r="J16" s="62" t="s">
        <v>160</v>
      </c>
      <c r="K16" s="62" t="s">
        <v>615</v>
      </c>
      <c r="L16" s="403" t="s">
        <v>616</v>
      </c>
      <c r="M16" s="376">
        <v>197</v>
      </c>
      <c r="N16" s="62">
        <v>220</v>
      </c>
      <c r="AE16" s="91" t="s">
        <v>135</v>
      </c>
      <c r="AF16" s="101">
        <v>-0.05</v>
      </c>
      <c r="EK16" s="109" t="s">
        <v>170</v>
      </c>
      <c r="EL16" s="66">
        <f>AVERAGE(EL29,EL36,EL43,EL51,EL58,EL65,EL72)</f>
        <v>169.977</v>
      </c>
      <c r="EM16" s="66">
        <f>AVERAGE(EM29,EM36,EM43,EM51,EM58,EM65,EM72)</f>
        <v>192.29642857142858</v>
      </c>
      <c r="EN16" s="66">
        <f>AVERAGE(EN29,EN36,EN43,EN51,EN58,EN65,EN72)</f>
        <v>231.66933333333336</v>
      </c>
      <c r="EO16" s="66">
        <f>AVERAGE(EO29,EO36,EO43,EO51,EO58,EO65,EO72)</f>
        <v>256.101</v>
      </c>
      <c r="EP16" s="66">
        <f>AVERAGE(EP29,EP36,EP43,EP51,EP58,EP65,EP72)</f>
        <v>285.34300000000002</v>
      </c>
      <c r="ER16" s="332" t="s">
        <v>225</v>
      </c>
      <c r="ES16" s="90">
        <f>ES15/ES$7</f>
        <v>5.858721124874456E-2</v>
      </c>
      <c r="ET16" s="90">
        <f>ET15/ET$7</f>
        <v>6.4927184466019416E-2</v>
      </c>
      <c r="EU16" s="90">
        <f>EU15/EU$7</f>
        <v>6.9811835287701116E-2</v>
      </c>
      <c r="EV16" s="90">
        <f>EV15/EV$7</f>
        <v>7.5332348596750365E-2</v>
      </c>
      <c r="EW16" s="90">
        <f>EW15/EW$7</f>
        <v>7.9928952042628773E-2</v>
      </c>
      <c r="FG16" s="70"/>
      <c r="FH16" s="70"/>
      <c r="FI16" s="70"/>
      <c r="FJ16" s="70"/>
      <c r="FK16" s="70"/>
      <c r="FM16" s="66" t="s">
        <v>446</v>
      </c>
      <c r="FN16" s="66" t="s">
        <v>574</v>
      </c>
      <c r="FO16" s="70" t="s">
        <v>575</v>
      </c>
      <c r="FP16" s="78">
        <v>0.47</v>
      </c>
      <c r="FR16" s="62">
        <f>FR32</f>
        <v>2016</v>
      </c>
      <c r="FS16" s="339" t="str">
        <f t="shared" si="18"/>
        <v>Q1</v>
      </c>
      <c r="FT16" s="339" t="str">
        <f t="shared" si="15"/>
        <v>1/1 - 3/31</v>
      </c>
      <c r="FU16" s="341">
        <f t="shared" si="15"/>
        <v>225.5</v>
      </c>
      <c r="GJ16" s="67" t="s">
        <v>429</v>
      </c>
      <c r="GK16" s="67"/>
      <c r="GL16" s="67"/>
      <c r="GM16" s="67"/>
      <c r="GN16" s="67"/>
      <c r="GO16" s="67"/>
      <c r="GP16" s="67"/>
      <c r="GY16" s="75"/>
    </row>
    <row r="17" spans="2:207" ht="16.2" thickTop="1" thickBot="1" x14ac:dyDescent="0.65">
      <c r="C17" s="74" t="s">
        <v>477</v>
      </c>
      <c r="D17" s="74" t="s">
        <v>467</v>
      </c>
      <c r="E17" s="394" t="s">
        <v>139</v>
      </c>
      <c r="F17" s="397">
        <v>91.358999999999995</v>
      </c>
      <c r="G17" s="396">
        <v>922</v>
      </c>
      <c r="I17" s="91"/>
      <c r="J17" s="91" t="s">
        <v>463</v>
      </c>
      <c r="K17" s="91" t="s">
        <v>615</v>
      </c>
      <c r="L17" s="405" t="s">
        <v>132</v>
      </c>
      <c r="M17" s="401">
        <v>185</v>
      </c>
      <c r="N17" s="91">
        <v>150</v>
      </c>
      <c r="DH17" s="62" t="s">
        <v>644</v>
      </c>
      <c r="DI17" s="62">
        <v>387</v>
      </c>
      <c r="DJ17" s="62" t="s">
        <v>643</v>
      </c>
      <c r="DK17" s="414">
        <v>6</v>
      </c>
      <c r="EK17" s="332" t="s">
        <v>225</v>
      </c>
      <c r="EL17" s="90">
        <f>EL16/EL8</f>
        <v>5.972244879110928E-2</v>
      </c>
      <c r="EM17" s="90">
        <f>EM16/EM8</f>
        <v>6.2370230466475073E-2</v>
      </c>
      <c r="EN17" s="90">
        <f>EN16/EN8</f>
        <v>6.8654563846033786E-2</v>
      </c>
      <c r="EO17" s="90">
        <f>EO16/EO8</f>
        <v>6.5888392548183114E-2</v>
      </c>
      <c r="EP17" s="90">
        <f>EP16/EP8</f>
        <v>6.761669646123894E-2</v>
      </c>
      <c r="ER17" s="96" t="s">
        <v>172</v>
      </c>
      <c r="FF17" s="69" t="s">
        <v>503</v>
      </c>
      <c r="FG17" s="70"/>
      <c r="FH17" s="70"/>
      <c r="FI17" s="70"/>
      <c r="FJ17" s="70"/>
      <c r="FK17" s="70"/>
      <c r="FM17" s="66" t="s">
        <v>438</v>
      </c>
      <c r="FN17" s="66" t="s">
        <v>576</v>
      </c>
      <c r="FO17" s="70" t="s">
        <v>577</v>
      </c>
      <c r="FP17" s="360" t="s">
        <v>169</v>
      </c>
      <c r="FS17" s="339" t="str">
        <f t="shared" si="18"/>
        <v>Q2</v>
      </c>
      <c r="FT17" s="339" t="str">
        <f t="shared" si="15"/>
        <v>4/1 - 6/30</v>
      </c>
      <c r="FU17" s="341">
        <f t="shared" si="15"/>
        <v>227</v>
      </c>
      <c r="GJ17" s="68"/>
      <c r="GK17" s="343">
        <v>2011</v>
      </c>
      <c r="GL17" s="343">
        <f>GK17+1</f>
        <v>2012</v>
      </c>
      <c r="GM17" s="343">
        <f>GL17+1</f>
        <v>2013</v>
      </c>
      <c r="GN17" s="343">
        <f>GM17+1</f>
        <v>2014</v>
      </c>
      <c r="GO17" s="343">
        <f>GN17+1</f>
        <v>2015</v>
      </c>
      <c r="GP17" s="343">
        <f>GO17+1</f>
        <v>2016</v>
      </c>
      <c r="GY17" s="75"/>
    </row>
    <row r="18" spans="2:207" ht="15.9" thickTop="1" x14ac:dyDescent="0.6">
      <c r="C18" s="74" t="s">
        <v>495</v>
      </c>
      <c r="D18" s="74" t="s">
        <v>467</v>
      </c>
      <c r="E18" s="394" t="s">
        <v>131</v>
      </c>
      <c r="F18" s="397">
        <v>18</v>
      </c>
      <c r="G18" s="398" t="s">
        <v>169</v>
      </c>
      <c r="I18" s="102" t="s">
        <v>162</v>
      </c>
      <c r="DH18" s="62" t="s">
        <v>642</v>
      </c>
      <c r="EK18" s="96" t="s">
        <v>172</v>
      </c>
      <c r="ER18" s="109" t="s">
        <v>168</v>
      </c>
      <c r="ES18" s="66">
        <v>187</v>
      </c>
      <c r="ET18" s="66">
        <v>200</v>
      </c>
      <c r="EU18" s="66">
        <v>240</v>
      </c>
      <c r="EV18" s="66">
        <v>255</v>
      </c>
      <c r="EW18" s="66">
        <v>258</v>
      </c>
      <c r="FF18" s="71" t="s">
        <v>504</v>
      </c>
      <c r="FG18" s="70" t="s">
        <v>505</v>
      </c>
      <c r="FH18" s="70" t="s">
        <v>506</v>
      </c>
      <c r="FI18" s="70"/>
      <c r="FJ18" s="70" t="s">
        <v>507</v>
      </c>
      <c r="FK18" s="70" t="s">
        <v>508</v>
      </c>
      <c r="FM18" s="66" t="s">
        <v>578</v>
      </c>
      <c r="FN18" s="66" t="s">
        <v>452</v>
      </c>
      <c r="FO18" s="70" t="s">
        <v>579</v>
      </c>
      <c r="FP18" s="78">
        <v>0.47</v>
      </c>
      <c r="FS18" s="339" t="str">
        <f t="shared" ref="FS18:FU20" si="20">FS34</f>
        <v>Q3</v>
      </c>
      <c r="FT18" s="339" t="str">
        <f t="shared" si="20"/>
        <v>7/1 - 9/30</v>
      </c>
      <c r="FU18" s="341">
        <f t="shared" si="20"/>
        <v>248.33333333333334</v>
      </c>
      <c r="GJ18" s="66" t="s">
        <v>22</v>
      </c>
      <c r="GK18" s="73">
        <v>135.952</v>
      </c>
      <c r="GL18" s="73">
        <v>173.44800000000001</v>
      </c>
      <c r="GM18" s="73">
        <v>196.16900000000001</v>
      </c>
      <c r="GN18" s="73">
        <v>179.29300000000001</v>
      </c>
      <c r="GO18" s="73">
        <v>149.32499999999999</v>
      </c>
      <c r="GP18" s="73">
        <v>145.24100000000001</v>
      </c>
      <c r="GY18" s="75"/>
    </row>
    <row r="19" spans="2:207" ht="15.9" thickBot="1" x14ac:dyDescent="0.65">
      <c r="B19" s="96" t="s">
        <v>664</v>
      </c>
      <c r="C19" s="74"/>
      <c r="D19" s="74"/>
      <c r="E19" s="394"/>
      <c r="F19" s="398"/>
      <c r="G19" s="398"/>
      <c r="DI19" s="82">
        <v>2006</v>
      </c>
      <c r="DJ19" s="82">
        <v>2007</v>
      </c>
      <c r="DK19" s="82">
        <v>2008</v>
      </c>
      <c r="DL19" s="82">
        <v>2009</v>
      </c>
      <c r="DM19" s="82">
        <v>2010</v>
      </c>
      <c r="DN19" s="82">
        <v>2011</v>
      </c>
      <c r="DO19" s="82">
        <v>2012</v>
      </c>
      <c r="DP19" s="82">
        <v>2013</v>
      </c>
      <c r="DQ19" s="82">
        <v>2014</v>
      </c>
      <c r="DR19" s="82">
        <v>2015</v>
      </c>
      <c r="DS19" s="82">
        <v>2016</v>
      </c>
      <c r="DT19" s="82" t="s">
        <v>641</v>
      </c>
      <c r="EK19" s="109" t="s">
        <v>168</v>
      </c>
      <c r="EL19" s="66">
        <f>AVERAGE(EL30,EL37,EL44,EL52,EL59,EL66,EL73)</f>
        <v>210.89374999999998</v>
      </c>
      <c r="EM19" s="66">
        <f>AVERAGE(EM30,EM37,EM44,EM52,EM59,EM66,EM73)</f>
        <v>199.7715</v>
      </c>
      <c r="EN19" s="66">
        <f>AVERAGE(EN30,EN37,EN44,EN52,EN59,EN66,EN73)</f>
        <v>195.88400000000001</v>
      </c>
      <c r="EO19" s="66">
        <f>AVERAGE(EO30,EO37,EO44,EO52,EO59,EO66,EO73)</f>
        <v>196.364</v>
      </c>
      <c r="EP19" s="66">
        <f>AVERAGE(EP30,EP37,EP44,EP52,EP59,EP66,EP73)</f>
        <v>192.70400000000001</v>
      </c>
      <c r="ER19" s="333" t="s">
        <v>225</v>
      </c>
      <c r="ES19" s="99">
        <f>ES18/ES$7</f>
        <v>6.2604620020087043E-2</v>
      </c>
      <c r="ET19" s="99">
        <f>ET18/ET$7</f>
        <v>6.0679611650485438E-2</v>
      </c>
      <c r="EU19" s="99">
        <f>EU18/EU$7</f>
        <v>6.5448595582219798E-2</v>
      </c>
      <c r="EV19" s="99">
        <f>EV18/EV$7</f>
        <v>6.2776957163958647E-2</v>
      </c>
      <c r="EW19" s="99">
        <f>EW18/EW$7</f>
        <v>5.7282415630550622E-2</v>
      </c>
      <c r="FF19" s="71" t="s">
        <v>509</v>
      </c>
      <c r="FG19" s="70" t="s">
        <v>510</v>
      </c>
      <c r="FH19" s="70" t="s">
        <v>511</v>
      </c>
      <c r="FI19" s="70"/>
      <c r="FJ19" s="70" t="s">
        <v>512</v>
      </c>
      <c r="FK19" s="70" t="s">
        <v>513</v>
      </c>
      <c r="FM19" s="66" t="s">
        <v>580</v>
      </c>
      <c r="FN19" s="66" t="s">
        <v>581</v>
      </c>
      <c r="FO19" s="70" t="s">
        <v>556</v>
      </c>
      <c r="FP19" s="360" t="s">
        <v>169</v>
      </c>
      <c r="FS19" s="339" t="str">
        <f t="shared" si="20"/>
        <v>Q4</v>
      </c>
      <c r="FT19" s="339" t="str">
        <f t="shared" si="20"/>
        <v>10/1 - 12/31</v>
      </c>
      <c r="FU19" s="341">
        <f t="shared" si="20"/>
        <v>231.5</v>
      </c>
      <c r="GJ19" s="66" t="s">
        <v>424</v>
      </c>
      <c r="GY19" s="75"/>
    </row>
    <row r="20" spans="2:207" ht="16.2" thickTop="1" thickBot="1" x14ac:dyDescent="0.65">
      <c r="C20" s="74" t="s">
        <v>509</v>
      </c>
      <c r="D20" s="74" t="s">
        <v>597</v>
      </c>
      <c r="E20" s="394" t="s">
        <v>143</v>
      </c>
      <c r="F20" s="395">
        <v>24621.9</v>
      </c>
      <c r="G20" s="396">
        <v>14155</v>
      </c>
      <c r="DH20" s="409" t="s">
        <v>640</v>
      </c>
      <c r="DI20" s="418">
        <v>236</v>
      </c>
      <c r="DJ20" s="418">
        <v>259</v>
      </c>
      <c r="DK20" s="418">
        <v>215</v>
      </c>
      <c r="DL20" s="418">
        <v>204</v>
      </c>
      <c r="DM20" s="418">
        <v>224</v>
      </c>
      <c r="DN20" s="418">
        <v>246</v>
      </c>
      <c r="DO20" s="418">
        <v>236</v>
      </c>
      <c r="DP20" s="418">
        <v>255</v>
      </c>
      <c r="DQ20" s="418">
        <v>269</v>
      </c>
      <c r="DR20" s="418">
        <v>270</v>
      </c>
      <c r="DS20" s="418">
        <v>270</v>
      </c>
      <c r="DT20" s="418">
        <v>284</v>
      </c>
      <c r="EK20" s="333" t="s">
        <v>225</v>
      </c>
      <c r="EL20" s="99">
        <f>EL19/EL$8</f>
        <v>7.4098796806273806E-2</v>
      </c>
      <c r="EM20" s="99">
        <f>EM19/EM$8</f>
        <v>6.4794726496988628E-2</v>
      </c>
      <c r="EN20" s="99">
        <f>EN19/EN$8</f>
        <v>5.8049679648650737E-2</v>
      </c>
      <c r="EO20" s="99">
        <f>EO19/EO$8</f>
        <v>5.0519554060044387E-2</v>
      </c>
      <c r="EP20" s="99">
        <f>EP19/EP$8</f>
        <v>4.566436840878027E-2</v>
      </c>
      <c r="FF20" s="71" t="s">
        <v>386</v>
      </c>
      <c r="FG20" s="70" t="s">
        <v>473</v>
      </c>
      <c r="FH20" s="70" t="s">
        <v>514</v>
      </c>
      <c r="FI20" s="70"/>
      <c r="FJ20" s="70" t="s">
        <v>515</v>
      </c>
      <c r="FK20" s="70" t="s">
        <v>516</v>
      </c>
      <c r="FM20" s="111" t="s">
        <v>582</v>
      </c>
      <c r="FN20" s="111" t="s">
        <v>583</v>
      </c>
      <c r="FO20" s="379" t="s">
        <v>584</v>
      </c>
      <c r="FP20" s="101">
        <v>0.28999999999999998</v>
      </c>
      <c r="FR20" s="91">
        <f>FR36</f>
        <v>2017</v>
      </c>
      <c r="FS20" s="344" t="str">
        <f t="shared" si="20"/>
        <v>Q1</v>
      </c>
      <c r="FT20" s="344" t="str">
        <f t="shared" si="20"/>
        <v>1/1 - 3/31</v>
      </c>
      <c r="FU20" s="345">
        <f t="shared" si="20"/>
        <v>249.83333333333334</v>
      </c>
      <c r="FV20" s="338"/>
      <c r="FW20" s="338"/>
      <c r="FX20" s="338"/>
      <c r="GD20" s="105"/>
      <c r="GE20" s="105"/>
      <c r="GF20" s="105"/>
      <c r="GG20" s="105"/>
      <c r="GH20" s="105"/>
      <c r="GI20" s="105"/>
      <c r="GJ20" s="71" t="s">
        <v>423</v>
      </c>
      <c r="GK20" s="66">
        <v>0</v>
      </c>
      <c r="GL20" s="66">
        <v>0</v>
      </c>
      <c r="GM20" s="66">
        <v>0</v>
      </c>
      <c r="GN20" s="66">
        <v>0</v>
      </c>
      <c r="GO20" s="66">
        <v>17.108000000000001</v>
      </c>
      <c r="GP20" s="66">
        <f>(9072)/1000</f>
        <v>9.0719999999999992</v>
      </c>
      <c r="GY20" s="75"/>
    </row>
    <row r="21" spans="2:207" ht="15.9" thickTop="1" x14ac:dyDescent="0.6">
      <c r="C21" s="74" t="s">
        <v>386</v>
      </c>
      <c r="D21" s="74" t="s">
        <v>597</v>
      </c>
      <c r="E21" s="394" t="s">
        <v>462</v>
      </c>
      <c r="F21" s="395">
        <v>21315.9</v>
      </c>
      <c r="G21" s="396">
        <v>13172</v>
      </c>
      <c r="DH21" s="409" t="s">
        <v>639</v>
      </c>
      <c r="DI21" s="418">
        <v>43</v>
      </c>
      <c r="DJ21" s="418">
        <v>48</v>
      </c>
      <c r="DK21" s="418">
        <v>11</v>
      </c>
      <c r="DL21" s="418">
        <v>12</v>
      </c>
      <c r="DM21" s="418">
        <v>4</v>
      </c>
      <c r="DN21" s="418">
        <v>17</v>
      </c>
      <c r="DO21" s="418">
        <v>48</v>
      </c>
      <c r="DP21" s="418">
        <v>53</v>
      </c>
      <c r="DQ21" s="418">
        <v>78</v>
      </c>
      <c r="DR21" s="418">
        <v>62</v>
      </c>
      <c r="DS21" s="418">
        <v>58</v>
      </c>
      <c r="DT21" s="418">
        <v>68</v>
      </c>
      <c r="ES21" s="87"/>
      <c r="ET21" s="87"/>
      <c r="EU21" s="87"/>
      <c r="EV21" s="87"/>
      <c r="EW21" s="87"/>
      <c r="FF21" s="71" t="s">
        <v>517</v>
      </c>
      <c r="FG21" s="70" t="s">
        <v>518</v>
      </c>
      <c r="FH21" s="70" t="s">
        <v>519</v>
      </c>
      <c r="FI21" s="70"/>
      <c r="FJ21" s="70" t="s">
        <v>520</v>
      </c>
      <c r="FK21" s="70" t="s">
        <v>521</v>
      </c>
      <c r="FS21" s="105"/>
      <c r="FT21" s="105"/>
      <c r="FU21" s="105"/>
      <c r="FV21" s="105"/>
      <c r="FW21" s="105"/>
      <c r="FX21" s="105"/>
      <c r="FZ21" s="105"/>
      <c r="GA21" s="105"/>
      <c r="GB21" s="105"/>
      <c r="GC21" s="105"/>
      <c r="GJ21" s="71" t="s">
        <v>425</v>
      </c>
      <c r="GK21" s="66">
        <v>-0.46600000000000003</v>
      </c>
      <c r="GL21" s="66">
        <v>-1.208</v>
      </c>
      <c r="GM21" s="66">
        <v>-4.0170000000000003</v>
      </c>
      <c r="GN21" s="66">
        <v>-3.1749999999999998</v>
      </c>
      <c r="GO21" s="66">
        <v>1.1919999999999999</v>
      </c>
      <c r="GP21" s="66">
        <v>1.38</v>
      </c>
      <c r="GY21" s="75"/>
    </row>
    <row r="22" spans="2:207" ht="18" x14ac:dyDescent="0.6">
      <c r="C22" s="74" t="s">
        <v>598</v>
      </c>
      <c r="D22" s="74" t="s">
        <v>597</v>
      </c>
      <c r="E22" s="394" t="s">
        <v>139</v>
      </c>
      <c r="F22" s="395">
        <v>3232</v>
      </c>
      <c r="G22" s="396">
        <v>4167</v>
      </c>
      <c r="DH22" s="409" t="s">
        <v>638</v>
      </c>
      <c r="DI22" s="418">
        <v>18</v>
      </c>
      <c r="DJ22" s="418">
        <v>41</v>
      </c>
      <c r="DK22" s="418">
        <v>38</v>
      </c>
      <c r="DL22" s="418">
        <v>16</v>
      </c>
      <c r="DM22" s="418">
        <v>48</v>
      </c>
      <c r="DN22" s="418">
        <v>59</v>
      </c>
      <c r="DO22" s="418">
        <v>41</v>
      </c>
      <c r="DP22" s="418">
        <v>29</v>
      </c>
      <c r="DQ22" s="418">
        <v>25</v>
      </c>
      <c r="DR22" s="418">
        <v>28</v>
      </c>
      <c r="DS22" s="418">
        <v>15</v>
      </c>
      <c r="DT22" s="418">
        <v>17</v>
      </c>
      <c r="EL22" s="66"/>
      <c r="EM22" s="66"/>
      <c r="EN22" s="66"/>
      <c r="EO22" s="66"/>
      <c r="EP22" s="66"/>
      <c r="ER22" s="88"/>
      <c r="ES22" s="90"/>
      <c r="ET22" s="90"/>
      <c r="EU22" s="90"/>
      <c r="EV22" s="90"/>
      <c r="EW22" s="90"/>
      <c r="FF22" s="71" t="s">
        <v>564</v>
      </c>
      <c r="FG22" s="70" t="s">
        <v>522</v>
      </c>
      <c r="FH22" s="70" t="s">
        <v>523</v>
      </c>
      <c r="FI22" s="70"/>
      <c r="FJ22" s="70" t="s">
        <v>508</v>
      </c>
      <c r="FK22" s="70" t="s">
        <v>524</v>
      </c>
      <c r="GE22" s="62" t="s">
        <v>418</v>
      </c>
      <c r="GF22" s="339"/>
      <c r="GG22" s="341"/>
      <c r="GH22" s="349"/>
      <c r="GI22" s="349"/>
      <c r="GJ22" s="66" t="s">
        <v>422</v>
      </c>
      <c r="GK22" s="66">
        <v>83.950999999999993</v>
      </c>
      <c r="GL22" s="66">
        <v>109.548</v>
      </c>
      <c r="GM22" s="66">
        <v>116.551</v>
      </c>
      <c r="GN22" s="66">
        <v>98.001000000000005</v>
      </c>
      <c r="GO22" s="66">
        <v>87.247</v>
      </c>
      <c r="GP22" s="66">
        <v>84.257999999999996</v>
      </c>
      <c r="GY22" s="75"/>
    </row>
    <row r="23" spans="2:207" x14ac:dyDescent="0.6">
      <c r="C23" s="74" t="s">
        <v>450</v>
      </c>
      <c r="D23" s="74" t="s">
        <v>597</v>
      </c>
      <c r="E23" s="394" t="s">
        <v>462</v>
      </c>
      <c r="F23" s="395">
        <v>3001.4</v>
      </c>
      <c r="G23" s="396">
        <v>683</v>
      </c>
      <c r="DH23" s="409" t="s">
        <v>197</v>
      </c>
      <c r="DI23" s="418">
        <v>46</v>
      </c>
      <c r="DJ23" s="418">
        <v>49</v>
      </c>
      <c r="DK23" s="418">
        <v>45</v>
      </c>
      <c r="DL23" s="418">
        <v>18</v>
      </c>
      <c r="DM23" s="418">
        <v>22</v>
      </c>
      <c r="DN23" s="418">
        <v>13</v>
      </c>
      <c r="DO23" s="418">
        <v>10</v>
      </c>
      <c r="DP23" s="418">
        <v>18</v>
      </c>
      <c r="DQ23" s="418">
        <v>0</v>
      </c>
      <c r="DR23" s="418">
        <v>0</v>
      </c>
      <c r="DS23" s="418">
        <v>0</v>
      </c>
      <c r="DT23" s="418">
        <v>0</v>
      </c>
      <c r="EK23" s="88"/>
      <c r="EL23" s="90"/>
      <c r="EM23" s="90"/>
      <c r="EN23" s="90"/>
      <c r="EO23" s="90"/>
      <c r="EP23" s="90"/>
      <c r="FG23" s="70"/>
      <c r="FH23" s="70"/>
      <c r="FI23" s="70"/>
      <c r="FJ23" s="70"/>
      <c r="FK23" s="70"/>
      <c r="FR23" s="343"/>
      <c r="FS23" s="343"/>
      <c r="FT23" s="343"/>
      <c r="FU23" s="82" t="s">
        <v>412</v>
      </c>
      <c r="FV23" s="82" t="s">
        <v>167</v>
      </c>
      <c r="FW23" s="82" t="s">
        <v>166</v>
      </c>
      <c r="FX23" s="82" t="s">
        <v>411</v>
      </c>
      <c r="FY23" s="82" t="s">
        <v>164</v>
      </c>
      <c r="FZ23" s="82" t="s">
        <v>203</v>
      </c>
      <c r="GA23" s="82" t="s">
        <v>165</v>
      </c>
      <c r="GB23" s="82" t="s">
        <v>171</v>
      </c>
      <c r="GC23" s="82" t="s">
        <v>204</v>
      </c>
      <c r="GE23" s="347">
        <v>2012</v>
      </c>
      <c r="GF23" s="350">
        <v>5.89</v>
      </c>
      <c r="GG23" s="354"/>
      <c r="GJ23" s="66" t="s">
        <v>18</v>
      </c>
      <c r="GK23" s="66">
        <v>0.82199999999999995</v>
      </c>
      <c r="GL23" s="66">
        <v>1.0820000000000001</v>
      </c>
      <c r="GM23" s="66">
        <v>1.0529999999999999</v>
      </c>
      <c r="GN23" s="66">
        <v>1.8240000000000001</v>
      </c>
      <c r="GO23" s="66">
        <v>3.83</v>
      </c>
      <c r="GP23" s="66">
        <v>8.8840000000000003</v>
      </c>
      <c r="GY23" s="75"/>
    </row>
    <row r="24" spans="2:207" x14ac:dyDescent="0.6">
      <c r="C24" s="74" t="s">
        <v>504</v>
      </c>
      <c r="D24" s="74" t="s">
        <v>597</v>
      </c>
      <c r="E24" s="394" t="s">
        <v>132</v>
      </c>
      <c r="F24" s="397">
        <v>2216.5279999999998</v>
      </c>
      <c r="G24" s="396">
        <v>5371</v>
      </c>
      <c r="EB24" s="337"/>
      <c r="EK24" s="88"/>
      <c r="EL24" s="113"/>
      <c r="EM24" s="113"/>
      <c r="EN24" s="113"/>
      <c r="EO24" s="422"/>
      <c r="EP24" s="89"/>
      <c r="FF24" s="69" t="s">
        <v>525</v>
      </c>
      <c r="FG24" s="70"/>
      <c r="FH24" s="70"/>
      <c r="FI24" s="70"/>
      <c r="FJ24" s="70"/>
      <c r="FK24" s="70"/>
      <c r="FR24" s="62">
        <v>2014</v>
      </c>
      <c r="FS24" s="105" t="s">
        <v>403</v>
      </c>
      <c r="FT24" s="339" t="s">
        <v>407</v>
      </c>
      <c r="FU24" s="341">
        <f t="shared" ref="FU24:FU36" si="21">AVERAGE(FV24:GB24)</f>
        <v>178.33333333333334</v>
      </c>
      <c r="FV24" s="341">
        <v>160</v>
      </c>
      <c r="FW24" s="341"/>
      <c r="FX24" s="341">
        <v>175</v>
      </c>
      <c r="FY24" s="341"/>
      <c r="FZ24" s="353"/>
      <c r="GA24" s="353"/>
      <c r="GB24" s="341">
        <f>(195+205)/2</f>
        <v>200</v>
      </c>
      <c r="GC24" s="341"/>
      <c r="GE24" s="347">
        <f t="shared" ref="GE24:GE29" si="22">GE23+1</f>
        <v>2013</v>
      </c>
      <c r="GF24" s="339">
        <v>6.68</v>
      </c>
      <c r="GG24" s="354">
        <v>6.66</v>
      </c>
      <c r="GJ24" s="66" t="s">
        <v>377</v>
      </c>
      <c r="GK24" s="66">
        <v>79.899000000000001</v>
      </c>
      <c r="GL24" s="66">
        <v>90.938999999999993</v>
      </c>
      <c r="GM24" s="66">
        <v>106.523</v>
      </c>
      <c r="GN24" s="66">
        <v>124.10899999999999</v>
      </c>
      <c r="GO24" s="66">
        <v>135.398</v>
      </c>
      <c r="GP24" s="66">
        <v>154.35499999999999</v>
      </c>
      <c r="GY24" s="75"/>
    </row>
    <row r="25" spans="2:207" x14ac:dyDescent="0.6">
      <c r="C25" s="74" t="s">
        <v>155</v>
      </c>
      <c r="D25" s="74" t="s">
        <v>597</v>
      </c>
      <c r="E25" s="394" t="s">
        <v>135</v>
      </c>
      <c r="F25" s="395">
        <v>2025</v>
      </c>
      <c r="G25" s="396">
        <v>6278</v>
      </c>
      <c r="EK25" s="81" t="s">
        <v>167</v>
      </c>
      <c r="EL25" s="110">
        <v>2017</v>
      </c>
      <c r="EM25" s="110">
        <f>EL25+1</f>
        <v>2018</v>
      </c>
      <c r="EN25" s="110">
        <f>EM25+1</f>
        <v>2019</v>
      </c>
      <c r="EO25" s="110">
        <f>EN25+1</f>
        <v>2020</v>
      </c>
      <c r="EP25" s="110">
        <f>EO25+1</f>
        <v>2021</v>
      </c>
      <c r="FF25" s="71" t="s">
        <v>526</v>
      </c>
      <c r="FG25" s="70" t="s">
        <v>519</v>
      </c>
      <c r="FH25" s="70" t="s">
        <v>527</v>
      </c>
      <c r="FI25" s="70"/>
      <c r="FJ25" s="70" t="s">
        <v>528</v>
      </c>
      <c r="FK25" s="70" t="s">
        <v>529</v>
      </c>
      <c r="FR25" s="96"/>
      <c r="FS25" s="105" t="s">
        <v>404</v>
      </c>
      <c r="FT25" s="339" t="s">
        <v>408</v>
      </c>
      <c r="FU25" s="351">
        <f t="shared" si="21"/>
        <v>186</v>
      </c>
      <c r="FV25" s="62">
        <v>174</v>
      </c>
      <c r="FX25" s="62">
        <v>165</v>
      </c>
      <c r="FZ25" s="105"/>
      <c r="GA25" s="62">
        <v>200</v>
      </c>
      <c r="GB25" s="62">
        <f>(200+210)/2</f>
        <v>205</v>
      </c>
      <c r="GE25" s="347">
        <f t="shared" si="22"/>
        <v>2014</v>
      </c>
      <c r="GF25" s="339">
        <v>6.53</v>
      </c>
      <c r="GG25" s="354">
        <v>6.51</v>
      </c>
      <c r="GJ25" s="72" t="s">
        <v>110</v>
      </c>
      <c r="GK25" s="72">
        <f>SUM(GK18:GK24)</f>
        <v>300.15800000000002</v>
      </c>
      <c r="GL25" s="72">
        <f>SUM(GL18:GL24)</f>
        <v>373.80899999999997</v>
      </c>
      <c r="GM25" s="72">
        <f>SUM(GM18:GM24)</f>
        <v>416.279</v>
      </c>
      <c r="GN25" s="72">
        <f>(SUM(GN18:GN24))</f>
        <v>400.05200000000002</v>
      </c>
      <c r="GO25" s="72">
        <f>(SUM(GO18:GO24))</f>
        <v>394.1</v>
      </c>
      <c r="GP25" s="72">
        <f>(SUM(GP18:GP24))</f>
        <v>403.19000000000005</v>
      </c>
      <c r="GY25" s="75"/>
    </row>
    <row r="26" spans="2:207" x14ac:dyDescent="0.6">
      <c r="C26" s="74" t="s">
        <v>464</v>
      </c>
      <c r="D26" s="74" t="s">
        <v>597</v>
      </c>
      <c r="E26" s="394" t="s">
        <v>143</v>
      </c>
      <c r="F26" s="395">
        <v>1144.4000000000001</v>
      </c>
      <c r="G26" s="396">
        <v>7161</v>
      </c>
      <c r="EK26" s="62" t="s">
        <v>107</v>
      </c>
      <c r="EL26" s="66">
        <v>2931</v>
      </c>
      <c r="EM26" s="66">
        <v>3156</v>
      </c>
      <c r="EN26" s="66">
        <v>3391</v>
      </c>
      <c r="EO26" s="112" t="s">
        <v>169</v>
      </c>
      <c r="EP26" s="105" t="s">
        <v>169</v>
      </c>
      <c r="FF26" s="71" t="s">
        <v>156</v>
      </c>
      <c r="FG26" s="70" t="s">
        <v>530</v>
      </c>
      <c r="FH26" s="70" t="s">
        <v>511</v>
      </c>
      <c r="FI26" s="70"/>
      <c r="FJ26" s="70" t="s">
        <v>531</v>
      </c>
      <c r="FK26" s="70" t="s">
        <v>532</v>
      </c>
      <c r="FR26" s="96"/>
      <c r="FS26" s="105" t="s">
        <v>405</v>
      </c>
      <c r="FT26" s="339" t="s">
        <v>409</v>
      </c>
      <c r="FU26" s="351">
        <f t="shared" si="21"/>
        <v>167</v>
      </c>
      <c r="FV26" s="62">
        <v>175</v>
      </c>
      <c r="FX26" s="62">
        <v>160</v>
      </c>
      <c r="FZ26" s="62">
        <v>135</v>
      </c>
      <c r="GA26" s="62">
        <v>180</v>
      </c>
      <c r="GB26" s="62">
        <f>(180+190)/2</f>
        <v>185</v>
      </c>
      <c r="GE26" s="347">
        <f t="shared" si="22"/>
        <v>2015</v>
      </c>
      <c r="GF26" s="339">
        <v>6.21</v>
      </c>
      <c r="GG26" s="354">
        <v>6.12</v>
      </c>
    </row>
    <row r="27" spans="2:207" x14ac:dyDescent="0.6">
      <c r="C27" s="74" t="s">
        <v>599</v>
      </c>
      <c r="D27" s="74" t="s">
        <v>597</v>
      </c>
      <c r="E27" s="394" t="s">
        <v>132</v>
      </c>
      <c r="F27" s="395">
        <v>1111</v>
      </c>
      <c r="G27" s="396">
        <v>7689</v>
      </c>
      <c r="EC27" s="62" t="s">
        <v>391</v>
      </c>
      <c r="EK27" s="62" t="s">
        <v>110</v>
      </c>
      <c r="EL27" s="66">
        <v>441</v>
      </c>
      <c r="EM27" s="66">
        <v>498</v>
      </c>
      <c r="EN27" s="66">
        <v>553</v>
      </c>
      <c r="EO27" s="112" t="s">
        <v>169</v>
      </c>
      <c r="EP27" s="105" t="s">
        <v>169</v>
      </c>
      <c r="FF27" s="71" t="s">
        <v>533</v>
      </c>
      <c r="FG27" s="70" t="s">
        <v>534</v>
      </c>
      <c r="FH27" s="70" t="s">
        <v>535</v>
      </c>
      <c r="FI27" s="70"/>
      <c r="FJ27" s="70" t="s">
        <v>536</v>
      </c>
      <c r="FK27" s="70" t="s">
        <v>537</v>
      </c>
      <c r="FR27" s="96"/>
      <c r="FS27" s="105" t="s">
        <v>406</v>
      </c>
      <c r="FT27" s="339" t="s">
        <v>410</v>
      </c>
      <c r="FU27" s="351">
        <f t="shared" si="21"/>
        <v>154</v>
      </c>
      <c r="FV27" s="62">
        <v>183</v>
      </c>
      <c r="FX27" s="340"/>
      <c r="FZ27" s="62">
        <v>125</v>
      </c>
      <c r="GA27" s="340"/>
      <c r="GB27" s="340"/>
      <c r="GE27" s="347">
        <f t="shared" si="22"/>
        <v>2016</v>
      </c>
      <c r="GF27" s="339">
        <v>6.74</v>
      </c>
      <c r="GG27" s="354">
        <v>6.7</v>
      </c>
      <c r="GJ27" s="69" t="s">
        <v>427</v>
      </c>
      <c r="GR27" s="349"/>
      <c r="GS27" s="349"/>
      <c r="GT27" s="349"/>
      <c r="GU27" s="349"/>
      <c r="GV27" s="349"/>
      <c r="GW27" s="349"/>
    </row>
    <row r="28" spans="2:207" x14ac:dyDescent="0.6">
      <c r="C28" s="74" t="s">
        <v>482</v>
      </c>
      <c r="D28" s="74" t="s">
        <v>597</v>
      </c>
      <c r="E28" s="394" t="s">
        <v>146</v>
      </c>
      <c r="F28" s="397">
        <v>407.13099999999997</v>
      </c>
      <c r="G28" s="396">
        <v>454</v>
      </c>
      <c r="EB28" s="62" t="s">
        <v>389</v>
      </c>
      <c r="EC28" s="62" t="s">
        <v>392</v>
      </c>
      <c r="ED28" s="62" t="s">
        <v>393</v>
      </c>
      <c r="EE28" s="62" t="s">
        <v>390</v>
      </c>
      <c r="EF28" s="62" t="s">
        <v>393</v>
      </c>
      <c r="EG28" s="62" t="s">
        <v>401</v>
      </c>
      <c r="EH28" s="62" t="s">
        <v>395</v>
      </c>
      <c r="EK28" s="62" t="s">
        <v>111</v>
      </c>
      <c r="EL28" s="66">
        <v>281</v>
      </c>
      <c r="EM28" s="66">
        <v>333</v>
      </c>
      <c r="EN28" s="66">
        <v>381</v>
      </c>
      <c r="EO28" s="112" t="s">
        <v>169</v>
      </c>
      <c r="EP28" s="105" t="s">
        <v>169</v>
      </c>
      <c r="FF28" s="71" t="s">
        <v>538</v>
      </c>
      <c r="FG28" s="70" t="s">
        <v>539</v>
      </c>
      <c r="FH28" s="70" t="s">
        <v>540</v>
      </c>
      <c r="FI28" s="70"/>
      <c r="FJ28" s="70" t="s">
        <v>541</v>
      </c>
      <c r="FK28" s="70" t="s">
        <v>542</v>
      </c>
      <c r="FR28" s="62">
        <v>2015</v>
      </c>
      <c r="FS28" s="105" t="s">
        <v>403</v>
      </c>
      <c r="FT28" s="339" t="s">
        <v>407</v>
      </c>
      <c r="FU28" s="351">
        <f t="shared" si="21"/>
        <v>178.75</v>
      </c>
      <c r="FV28" s="62">
        <v>200</v>
      </c>
      <c r="FW28" s="62">
        <v>190</v>
      </c>
      <c r="FX28" s="340"/>
      <c r="FZ28" s="62">
        <v>140</v>
      </c>
      <c r="GA28" s="62">
        <v>185</v>
      </c>
      <c r="GB28" s="340"/>
      <c r="GE28" s="348">
        <f t="shared" si="22"/>
        <v>2017</v>
      </c>
      <c r="GG28" s="354">
        <v>7.67</v>
      </c>
      <c r="GJ28" s="66" t="s">
        <v>340</v>
      </c>
      <c r="GK28" s="349">
        <v>159.19</v>
      </c>
      <c r="GL28" s="349">
        <v>159.96</v>
      </c>
      <c r="GM28" s="349">
        <v>173.18</v>
      </c>
      <c r="GN28" s="349">
        <v>176.62</v>
      </c>
      <c r="GO28" s="349">
        <v>201.06</v>
      </c>
      <c r="GP28" s="349">
        <v>232.1</v>
      </c>
      <c r="GQ28" s="349"/>
      <c r="GR28" s="358"/>
      <c r="GS28" s="358"/>
      <c r="GT28" s="358"/>
      <c r="GU28" s="358"/>
      <c r="GV28" s="358"/>
      <c r="GW28" s="358"/>
      <c r="GX28" s="349"/>
    </row>
    <row r="29" spans="2:207" x14ac:dyDescent="0.6">
      <c r="C29" s="74" t="s">
        <v>608</v>
      </c>
      <c r="D29" s="74" t="s">
        <v>597</v>
      </c>
      <c r="E29" s="394" t="s">
        <v>139</v>
      </c>
      <c r="F29" s="395">
        <v>268.89999999999998</v>
      </c>
      <c r="G29" s="396">
        <v>2067</v>
      </c>
      <c r="EB29" s="335">
        <v>42933</v>
      </c>
      <c r="EC29" s="62">
        <v>314.93</v>
      </c>
      <c r="ED29" s="62">
        <v>2459.139893</v>
      </c>
      <c r="EE29" s="78">
        <f t="shared" ref="EE29:EE92" si="23">EE30+(EC29-EC30)/EC30</f>
        <v>1.6703947934176522</v>
      </c>
      <c r="EF29" s="78">
        <f t="shared" ref="EF29:EF92" si="24">EF30+(ED29-ED30)/ED30</f>
        <v>1.2992652158986335</v>
      </c>
      <c r="EK29" s="62" t="s">
        <v>170</v>
      </c>
      <c r="EL29" s="66">
        <v>174</v>
      </c>
      <c r="EM29" s="66">
        <v>207</v>
      </c>
      <c r="EN29" s="66">
        <v>239</v>
      </c>
      <c r="EO29" s="112" t="s">
        <v>169</v>
      </c>
      <c r="EP29" s="105" t="s">
        <v>169</v>
      </c>
      <c r="FF29" s="71" t="s">
        <v>543</v>
      </c>
      <c r="FG29" s="70" t="s">
        <v>534</v>
      </c>
      <c r="FH29" s="70" t="s">
        <v>544</v>
      </c>
      <c r="FI29" s="70"/>
      <c r="FJ29" s="70" t="s">
        <v>545</v>
      </c>
      <c r="FK29" s="70" t="s">
        <v>546</v>
      </c>
      <c r="FS29" s="105" t="s">
        <v>404</v>
      </c>
      <c r="FT29" s="339" t="s">
        <v>408</v>
      </c>
      <c r="FU29" s="351">
        <f t="shared" si="21"/>
        <v>205.83333333333334</v>
      </c>
      <c r="FV29" s="62">
        <v>210</v>
      </c>
      <c r="FW29" s="62">
        <v>210</v>
      </c>
      <c r="FX29" s="62">
        <v>180</v>
      </c>
      <c r="FZ29" s="62">
        <v>225</v>
      </c>
      <c r="GA29" s="62">
        <v>205</v>
      </c>
      <c r="GB29" s="62">
        <f>(200+210)/2</f>
        <v>205</v>
      </c>
      <c r="GE29" s="348">
        <f t="shared" si="22"/>
        <v>2018</v>
      </c>
      <c r="GG29" s="354">
        <v>9.14</v>
      </c>
      <c r="GJ29" s="116" t="s">
        <v>428</v>
      </c>
      <c r="GK29" s="358">
        <v>40962</v>
      </c>
      <c r="GL29" s="358">
        <v>41319</v>
      </c>
      <c r="GM29" s="358">
        <v>41688</v>
      </c>
      <c r="GN29" s="358">
        <v>42045</v>
      </c>
      <c r="GO29" s="358">
        <v>42418</v>
      </c>
      <c r="GP29" s="358">
        <v>42787</v>
      </c>
      <c r="GQ29" s="358"/>
      <c r="GX29" s="358"/>
    </row>
    <row r="30" spans="2:207" x14ac:dyDescent="0.6">
      <c r="B30" s="96" t="s">
        <v>665</v>
      </c>
      <c r="C30" s="71"/>
      <c r="D30" s="74"/>
      <c r="E30" s="394"/>
      <c r="F30" s="395"/>
      <c r="G30" s="396"/>
      <c r="EB30" s="335">
        <v>42930</v>
      </c>
      <c r="EC30" s="62">
        <v>314.88</v>
      </c>
      <c r="ED30" s="62">
        <v>2459.2700199999999</v>
      </c>
      <c r="EE30" s="78">
        <f t="shared" si="23"/>
        <v>1.6702360027672456</v>
      </c>
      <c r="EF30" s="78">
        <f t="shared" si="24"/>
        <v>1.2993181287544573</v>
      </c>
      <c r="EK30" s="62" t="s">
        <v>168</v>
      </c>
      <c r="EL30" s="66">
        <v>205</v>
      </c>
      <c r="EM30" s="66">
        <v>200</v>
      </c>
      <c r="EN30" s="66">
        <v>195</v>
      </c>
      <c r="EO30" s="112" t="s">
        <v>169</v>
      </c>
      <c r="EP30" s="105" t="s">
        <v>169</v>
      </c>
      <c r="FF30" s="71" t="s">
        <v>547</v>
      </c>
      <c r="FG30" s="70" t="s">
        <v>548</v>
      </c>
      <c r="FH30" s="70" t="s">
        <v>549</v>
      </c>
      <c r="FI30" s="70"/>
      <c r="FJ30" s="70" t="s">
        <v>550</v>
      </c>
      <c r="FK30" s="70" t="s">
        <v>529</v>
      </c>
      <c r="FS30" s="105" t="s">
        <v>405</v>
      </c>
      <c r="FT30" s="339" t="s">
        <v>409</v>
      </c>
      <c r="FU30" s="351">
        <f t="shared" si="21"/>
        <v>212.5</v>
      </c>
      <c r="FV30" s="62">
        <v>215</v>
      </c>
      <c r="FW30" s="62">
        <v>220</v>
      </c>
      <c r="FX30" s="62">
        <v>185</v>
      </c>
      <c r="GA30" s="62">
        <v>230</v>
      </c>
      <c r="GB30" s="340"/>
      <c r="GE30" s="348"/>
      <c r="GJ30" s="66" t="s">
        <v>357</v>
      </c>
      <c r="GK30" s="66">
        <f>(30384746+1383687)/1000000</f>
        <v>31.768433000000002</v>
      </c>
      <c r="GL30" s="66">
        <f>(28184556+1383687 )/1000000</f>
        <v>29.568242999999999</v>
      </c>
      <c r="GM30" s="66">
        <f>(26344580+1381865)/1000000</f>
        <v>27.726444999999998</v>
      </c>
      <c r="GN30" s="66">
        <f>(25433644+1381865)/1000000</f>
        <v>26.815508999999999</v>
      </c>
      <c r="GO30" s="66">
        <f>(22995342+1381730)/1000000</f>
        <v>24.377071999999998</v>
      </c>
      <c r="GP30" s="66">
        <f>(21341550+1381730)/1000000</f>
        <v>22.723279999999999</v>
      </c>
    </row>
    <row r="31" spans="2:207" x14ac:dyDescent="0.6">
      <c r="C31" s="74" t="s">
        <v>156</v>
      </c>
      <c r="D31" s="74" t="s">
        <v>597</v>
      </c>
      <c r="E31" s="394" t="s">
        <v>143</v>
      </c>
      <c r="F31" s="395">
        <v>8964</v>
      </c>
      <c r="G31" s="396">
        <v>5739</v>
      </c>
      <c r="EB31" s="335">
        <v>42929</v>
      </c>
      <c r="EC31" s="62">
        <v>314.81</v>
      </c>
      <c r="ED31" s="62">
        <v>2447.830078</v>
      </c>
      <c r="EE31" s="78">
        <f t="shared" si="23"/>
        <v>1.670013646425325</v>
      </c>
      <c r="EF31" s="78">
        <f t="shared" si="24"/>
        <v>1.2946446254329576</v>
      </c>
      <c r="EO31" s="106"/>
      <c r="FF31" s="71" t="s">
        <v>551</v>
      </c>
      <c r="FG31" s="70" t="s">
        <v>501</v>
      </c>
      <c r="FH31" s="70" t="s">
        <v>552</v>
      </c>
      <c r="FI31" s="70"/>
      <c r="FJ31" s="70" t="s">
        <v>553</v>
      </c>
      <c r="FK31" s="70" t="s">
        <v>554</v>
      </c>
      <c r="FS31" s="105" t="s">
        <v>406</v>
      </c>
      <c r="FT31" s="339" t="s">
        <v>410</v>
      </c>
      <c r="FU31" s="351">
        <f t="shared" si="21"/>
        <v>214</v>
      </c>
      <c r="FV31" s="62">
        <v>213</v>
      </c>
      <c r="FW31" s="62">
        <v>215</v>
      </c>
      <c r="FX31" s="340"/>
      <c r="GA31" s="340"/>
      <c r="GB31" s="340"/>
      <c r="GJ31" s="66" t="s">
        <v>227</v>
      </c>
      <c r="GK31" s="66">
        <f t="shared" ref="GK31:GP31" si="25">(GK28*GK30)</f>
        <v>5057.2168492700002</v>
      </c>
      <c r="GL31" s="66">
        <f t="shared" si="25"/>
        <v>4729.7361502800004</v>
      </c>
      <c r="GM31" s="66">
        <f t="shared" si="25"/>
        <v>4801.6657451000001</v>
      </c>
      <c r="GN31" s="66">
        <f t="shared" si="25"/>
        <v>4736.15519958</v>
      </c>
      <c r="GO31" s="66">
        <f t="shared" si="25"/>
        <v>4901.2540963199999</v>
      </c>
      <c r="GP31" s="66">
        <f t="shared" si="25"/>
        <v>5274.0732879999996</v>
      </c>
    </row>
    <row r="32" spans="2:207" x14ac:dyDescent="0.6">
      <c r="C32" s="74" t="s">
        <v>538</v>
      </c>
      <c r="D32" s="74" t="s">
        <v>597</v>
      </c>
      <c r="E32" s="394" t="s">
        <v>132</v>
      </c>
      <c r="F32" s="395">
        <v>1714</v>
      </c>
      <c r="G32" s="396">
        <v>3331</v>
      </c>
      <c r="EB32" s="335">
        <v>42928</v>
      </c>
      <c r="EC32" s="62">
        <v>314.79000000000002</v>
      </c>
      <c r="ED32" s="62">
        <v>2443.25</v>
      </c>
      <c r="EE32" s="78">
        <f t="shared" si="23"/>
        <v>1.6699501120055531</v>
      </c>
      <c r="EF32" s="78">
        <f t="shared" si="24"/>
        <v>1.2927700411701928</v>
      </c>
      <c r="EK32" s="81" t="s">
        <v>164</v>
      </c>
      <c r="EL32" s="110">
        <v>2017</v>
      </c>
      <c r="EM32" s="110">
        <f>EL32+1</f>
        <v>2018</v>
      </c>
      <c r="EN32" s="110">
        <f>EM32+1</f>
        <v>2019</v>
      </c>
      <c r="EO32" s="110">
        <f>EN32+1</f>
        <v>2020</v>
      </c>
      <c r="EP32" s="110">
        <f>EO32+1</f>
        <v>2021</v>
      </c>
      <c r="FF32" s="71" t="s">
        <v>555</v>
      </c>
      <c r="FG32" s="70" t="s">
        <v>556</v>
      </c>
      <c r="FH32" s="70" t="s">
        <v>483</v>
      </c>
      <c r="FI32" s="70"/>
      <c r="FJ32" s="70" t="s">
        <v>557</v>
      </c>
      <c r="FK32" s="70" t="s">
        <v>558</v>
      </c>
      <c r="FR32" s="62">
        <v>2016</v>
      </c>
      <c r="FS32" s="105" t="s">
        <v>403</v>
      </c>
      <c r="FT32" s="339" t="s">
        <v>407</v>
      </c>
      <c r="FU32" s="351">
        <f t="shared" si="21"/>
        <v>225.5</v>
      </c>
      <c r="FV32" s="62">
        <v>230</v>
      </c>
      <c r="FW32" s="62">
        <v>220</v>
      </c>
      <c r="FX32" s="340"/>
      <c r="FZ32" s="62">
        <v>237</v>
      </c>
      <c r="GA32" s="340"/>
      <c r="GB32" s="62">
        <f>(210+220)/2</f>
        <v>215</v>
      </c>
    </row>
    <row r="33" spans="2:207" ht="15.9" thickBot="1" x14ac:dyDescent="0.65">
      <c r="C33" s="74" t="s">
        <v>533</v>
      </c>
      <c r="D33" s="74" t="s">
        <v>597</v>
      </c>
      <c r="E33" s="394" t="s">
        <v>143</v>
      </c>
      <c r="F33" s="395">
        <v>1599</v>
      </c>
      <c r="G33" s="396">
        <v>2255</v>
      </c>
      <c r="EB33" s="335">
        <v>42927</v>
      </c>
      <c r="EC33" s="62">
        <v>314.75</v>
      </c>
      <c r="ED33" s="62">
        <v>2425.530029</v>
      </c>
      <c r="EE33" s="78">
        <f t="shared" si="23"/>
        <v>1.6698230270174672</v>
      </c>
      <c r="EF33" s="78">
        <f t="shared" si="24"/>
        <v>1.2854644334110072</v>
      </c>
      <c r="EK33" s="62" t="s">
        <v>107</v>
      </c>
      <c r="EL33" s="66">
        <v>2967.1970000000001</v>
      </c>
      <c r="EM33" s="66">
        <v>3250.4830000000002</v>
      </c>
      <c r="EN33" s="108" t="s">
        <v>169</v>
      </c>
      <c r="EO33" s="112" t="s">
        <v>169</v>
      </c>
      <c r="EP33" s="105" t="s">
        <v>169</v>
      </c>
      <c r="FF33" s="378" t="s">
        <v>559</v>
      </c>
      <c r="FG33" s="379" t="s">
        <v>560</v>
      </c>
      <c r="FH33" s="379" t="s">
        <v>556</v>
      </c>
      <c r="FI33" s="379"/>
      <c r="FJ33" s="379" t="s">
        <v>532</v>
      </c>
      <c r="FK33" s="379" t="s">
        <v>561</v>
      </c>
      <c r="FS33" s="105" t="s">
        <v>404</v>
      </c>
      <c r="FT33" s="339" t="s">
        <v>408</v>
      </c>
      <c r="FU33" s="351">
        <f t="shared" si="21"/>
        <v>227</v>
      </c>
      <c r="FV33" s="62">
        <v>240</v>
      </c>
      <c r="FW33" s="62">
        <v>225</v>
      </c>
      <c r="FX33" s="62">
        <v>195</v>
      </c>
      <c r="GA33" s="62">
        <v>240</v>
      </c>
      <c r="GB33" s="62">
        <f>(230 + 240)/2</f>
        <v>235</v>
      </c>
      <c r="GJ33" s="66" t="s">
        <v>426</v>
      </c>
    </row>
    <row r="34" spans="2:207" ht="15.9" thickTop="1" x14ac:dyDescent="0.6">
      <c r="B34" s="394"/>
      <c r="C34" s="74" t="s">
        <v>601</v>
      </c>
      <c r="D34" s="74" t="s">
        <v>597</v>
      </c>
      <c r="E34" s="394" t="s">
        <v>462</v>
      </c>
      <c r="F34" s="395">
        <f>607.964+22.903+31.495</f>
        <v>662.36200000000008</v>
      </c>
      <c r="G34" s="396">
        <v>8828</v>
      </c>
      <c r="EB34" s="335">
        <v>42926</v>
      </c>
      <c r="EC34" s="62">
        <v>314.83999999999997</v>
      </c>
      <c r="ED34" s="62">
        <v>2427.429932</v>
      </c>
      <c r="EE34" s="78">
        <f t="shared" si="23"/>
        <v>1.6701088865016496</v>
      </c>
      <c r="EF34" s="78">
        <f t="shared" si="24"/>
        <v>1.2862471142929368</v>
      </c>
      <c r="EK34" s="62" t="s">
        <v>110</v>
      </c>
      <c r="EL34" s="66">
        <v>439.03500000000003</v>
      </c>
      <c r="EM34" s="66">
        <v>481.67</v>
      </c>
      <c r="EN34" s="108" t="s">
        <v>169</v>
      </c>
      <c r="EO34" s="112" t="s">
        <v>169</v>
      </c>
      <c r="EP34" s="105" t="s">
        <v>169</v>
      </c>
      <c r="FF34" s="66" t="s">
        <v>563</v>
      </c>
      <c r="FS34" s="105" t="s">
        <v>405</v>
      </c>
      <c r="FT34" s="339" t="s">
        <v>409</v>
      </c>
      <c r="FU34" s="351">
        <f t="shared" si="21"/>
        <v>248.33333333333334</v>
      </c>
      <c r="FW34" s="62">
        <v>235</v>
      </c>
      <c r="FX34" s="340"/>
      <c r="FZ34" s="62">
        <v>260</v>
      </c>
      <c r="GA34" s="62">
        <v>250</v>
      </c>
      <c r="GB34" s="340"/>
      <c r="GJ34" s="71" t="s">
        <v>430</v>
      </c>
      <c r="GK34" s="66">
        <v>0</v>
      </c>
      <c r="GL34" s="66">
        <v>0</v>
      </c>
      <c r="GM34" s="66">
        <v>0</v>
      </c>
      <c r="GN34" s="66">
        <v>0</v>
      </c>
      <c r="GO34" s="66">
        <v>17.228999999999999</v>
      </c>
      <c r="GP34" s="66">
        <v>17.228999999999999</v>
      </c>
      <c r="GY34" s="349"/>
    </row>
    <row r="35" spans="2:207" x14ac:dyDescent="0.6">
      <c r="C35" s="74" t="s">
        <v>606</v>
      </c>
      <c r="D35" s="74" t="s">
        <v>597</v>
      </c>
      <c r="E35" s="394" t="s">
        <v>143</v>
      </c>
      <c r="F35" s="395">
        <v>606.32000000000005</v>
      </c>
      <c r="G35" s="396">
        <v>3557</v>
      </c>
      <c r="EB35" s="335">
        <v>42923</v>
      </c>
      <c r="EC35" s="62">
        <v>314.83999999999997</v>
      </c>
      <c r="ED35" s="62">
        <v>2425.179932</v>
      </c>
      <c r="EE35" s="78">
        <f t="shared" si="23"/>
        <v>1.6701088865016496</v>
      </c>
      <c r="EF35" s="78">
        <f t="shared" si="24"/>
        <v>1.2853193480804956</v>
      </c>
      <c r="EK35" s="62" t="s">
        <v>111</v>
      </c>
      <c r="EL35" s="108" t="s">
        <v>169</v>
      </c>
      <c r="EM35" s="112" t="s">
        <v>169</v>
      </c>
      <c r="EN35" s="108" t="s">
        <v>169</v>
      </c>
      <c r="EO35" s="112" t="s">
        <v>169</v>
      </c>
      <c r="EP35" s="105" t="s">
        <v>169</v>
      </c>
      <c r="FS35" s="105" t="s">
        <v>406</v>
      </c>
      <c r="FT35" s="339" t="s">
        <v>410</v>
      </c>
      <c r="FU35" s="351">
        <f t="shared" si="21"/>
        <v>231.5</v>
      </c>
      <c r="FV35" s="62">
        <v>238</v>
      </c>
      <c r="FW35" s="62">
        <v>225</v>
      </c>
      <c r="FX35" s="340"/>
      <c r="FZ35" s="340"/>
      <c r="GA35" s="340"/>
      <c r="GB35" s="340"/>
      <c r="GJ35" s="71" t="s">
        <v>431</v>
      </c>
      <c r="GK35" s="66">
        <v>0</v>
      </c>
      <c r="GL35" s="66">
        <v>0</v>
      </c>
      <c r="GM35" s="66">
        <v>0</v>
      </c>
      <c r="GN35" s="66">
        <v>99.784000000000006</v>
      </c>
      <c r="GO35" s="66">
        <v>388.971</v>
      </c>
      <c r="GP35" s="66">
        <v>410.59399999999999</v>
      </c>
      <c r="GY35" s="358"/>
    </row>
    <row r="36" spans="2:207" ht="15.9" thickBot="1" x14ac:dyDescent="0.65">
      <c r="C36" s="74" t="s">
        <v>609</v>
      </c>
      <c r="D36" s="74" t="s">
        <v>597</v>
      </c>
      <c r="E36" s="394" t="s">
        <v>139</v>
      </c>
      <c r="F36" s="395">
        <v>531.88099999999997</v>
      </c>
      <c r="G36" s="396">
        <v>713</v>
      </c>
      <c r="EB36" s="335">
        <v>42922</v>
      </c>
      <c r="EC36" s="62">
        <v>314.75</v>
      </c>
      <c r="ED36" s="62">
        <v>2409.75</v>
      </c>
      <c r="EE36" s="78">
        <f t="shared" si="23"/>
        <v>1.6698229452784565</v>
      </c>
      <c r="EF36" s="78">
        <f t="shared" si="24"/>
        <v>1.2789162224450563</v>
      </c>
      <c r="EK36" s="62" t="s">
        <v>170</v>
      </c>
      <c r="EL36" s="66">
        <v>167.03399999999999</v>
      </c>
      <c r="EM36" s="66">
        <v>182.376</v>
      </c>
      <c r="EN36" s="108" t="s">
        <v>169</v>
      </c>
      <c r="EO36" s="112" t="s">
        <v>169</v>
      </c>
      <c r="EP36" s="105" t="s">
        <v>169</v>
      </c>
      <c r="FR36" s="91">
        <v>2017</v>
      </c>
      <c r="FS36" s="346" t="s">
        <v>403</v>
      </c>
      <c r="FT36" s="344" t="s">
        <v>407</v>
      </c>
      <c r="FU36" s="352">
        <f t="shared" si="21"/>
        <v>249.83333333333334</v>
      </c>
      <c r="FV36" s="91">
        <v>264</v>
      </c>
      <c r="FW36" s="91">
        <v>260</v>
      </c>
      <c r="FX36" s="91">
        <v>210</v>
      </c>
      <c r="FY36" s="91">
        <v>255</v>
      </c>
      <c r="FZ36" s="91"/>
      <c r="GA36" s="91">
        <v>265</v>
      </c>
      <c r="GB36" s="91">
        <f>(240+250)/2</f>
        <v>245</v>
      </c>
      <c r="GC36" s="91"/>
      <c r="GJ36" s="66" t="s">
        <v>215</v>
      </c>
      <c r="GK36" s="66">
        <v>222.64</v>
      </c>
      <c r="GL36" s="66">
        <v>297.14100000000002</v>
      </c>
      <c r="GM36" s="66">
        <v>125.245</v>
      </c>
      <c r="GN36" s="66">
        <v>196.49299999999999</v>
      </c>
      <c r="GO36" s="66">
        <v>241.886</v>
      </c>
      <c r="GP36" s="66">
        <v>105.529</v>
      </c>
      <c r="GR36" s="69"/>
      <c r="GS36" s="69"/>
      <c r="GT36" s="69"/>
      <c r="GU36" s="69"/>
      <c r="GV36" s="69"/>
      <c r="GW36" s="69"/>
    </row>
    <row r="37" spans="2:207" ht="15.9" thickTop="1" x14ac:dyDescent="0.6">
      <c r="C37" s="399" t="s">
        <v>559</v>
      </c>
      <c r="D37" s="399" t="s">
        <v>597</v>
      </c>
      <c r="E37" s="394" t="s">
        <v>135</v>
      </c>
      <c r="F37" s="395">
        <v>452.08300000000003</v>
      </c>
      <c r="G37" s="396">
        <v>551</v>
      </c>
      <c r="EB37" s="335">
        <v>42921</v>
      </c>
      <c r="EC37" s="62">
        <v>314.72000000000003</v>
      </c>
      <c r="ED37" s="62">
        <v>2432.540039</v>
      </c>
      <c r="EE37" s="78">
        <f t="shared" si="23"/>
        <v>1.6697276224518172</v>
      </c>
      <c r="EF37" s="78">
        <f t="shared" si="24"/>
        <v>1.2882850462401905</v>
      </c>
      <c r="EK37" s="62" t="s">
        <v>168</v>
      </c>
      <c r="EL37" s="66">
        <v>201.29499999999999</v>
      </c>
      <c r="EM37" s="66">
        <v>203.042</v>
      </c>
      <c r="EN37" s="108" t="s">
        <v>169</v>
      </c>
      <c r="EO37" s="112" t="s">
        <v>169</v>
      </c>
      <c r="EP37" s="105" t="s">
        <v>169</v>
      </c>
      <c r="GJ37" s="72" t="s">
        <v>230</v>
      </c>
      <c r="GK37" s="72">
        <f t="shared" ref="GK37:GP37" si="26">GK31-GK36+GK34+GK35</f>
        <v>4834.5768492699999</v>
      </c>
      <c r="GL37" s="72">
        <f t="shared" si="26"/>
        <v>4432.5951502800008</v>
      </c>
      <c r="GM37" s="72">
        <f t="shared" si="26"/>
        <v>4676.4207451000002</v>
      </c>
      <c r="GN37" s="72">
        <f t="shared" si="26"/>
        <v>4639.4461995799993</v>
      </c>
      <c r="GO37" s="72">
        <f t="shared" si="26"/>
        <v>5065.5680963199993</v>
      </c>
      <c r="GP37" s="72">
        <f t="shared" si="26"/>
        <v>5596.3672879999995</v>
      </c>
      <c r="GQ37" s="69"/>
      <c r="GX37" s="69"/>
    </row>
    <row r="38" spans="2:207" x14ac:dyDescent="0.6">
      <c r="C38" s="74" t="s">
        <v>555</v>
      </c>
      <c r="D38" s="74" t="s">
        <v>597</v>
      </c>
      <c r="E38" s="62" t="s">
        <v>139</v>
      </c>
      <c r="F38" s="395">
        <v>380.12299999999999</v>
      </c>
      <c r="G38" s="396">
        <v>460</v>
      </c>
      <c r="EB38" s="335">
        <v>42919</v>
      </c>
      <c r="EC38" s="62">
        <v>314.51</v>
      </c>
      <c r="ED38" s="62">
        <v>2429.01001</v>
      </c>
      <c r="EE38" s="78">
        <f t="shared" si="23"/>
        <v>1.6690599171324314</v>
      </c>
      <c r="EF38" s="78">
        <f t="shared" si="24"/>
        <v>1.2868317673383056</v>
      </c>
      <c r="FS38" s="62" t="s">
        <v>391</v>
      </c>
      <c r="GR38" s="117"/>
      <c r="GS38" s="117"/>
      <c r="GT38" s="117"/>
      <c r="GU38" s="117"/>
      <c r="GV38" s="117"/>
      <c r="GW38" s="117"/>
    </row>
    <row r="39" spans="2:207" ht="15.9" thickBot="1" x14ac:dyDescent="0.65">
      <c r="B39" s="91"/>
      <c r="C39" s="428" t="s">
        <v>600</v>
      </c>
      <c r="D39" s="428" t="s">
        <v>597</v>
      </c>
      <c r="E39" s="91" t="s">
        <v>602</v>
      </c>
      <c r="F39" s="429">
        <f>47.512+119.015</f>
        <v>166.52699999999999</v>
      </c>
      <c r="G39" s="97">
        <v>2538</v>
      </c>
      <c r="EB39" s="335">
        <v>42916</v>
      </c>
      <c r="EC39" s="62">
        <v>314.64</v>
      </c>
      <c r="ED39" s="62">
        <v>2423.4099120000001</v>
      </c>
      <c r="EE39" s="78">
        <f t="shared" si="23"/>
        <v>1.6694730877401101</v>
      </c>
      <c r="EF39" s="78">
        <f t="shared" si="24"/>
        <v>1.2845209333468006</v>
      </c>
      <c r="EK39" s="107" t="s">
        <v>165</v>
      </c>
      <c r="EL39" s="110">
        <v>2017</v>
      </c>
      <c r="EM39" s="110">
        <f>EL39+1</f>
        <v>2018</v>
      </c>
      <c r="EN39" s="110">
        <f>EM39+1</f>
        <v>2019</v>
      </c>
      <c r="EO39" s="110">
        <f>EN39+1</f>
        <v>2020</v>
      </c>
      <c r="EP39" s="110">
        <f>EO39+1</f>
        <v>2021</v>
      </c>
      <c r="FR39" s="62" t="s">
        <v>389</v>
      </c>
      <c r="FS39" s="62" t="s">
        <v>392</v>
      </c>
      <c r="FT39" s="62" t="s">
        <v>417</v>
      </c>
      <c r="GJ39" s="66" t="s">
        <v>432</v>
      </c>
      <c r="GK39" s="117">
        <f t="shared" ref="GK39:GP39" si="27">GK37/GK25</f>
        <v>16.10677326364781</v>
      </c>
      <c r="GL39" s="117">
        <f t="shared" si="27"/>
        <v>11.857914470438114</v>
      </c>
      <c r="GM39" s="117">
        <f t="shared" si="27"/>
        <v>11.233861773233818</v>
      </c>
      <c r="GN39" s="117">
        <f t="shared" si="27"/>
        <v>11.597107874926257</v>
      </c>
      <c r="GO39" s="117">
        <f t="shared" si="27"/>
        <v>12.853509506013699</v>
      </c>
      <c r="GP39" s="117">
        <f t="shared" si="27"/>
        <v>13.880223438081298</v>
      </c>
      <c r="GQ39" s="117"/>
      <c r="GX39" s="117"/>
    </row>
    <row r="40" spans="2:207" ht="15.9" thickTop="1" x14ac:dyDescent="0.6">
      <c r="EB40" s="335">
        <v>42915</v>
      </c>
      <c r="EC40" s="62">
        <v>314.64</v>
      </c>
      <c r="ED40" s="62">
        <v>2419.6999510000001</v>
      </c>
      <c r="EE40" s="78">
        <f t="shared" si="23"/>
        <v>1.6694730877401101</v>
      </c>
      <c r="EF40" s="78">
        <f t="shared" si="24"/>
        <v>1.2829877015101563</v>
      </c>
      <c r="EK40" s="62" t="s">
        <v>107</v>
      </c>
      <c r="EL40" s="66">
        <v>2990.3380000000002</v>
      </c>
      <c r="EM40" s="66">
        <v>3268.8319999999999</v>
      </c>
      <c r="EN40" s="66">
        <v>3637.66</v>
      </c>
      <c r="EO40" s="66">
        <v>3886.8910000000001</v>
      </c>
      <c r="EP40" s="66">
        <v>4220.0079999999998</v>
      </c>
      <c r="FR40" s="335">
        <v>42933</v>
      </c>
      <c r="FS40" s="341">
        <v>314.93</v>
      </c>
      <c r="FT40" s="341"/>
    </row>
    <row r="41" spans="2:207" ht="17.25" customHeight="1" x14ac:dyDescent="0.6">
      <c r="EB41" s="335">
        <v>42914</v>
      </c>
      <c r="EC41" s="62">
        <v>314.70999999999998</v>
      </c>
      <c r="ED41" s="62">
        <v>2440.6899410000001</v>
      </c>
      <c r="EE41" s="78">
        <f t="shared" si="23"/>
        <v>1.6696955147363923</v>
      </c>
      <c r="EF41" s="78">
        <f t="shared" si="24"/>
        <v>1.2915877246623801</v>
      </c>
      <c r="EK41" s="62" t="s">
        <v>110</v>
      </c>
      <c r="EL41" s="66">
        <v>453.447</v>
      </c>
      <c r="EM41" s="66">
        <v>510.32799999999997</v>
      </c>
      <c r="EN41" s="66">
        <v>576.33900000000006</v>
      </c>
      <c r="EO41" s="66">
        <v>631.64</v>
      </c>
      <c r="EP41" s="66">
        <v>692.13300000000004</v>
      </c>
      <c r="FR41" s="335">
        <v>42930</v>
      </c>
      <c r="FS41" s="341">
        <v>314.88</v>
      </c>
      <c r="FT41" s="341"/>
    </row>
    <row r="42" spans="2:207" x14ac:dyDescent="0.6">
      <c r="EB42" s="335">
        <v>42913</v>
      </c>
      <c r="EC42" s="62">
        <v>314.70999999999998</v>
      </c>
      <c r="ED42" s="62">
        <v>2419.3798830000001</v>
      </c>
      <c r="EE42" s="78">
        <f t="shared" si="23"/>
        <v>1.6696955147363923</v>
      </c>
      <c r="EF42" s="78">
        <f t="shared" si="24"/>
        <v>1.2827796585336431</v>
      </c>
      <c r="EK42" s="62" t="s">
        <v>111</v>
      </c>
      <c r="EL42" s="66">
        <v>280.53899999999999</v>
      </c>
      <c r="EM42" s="66">
        <v>329.22800000000001</v>
      </c>
      <c r="EN42" s="66">
        <v>380.67</v>
      </c>
      <c r="EO42" s="66">
        <v>425.26499999999999</v>
      </c>
      <c r="EP42" s="66">
        <v>471.68</v>
      </c>
      <c r="FR42" s="335">
        <v>42929</v>
      </c>
      <c r="FS42" s="341">
        <v>314.81</v>
      </c>
      <c r="FT42" s="341"/>
    </row>
    <row r="43" spans="2:207" x14ac:dyDescent="0.6">
      <c r="EB43" s="335">
        <v>42912</v>
      </c>
      <c r="EC43" s="62">
        <v>314.70999999999998</v>
      </c>
      <c r="ED43" s="62">
        <v>2439.070068</v>
      </c>
      <c r="EE43" s="78">
        <f t="shared" si="23"/>
        <v>1.6696955147363923</v>
      </c>
      <c r="EF43" s="78">
        <f t="shared" si="24"/>
        <v>1.2908524831967514</v>
      </c>
      <c r="EK43" s="62" t="s">
        <v>170</v>
      </c>
      <c r="EL43" s="66">
        <v>170.446</v>
      </c>
      <c r="EM43" s="66">
        <v>195.59800000000001</v>
      </c>
      <c r="EN43" s="66">
        <v>228.00800000000001</v>
      </c>
      <c r="EO43" s="66">
        <v>256.101</v>
      </c>
      <c r="EP43" s="66">
        <v>285.34300000000002</v>
      </c>
      <c r="FR43" s="335">
        <v>42928</v>
      </c>
      <c r="FS43" s="341">
        <v>314.79000000000002</v>
      </c>
      <c r="FT43" s="341"/>
      <c r="GY43" s="69"/>
    </row>
    <row r="44" spans="2:207" x14ac:dyDescent="0.6">
      <c r="EB44" s="335">
        <v>42909</v>
      </c>
      <c r="EC44" s="62">
        <v>314.5</v>
      </c>
      <c r="ED44" s="62">
        <v>2438.3000489999999</v>
      </c>
      <c r="EE44" s="78">
        <f t="shared" si="23"/>
        <v>1.6690277881863129</v>
      </c>
      <c r="EF44" s="78">
        <f t="shared" si="24"/>
        <v>1.2905366816200274</v>
      </c>
      <c r="EK44" s="62" t="s">
        <v>168</v>
      </c>
      <c r="EL44" s="66">
        <v>222.28</v>
      </c>
      <c r="EM44" s="66">
        <v>196.04400000000001</v>
      </c>
      <c r="EN44" s="66">
        <v>196.768</v>
      </c>
      <c r="EO44" s="66">
        <v>196.364</v>
      </c>
      <c r="EP44" s="66">
        <v>192.70400000000001</v>
      </c>
      <c r="FR44" s="335">
        <v>42927</v>
      </c>
      <c r="FS44" s="341">
        <v>314.75</v>
      </c>
      <c r="FT44" s="341"/>
    </row>
    <row r="45" spans="2:207" x14ac:dyDescent="0.6">
      <c r="EB45" s="335">
        <v>42908</v>
      </c>
      <c r="EC45" s="62">
        <v>314.58</v>
      </c>
      <c r="ED45" s="62">
        <v>2434.5</v>
      </c>
      <c r="EE45" s="78">
        <f t="shared" si="23"/>
        <v>1.6692820955167216</v>
      </c>
      <c r="EF45" s="78">
        <f t="shared" si="24"/>
        <v>1.288975766031611</v>
      </c>
      <c r="FR45" s="335">
        <v>42926</v>
      </c>
      <c r="FS45" s="341">
        <v>314.83999999999997</v>
      </c>
      <c r="FT45" s="341"/>
      <c r="GY45" s="117"/>
    </row>
    <row r="46" spans="2:207" x14ac:dyDescent="0.6">
      <c r="EB46" s="335">
        <v>42907</v>
      </c>
      <c r="EC46" s="62">
        <v>314.55</v>
      </c>
      <c r="ED46" s="62">
        <v>2435.610107</v>
      </c>
      <c r="EE46" s="78">
        <f t="shared" si="23"/>
        <v>1.6691867211724203</v>
      </c>
      <c r="EF46" s="78">
        <f t="shared" si="24"/>
        <v>1.2894315479306964</v>
      </c>
      <c r="FR46" s="335">
        <v>42923</v>
      </c>
      <c r="FS46" s="341">
        <v>314.83999999999997</v>
      </c>
      <c r="FT46" s="341"/>
    </row>
    <row r="47" spans="2:207" ht="17.25" customHeight="1" x14ac:dyDescent="0.6">
      <c r="EB47" s="335">
        <v>42906</v>
      </c>
      <c r="EC47" s="62">
        <v>314.58999999999997</v>
      </c>
      <c r="ED47" s="62">
        <v>2437.030029</v>
      </c>
      <c r="EE47" s="78">
        <f t="shared" si="23"/>
        <v>1.6693138707957393</v>
      </c>
      <c r="EF47" s="78">
        <f t="shared" si="24"/>
        <v>1.2900141923721284</v>
      </c>
      <c r="EK47" s="107" t="s">
        <v>171</v>
      </c>
      <c r="EL47" s="110">
        <v>2017</v>
      </c>
      <c r="EM47" s="110">
        <f>EL47+1</f>
        <v>2018</v>
      </c>
      <c r="EN47" s="110">
        <f>EM47+1</f>
        <v>2019</v>
      </c>
      <c r="EO47" s="110">
        <f>EN47+1</f>
        <v>2020</v>
      </c>
      <c r="EP47" s="110">
        <f>EO47+1</f>
        <v>2021</v>
      </c>
      <c r="FR47" s="335">
        <v>42922</v>
      </c>
      <c r="FS47" s="341">
        <v>314.75</v>
      </c>
      <c r="FT47" s="341"/>
    </row>
    <row r="48" spans="2:207" x14ac:dyDescent="0.6">
      <c r="EB48" s="335">
        <v>42905</v>
      </c>
      <c r="EC48" s="62">
        <v>314.64999999999998</v>
      </c>
      <c r="ED48" s="62">
        <v>2453.459961</v>
      </c>
      <c r="EE48" s="78">
        <f t="shared" si="23"/>
        <v>1.6695045588618445</v>
      </c>
      <c r="EF48" s="78">
        <f t="shared" si="24"/>
        <v>1.2967108298804508</v>
      </c>
      <c r="EK48" s="62" t="s">
        <v>107</v>
      </c>
      <c r="EL48" s="66">
        <v>2931.569</v>
      </c>
      <c r="EM48" s="66">
        <v>3131.913</v>
      </c>
      <c r="EN48" s="108" t="s">
        <v>169</v>
      </c>
      <c r="EO48" s="108" t="s">
        <v>169</v>
      </c>
      <c r="EP48" s="108" t="s">
        <v>169</v>
      </c>
      <c r="FR48" s="335">
        <v>42921</v>
      </c>
      <c r="FS48" s="341">
        <v>314.72000000000003</v>
      </c>
      <c r="FT48" s="341"/>
    </row>
    <row r="49" spans="3:176" x14ac:dyDescent="0.6">
      <c r="EB49" s="335">
        <v>42902</v>
      </c>
      <c r="EC49" s="62">
        <v>314.57</v>
      </c>
      <c r="ED49" s="62">
        <v>2433.1499020000001</v>
      </c>
      <c r="EE49" s="78">
        <f t="shared" si="23"/>
        <v>1.6692502434471514</v>
      </c>
      <c r="EF49" s="78">
        <f t="shared" si="24"/>
        <v>1.2883636010544317</v>
      </c>
      <c r="EK49" s="62" t="s">
        <v>110</v>
      </c>
      <c r="EL49" s="66">
        <v>432.12599999999998</v>
      </c>
      <c r="EM49" s="66">
        <v>473.64400000000001</v>
      </c>
      <c r="EN49" s="108" t="s">
        <v>169</v>
      </c>
      <c r="EO49" s="108" t="s">
        <v>169</v>
      </c>
      <c r="EP49" s="108" t="s">
        <v>169</v>
      </c>
      <c r="FR49" s="335">
        <v>42919</v>
      </c>
      <c r="FS49" s="341">
        <v>314.51</v>
      </c>
      <c r="FT49" s="341"/>
    </row>
    <row r="50" spans="3:176" x14ac:dyDescent="0.6">
      <c r="EB50" s="335">
        <v>42901</v>
      </c>
      <c r="EC50" s="62">
        <v>314.45</v>
      </c>
      <c r="ED50" s="62">
        <v>2432.459961</v>
      </c>
      <c r="EE50" s="78">
        <f t="shared" si="23"/>
        <v>1.6688686247478353</v>
      </c>
      <c r="EF50" s="78">
        <f t="shared" si="24"/>
        <v>1.2880799618533505</v>
      </c>
      <c r="EK50" s="62" t="s">
        <v>111</v>
      </c>
      <c r="EL50" s="108" t="s">
        <v>169</v>
      </c>
      <c r="EM50" s="108" t="s">
        <v>169</v>
      </c>
      <c r="EN50" s="108" t="s">
        <v>169</v>
      </c>
      <c r="EO50" s="108" t="s">
        <v>169</v>
      </c>
      <c r="EP50" s="108" t="s">
        <v>169</v>
      </c>
      <c r="FR50" s="335">
        <v>42916</v>
      </c>
      <c r="FS50" s="341">
        <v>314.64</v>
      </c>
      <c r="FT50" s="341"/>
    </row>
    <row r="51" spans="3:176" x14ac:dyDescent="0.6">
      <c r="EB51" s="335">
        <v>42900</v>
      </c>
      <c r="EC51" s="62">
        <v>314.47000000000003</v>
      </c>
      <c r="ED51" s="62">
        <v>2437.919922</v>
      </c>
      <c r="EE51" s="78">
        <f t="shared" si="23"/>
        <v>1.668932223819289</v>
      </c>
      <c r="EF51" s="78">
        <f t="shared" si="24"/>
        <v>1.290319560025025</v>
      </c>
      <c r="EK51" s="62" t="s">
        <v>170</v>
      </c>
      <c r="EL51" s="66">
        <v>167.803</v>
      </c>
      <c r="EM51" s="66">
        <v>184.53200000000001</v>
      </c>
      <c r="EN51" s="108" t="s">
        <v>169</v>
      </c>
      <c r="EO51" s="108" t="s">
        <v>169</v>
      </c>
      <c r="EP51" s="108" t="s">
        <v>169</v>
      </c>
      <c r="FR51" s="335">
        <v>42915</v>
      </c>
      <c r="FS51" s="341">
        <v>314.64</v>
      </c>
      <c r="FT51" s="341"/>
    </row>
    <row r="52" spans="3:176" x14ac:dyDescent="0.6">
      <c r="EB52" s="335">
        <v>42899</v>
      </c>
      <c r="EC52" s="62">
        <v>314.51</v>
      </c>
      <c r="ED52" s="62">
        <v>2440.3500979999999</v>
      </c>
      <c r="EE52" s="78">
        <f t="shared" si="23"/>
        <v>1.6690594057848862</v>
      </c>
      <c r="EF52" s="78">
        <f t="shared" si="24"/>
        <v>1.2913153909109261</v>
      </c>
      <c r="EK52" s="62" t="s">
        <v>168</v>
      </c>
      <c r="EL52" s="108" t="s">
        <v>169</v>
      </c>
      <c r="EM52" s="108" t="s">
        <v>169</v>
      </c>
      <c r="EN52" s="108" t="s">
        <v>169</v>
      </c>
      <c r="EO52" s="108" t="s">
        <v>169</v>
      </c>
      <c r="EP52" s="108" t="s">
        <v>169</v>
      </c>
      <c r="FR52" s="335">
        <v>42914</v>
      </c>
      <c r="FS52" s="341">
        <v>314.70999999999998</v>
      </c>
      <c r="FT52" s="341"/>
    </row>
    <row r="53" spans="3:176" ht="17.25" customHeight="1" x14ac:dyDescent="0.6">
      <c r="EB53" s="335">
        <v>42898</v>
      </c>
      <c r="EC53" s="62">
        <v>314.39999999999998</v>
      </c>
      <c r="ED53" s="62">
        <v>2429.389893</v>
      </c>
      <c r="EE53" s="78">
        <f t="shared" si="23"/>
        <v>1.6687095330113493</v>
      </c>
      <c r="EF53" s="78">
        <f t="shared" si="24"/>
        <v>1.2868038857665356</v>
      </c>
      <c r="FR53" s="335">
        <v>42913</v>
      </c>
      <c r="FS53" s="341">
        <v>314.70999999999998</v>
      </c>
      <c r="FT53" s="341"/>
    </row>
    <row r="54" spans="3:176" x14ac:dyDescent="0.6">
      <c r="C54" s="399"/>
      <c r="D54" s="399"/>
      <c r="E54" s="394"/>
      <c r="F54" s="395"/>
      <c r="G54" s="396"/>
      <c r="EB54" s="335">
        <v>42895</v>
      </c>
      <c r="EC54" s="62">
        <v>314.22000000000003</v>
      </c>
      <c r="ED54" s="62">
        <v>2431.7700199999999</v>
      </c>
      <c r="EE54" s="78">
        <f t="shared" si="23"/>
        <v>1.6681366859615117</v>
      </c>
      <c r="EF54" s="78">
        <f t="shared" si="24"/>
        <v>1.2877826489638875</v>
      </c>
      <c r="EK54" s="81" t="s">
        <v>166</v>
      </c>
      <c r="EL54" s="110">
        <v>2017</v>
      </c>
      <c r="EM54" s="110">
        <f>EL54+1</f>
        <v>2018</v>
      </c>
      <c r="EN54" s="110">
        <f>EM54+1</f>
        <v>2019</v>
      </c>
      <c r="EO54" s="110">
        <f>EN54+1</f>
        <v>2020</v>
      </c>
      <c r="EP54" s="110">
        <f>EO54+1</f>
        <v>2021</v>
      </c>
      <c r="FR54" s="335">
        <v>42912</v>
      </c>
      <c r="FS54" s="341">
        <v>314.70999999999998</v>
      </c>
      <c r="FT54" s="341"/>
    </row>
    <row r="55" spans="3:176" x14ac:dyDescent="0.6">
      <c r="C55" s="74"/>
      <c r="D55" s="74"/>
      <c r="E55" s="394"/>
      <c r="F55" s="395"/>
      <c r="G55" s="396"/>
      <c r="EB55" s="335">
        <v>42894</v>
      </c>
      <c r="EC55" s="62">
        <v>314.19</v>
      </c>
      <c r="ED55" s="62">
        <v>2433.790039</v>
      </c>
      <c r="EE55" s="78">
        <f t="shared" si="23"/>
        <v>1.6680412023369531</v>
      </c>
      <c r="EF55" s="78">
        <f t="shared" si="24"/>
        <v>1.2886126379800436</v>
      </c>
      <c r="EK55" s="62" t="s">
        <v>107</v>
      </c>
      <c r="EL55" s="66">
        <v>2573.5</v>
      </c>
      <c r="EM55" s="66">
        <v>2794.6</v>
      </c>
      <c r="EN55" s="108" t="s">
        <v>169</v>
      </c>
      <c r="EO55" s="108" t="s">
        <v>169</v>
      </c>
      <c r="EP55" s="108" t="s">
        <v>169</v>
      </c>
      <c r="FR55" s="335">
        <v>42909</v>
      </c>
      <c r="FS55" s="341">
        <v>314.5</v>
      </c>
      <c r="FT55" s="341"/>
    </row>
    <row r="56" spans="3:176" x14ac:dyDescent="0.6">
      <c r="EB56" s="335">
        <v>42893</v>
      </c>
      <c r="EC56" s="62">
        <v>314.02</v>
      </c>
      <c r="ED56" s="62">
        <v>2433.139893</v>
      </c>
      <c r="EE56" s="78">
        <f t="shared" si="23"/>
        <v>1.667499835545029</v>
      </c>
      <c r="EF56" s="78">
        <f t="shared" si="24"/>
        <v>1.2883454334506736</v>
      </c>
      <c r="EK56" s="62" t="s">
        <v>110</v>
      </c>
      <c r="EL56" s="66">
        <v>443.6</v>
      </c>
      <c r="EM56" s="66">
        <v>492.5</v>
      </c>
      <c r="EN56" s="108" t="s">
        <v>169</v>
      </c>
      <c r="EO56" s="108" t="s">
        <v>169</v>
      </c>
      <c r="EP56" s="108" t="s">
        <v>169</v>
      </c>
      <c r="FR56" s="335">
        <v>42908</v>
      </c>
      <c r="FS56" s="341">
        <v>314.58</v>
      </c>
      <c r="FT56" s="341"/>
    </row>
    <row r="57" spans="3:176" x14ac:dyDescent="0.6">
      <c r="EB57" s="335">
        <v>42892</v>
      </c>
      <c r="EC57" s="62">
        <v>314.01</v>
      </c>
      <c r="ED57" s="62">
        <v>2429.330078</v>
      </c>
      <c r="EE57" s="78">
        <f t="shared" si="23"/>
        <v>1.6674679894254787</v>
      </c>
      <c r="EF57" s="78">
        <f t="shared" si="24"/>
        <v>1.2867771759979292</v>
      </c>
      <c r="EK57" s="62" t="s">
        <v>111</v>
      </c>
      <c r="EL57" s="108" t="s">
        <v>169</v>
      </c>
      <c r="EM57" s="108" t="s">
        <v>169</v>
      </c>
      <c r="EN57" s="108" t="s">
        <v>169</v>
      </c>
      <c r="EO57" s="108" t="s">
        <v>169</v>
      </c>
      <c r="EP57" s="108" t="s">
        <v>169</v>
      </c>
      <c r="FR57" s="335">
        <v>42907</v>
      </c>
      <c r="FS57" s="341">
        <v>314.55</v>
      </c>
      <c r="FT57" s="341"/>
    </row>
    <row r="58" spans="3:176" x14ac:dyDescent="0.6">
      <c r="EB58" s="335">
        <v>42891</v>
      </c>
      <c r="EC58" s="62">
        <v>314.17</v>
      </c>
      <c r="ED58" s="62">
        <v>2436.1000979999999</v>
      </c>
      <c r="EE58" s="78">
        <f t="shared" si="23"/>
        <v>1.6679772678416229</v>
      </c>
      <c r="EF58" s="78">
        <f t="shared" si="24"/>
        <v>1.2895562161554162</v>
      </c>
      <c r="EK58" s="62" t="s">
        <v>170</v>
      </c>
      <c r="EL58" s="66">
        <v>170.1</v>
      </c>
      <c r="EM58" s="66">
        <v>192.3</v>
      </c>
      <c r="EN58" s="108" t="s">
        <v>169</v>
      </c>
      <c r="EO58" s="108" t="s">
        <v>169</v>
      </c>
      <c r="EP58" s="108" t="s">
        <v>169</v>
      </c>
      <c r="FR58" s="335">
        <v>42906</v>
      </c>
      <c r="FS58" s="341">
        <v>314.58999999999997</v>
      </c>
      <c r="FT58" s="341"/>
    </row>
    <row r="59" spans="3:176" x14ac:dyDescent="0.6">
      <c r="EB59" s="335">
        <v>42888</v>
      </c>
      <c r="EC59" s="62">
        <v>314.19</v>
      </c>
      <c r="ED59" s="62">
        <v>2439.070068</v>
      </c>
      <c r="EE59" s="78">
        <f t="shared" si="23"/>
        <v>1.6680409235913285</v>
      </c>
      <c r="EF59" s="78">
        <f t="shared" si="24"/>
        <v>1.2907738810511342</v>
      </c>
      <c r="EK59" s="62" t="s">
        <v>168</v>
      </c>
      <c r="EL59" s="66">
        <v>215</v>
      </c>
      <c r="EM59" s="66">
        <v>200</v>
      </c>
      <c r="EN59" s="108" t="s">
        <v>169</v>
      </c>
      <c r="EO59" s="108" t="s">
        <v>169</v>
      </c>
      <c r="EP59" s="108" t="s">
        <v>169</v>
      </c>
      <c r="FR59" s="335">
        <v>42905</v>
      </c>
      <c r="FS59" s="341">
        <v>314.64999999999998</v>
      </c>
      <c r="FT59" s="341"/>
    </row>
    <row r="60" spans="3:176" x14ac:dyDescent="0.6">
      <c r="EB60" s="335">
        <v>42887</v>
      </c>
      <c r="EC60" s="62">
        <v>314.44</v>
      </c>
      <c r="ED60" s="62">
        <v>2430.0600589999999</v>
      </c>
      <c r="EE60" s="78">
        <f t="shared" si="23"/>
        <v>1.6688359878325192</v>
      </c>
      <c r="EF60" s="78">
        <f t="shared" si="24"/>
        <v>1.2870661500563259</v>
      </c>
      <c r="FR60" s="335">
        <v>42902</v>
      </c>
      <c r="FS60" s="341">
        <v>314.57</v>
      </c>
      <c r="FT60" s="341"/>
    </row>
    <row r="61" spans="3:176" x14ac:dyDescent="0.6">
      <c r="EB61" s="335">
        <v>42886</v>
      </c>
      <c r="EC61" s="62">
        <v>314.49</v>
      </c>
      <c r="ED61" s="62">
        <v>2411.8000489999999</v>
      </c>
      <c r="EE61" s="78">
        <f t="shared" si="23"/>
        <v>1.6689949753996915</v>
      </c>
      <c r="EF61" s="78">
        <f t="shared" si="24"/>
        <v>1.2794950373483835</v>
      </c>
      <c r="EK61" s="81" t="s">
        <v>203</v>
      </c>
      <c r="EL61" s="110">
        <v>2017</v>
      </c>
      <c r="EM61" s="110">
        <f>EL61+1</f>
        <v>2018</v>
      </c>
      <c r="EN61" s="110">
        <f>EM61+1</f>
        <v>2019</v>
      </c>
      <c r="EO61" s="110">
        <f>EN61+1</f>
        <v>2020</v>
      </c>
      <c r="EP61" s="110">
        <f>EO61+1</f>
        <v>2021</v>
      </c>
      <c r="FR61" s="335">
        <v>42901</v>
      </c>
      <c r="FS61" s="341">
        <v>314.45</v>
      </c>
      <c r="FT61" s="341"/>
    </row>
    <row r="62" spans="3:176" x14ac:dyDescent="0.6">
      <c r="EB62" s="335">
        <v>42885</v>
      </c>
      <c r="EC62" s="62">
        <v>314.45999999999998</v>
      </c>
      <c r="ED62" s="62">
        <v>2412.9099120000001</v>
      </c>
      <c r="EE62" s="78">
        <f t="shared" si="23"/>
        <v>1.6688995737587833</v>
      </c>
      <c r="EF62" s="78">
        <f t="shared" si="24"/>
        <v>1.2799550060336959</v>
      </c>
      <c r="EK62" s="62" t="s">
        <v>107</v>
      </c>
      <c r="EL62" s="66">
        <v>2583.9</v>
      </c>
      <c r="EM62" s="66">
        <v>2828.6</v>
      </c>
      <c r="EN62" s="108">
        <v>3094.6</v>
      </c>
      <c r="EO62" s="108" t="s">
        <v>169</v>
      </c>
      <c r="EP62" s="108" t="s">
        <v>169</v>
      </c>
      <c r="FR62" s="335">
        <v>42900</v>
      </c>
      <c r="FS62" s="341">
        <v>314.47000000000003</v>
      </c>
      <c r="FT62" s="341"/>
    </row>
    <row r="63" spans="3:176" x14ac:dyDescent="0.6">
      <c r="EB63" s="335">
        <v>42881</v>
      </c>
      <c r="EC63" s="62">
        <v>313.83999999999997</v>
      </c>
      <c r="ED63" s="62">
        <v>2415.820068</v>
      </c>
      <c r="EE63" s="78">
        <f t="shared" si="23"/>
        <v>1.6669240448268434</v>
      </c>
      <c r="EF63" s="78">
        <f t="shared" si="24"/>
        <v>1.2811596305165156</v>
      </c>
      <c r="EK63" s="62" t="s">
        <v>110</v>
      </c>
      <c r="EL63" s="66">
        <v>438.2</v>
      </c>
      <c r="EM63" s="66">
        <v>490.3</v>
      </c>
      <c r="EN63" s="108">
        <v>554</v>
      </c>
      <c r="EO63" s="108" t="s">
        <v>169</v>
      </c>
      <c r="EP63" s="108" t="s">
        <v>169</v>
      </c>
      <c r="FR63" s="335">
        <v>42899</v>
      </c>
      <c r="FS63" s="341">
        <v>314.51</v>
      </c>
      <c r="FT63" s="341"/>
    </row>
    <row r="64" spans="3:176" x14ac:dyDescent="0.6">
      <c r="EB64" s="335">
        <v>42880</v>
      </c>
      <c r="EC64" s="62">
        <v>313.7</v>
      </c>
      <c r="ED64" s="62">
        <v>2415.070068</v>
      </c>
      <c r="EE64" s="78">
        <f t="shared" si="23"/>
        <v>1.6664777585660848</v>
      </c>
      <c r="EF64" s="78">
        <f t="shared" si="24"/>
        <v>1.280849080520498</v>
      </c>
      <c r="EK64" s="62" t="s">
        <v>111</v>
      </c>
      <c r="EL64" s="108" t="s">
        <v>169</v>
      </c>
      <c r="EM64" s="108" t="s">
        <v>169</v>
      </c>
      <c r="EN64" s="108" t="s">
        <v>169</v>
      </c>
      <c r="EO64" s="108" t="s">
        <v>169</v>
      </c>
      <c r="EP64" s="108" t="s">
        <v>169</v>
      </c>
      <c r="FR64" s="335">
        <v>42898</v>
      </c>
      <c r="FS64" s="341">
        <v>314.39999999999998</v>
      </c>
      <c r="FT64" s="341"/>
    </row>
    <row r="65" spans="132:176" x14ac:dyDescent="0.6">
      <c r="EB65" s="335">
        <v>42879</v>
      </c>
      <c r="EC65" s="62">
        <v>313.48</v>
      </c>
      <c r="ED65" s="62">
        <v>2404.389893</v>
      </c>
      <c r="EE65" s="78">
        <f t="shared" si="23"/>
        <v>1.665775959408244</v>
      </c>
      <c r="EF65" s="78">
        <f t="shared" si="24"/>
        <v>1.2764071324691051</v>
      </c>
      <c r="EK65" s="62" t="s">
        <v>170</v>
      </c>
      <c r="EL65" s="66">
        <v>168.5</v>
      </c>
      <c r="EM65" s="66">
        <v>192.9</v>
      </c>
      <c r="EN65" s="108">
        <v>228</v>
      </c>
      <c r="EO65" s="108" t="s">
        <v>169</v>
      </c>
      <c r="EP65" s="108" t="s">
        <v>169</v>
      </c>
      <c r="FR65" s="335">
        <v>42895</v>
      </c>
      <c r="FS65" s="341">
        <v>314.22000000000003</v>
      </c>
      <c r="FT65" s="341"/>
    </row>
    <row r="66" spans="132:176" x14ac:dyDescent="0.6">
      <c r="EB66" s="335">
        <v>42878</v>
      </c>
      <c r="EC66" s="62">
        <v>313.33999999999997</v>
      </c>
      <c r="ED66" s="62">
        <v>2398.419922</v>
      </c>
      <c r="EE66" s="78">
        <f t="shared" si="23"/>
        <v>1.6653291604039673</v>
      </c>
      <c r="EF66" s="78">
        <f t="shared" si="24"/>
        <v>1.2739180057964823</v>
      </c>
      <c r="EK66" s="62" t="s">
        <v>168</v>
      </c>
      <c r="EL66" s="108" t="s">
        <v>169</v>
      </c>
      <c r="EM66" s="108" t="s">
        <v>169</v>
      </c>
      <c r="EN66" s="108" t="s">
        <v>169</v>
      </c>
      <c r="EO66" s="108" t="s">
        <v>169</v>
      </c>
      <c r="EP66" s="108" t="s">
        <v>169</v>
      </c>
      <c r="FR66" s="335">
        <v>42894</v>
      </c>
      <c r="FS66" s="341">
        <v>314.19</v>
      </c>
      <c r="FT66" s="341"/>
    </row>
    <row r="67" spans="132:176" x14ac:dyDescent="0.6">
      <c r="EB67" s="335">
        <v>42877</v>
      </c>
      <c r="EC67" s="62">
        <v>313.08</v>
      </c>
      <c r="ED67" s="62">
        <v>2394.0200199999999</v>
      </c>
      <c r="EE67" s="78">
        <f t="shared" si="23"/>
        <v>1.6644987017352564</v>
      </c>
      <c r="EF67" s="78">
        <f t="shared" si="24"/>
        <v>1.2720801339477747</v>
      </c>
      <c r="FR67" s="335">
        <v>42893</v>
      </c>
      <c r="FS67" s="341">
        <v>314.02</v>
      </c>
      <c r="FT67" s="341"/>
    </row>
    <row r="68" spans="132:176" x14ac:dyDescent="0.6">
      <c r="EB68" s="335">
        <v>42874</v>
      </c>
      <c r="EC68" s="62">
        <v>313.05</v>
      </c>
      <c r="ED68" s="62">
        <v>2381.7299800000001</v>
      </c>
      <c r="EE68" s="78">
        <f t="shared" si="23"/>
        <v>1.6644028703984093</v>
      </c>
      <c r="EF68" s="78">
        <f t="shared" si="24"/>
        <v>1.2669200024033922</v>
      </c>
      <c r="EK68" s="81" t="s">
        <v>204</v>
      </c>
      <c r="EL68" s="110">
        <v>2017</v>
      </c>
      <c r="EM68" s="110">
        <f>EL68+1</f>
        <v>2018</v>
      </c>
      <c r="EN68" s="110">
        <f>EM68+1</f>
        <v>2019</v>
      </c>
      <c r="EO68" s="110">
        <f>EN68+1</f>
        <v>2020</v>
      </c>
      <c r="EP68" s="110">
        <f>EO68+1</f>
        <v>2021</v>
      </c>
      <c r="FR68" s="335">
        <v>42892</v>
      </c>
      <c r="FS68" s="341">
        <v>314.01</v>
      </c>
      <c r="FT68" s="341"/>
    </row>
    <row r="69" spans="132:176" x14ac:dyDescent="0.6">
      <c r="EB69" s="335">
        <v>42873</v>
      </c>
      <c r="EC69" s="62">
        <v>312.88</v>
      </c>
      <c r="ED69" s="62">
        <v>2365.719971</v>
      </c>
      <c r="EE69" s="78">
        <f t="shared" si="23"/>
        <v>1.6638595310989974</v>
      </c>
      <c r="EF69" s="78">
        <f t="shared" si="24"/>
        <v>1.2601525027854079</v>
      </c>
      <c r="EK69" s="62" t="s">
        <v>107</v>
      </c>
      <c r="EL69" s="66">
        <v>2945.306</v>
      </c>
      <c r="EM69" s="66">
        <v>3151.5830000000001</v>
      </c>
      <c r="EN69" s="108" t="s">
        <v>169</v>
      </c>
      <c r="EO69" s="108" t="s">
        <v>169</v>
      </c>
      <c r="EP69" s="108" t="s">
        <v>169</v>
      </c>
      <c r="FR69" s="335">
        <v>42891</v>
      </c>
      <c r="FS69" s="341">
        <v>314.17</v>
      </c>
      <c r="FT69" s="341"/>
    </row>
    <row r="70" spans="132:176" x14ac:dyDescent="0.6">
      <c r="EB70" s="335">
        <v>42872</v>
      </c>
      <c r="EC70" s="62">
        <v>312.87</v>
      </c>
      <c r="ED70" s="62">
        <v>2357.030029</v>
      </c>
      <c r="EE70" s="78">
        <f t="shared" si="23"/>
        <v>1.6638275689421911</v>
      </c>
      <c r="EF70" s="78">
        <f t="shared" si="24"/>
        <v>1.2564656842497584</v>
      </c>
      <c r="EK70" s="62" t="s">
        <v>110</v>
      </c>
      <c r="EL70" s="66">
        <v>438.642</v>
      </c>
      <c r="EM70" s="66">
        <v>479.17899999999997</v>
      </c>
      <c r="EN70" s="108" t="s">
        <v>169</v>
      </c>
      <c r="EO70" s="108" t="s">
        <v>169</v>
      </c>
      <c r="EP70" s="108" t="s">
        <v>169</v>
      </c>
      <c r="FR70" s="335">
        <v>42888</v>
      </c>
      <c r="FS70" s="341">
        <v>314.19</v>
      </c>
      <c r="FT70" s="341"/>
    </row>
    <row r="71" spans="132:176" x14ac:dyDescent="0.6">
      <c r="EB71" s="335">
        <v>42871</v>
      </c>
      <c r="EC71" s="62">
        <v>313.02999999999997</v>
      </c>
      <c r="ED71" s="62">
        <v>2400.669922</v>
      </c>
      <c r="EE71" s="78">
        <f t="shared" si="23"/>
        <v>1.6643387020604226</v>
      </c>
      <c r="EF71" s="78">
        <f t="shared" si="24"/>
        <v>1.2746438988389774</v>
      </c>
      <c r="EK71" s="62" t="s">
        <v>111</v>
      </c>
      <c r="EL71" s="66">
        <v>273.90100000000001</v>
      </c>
      <c r="EM71" s="66">
        <v>303.65199999999999</v>
      </c>
      <c r="EN71" s="108" t="s">
        <v>169</v>
      </c>
      <c r="EO71" s="108" t="s">
        <v>169</v>
      </c>
      <c r="EP71" s="108" t="s">
        <v>169</v>
      </c>
      <c r="FR71" s="335">
        <v>42887</v>
      </c>
      <c r="FS71" s="341">
        <v>314.44</v>
      </c>
      <c r="FT71" s="341"/>
    </row>
    <row r="72" spans="132:176" x14ac:dyDescent="0.6">
      <c r="EB72" s="335">
        <v>42870</v>
      </c>
      <c r="EC72" s="62">
        <v>312.97000000000003</v>
      </c>
      <c r="ED72" s="62">
        <v>2402.320068</v>
      </c>
      <c r="EE72" s="78">
        <f t="shared" si="23"/>
        <v>1.6641469903947679</v>
      </c>
      <c r="EF72" s="78">
        <f t="shared" si="24"/>
        <v>1.2753307956525954</v>
      </c>
      <c r="EK72" s="62" t="s">
        <v>170</v>
      </c>
      <c r="EL72" s="66">
        <v>171.95599999999999</v>
      </c>
      <c r="EM72" s="66">
        <v>191.369</v>
      </c>
      <c r="EN72" s="108" t="s">
        <v>169</v>
      </c>
      <c r="EO72" s="108" t="s">
        <v>169</v>
      </c>
      <c r="EP72" s="108" t="s">
        <v>169</v>
      </c>
      <c r="FR72" s="335">
        <v>42886</v>
      </c>
      <c r="FS72" s="341">
        <v>314.49</v>
      </c>
      <c r="FT72" s="341"/>
    </row>
    <row r="73" spans="132:176" x14ac:dyDescent="0.6">
      <c r="EB73" s="335">
        <v>42867</v>
      </c>
      <c r="EC73" s="62">
        <v>312.85000000000002</v>
      </c>
      <c r="ED73" s="62">
        <v>2390.8999020000001</v>
      </c>
      <c r="EE73" s="78">
        <f t="shared" si="23"/>
        <v>1.6637634199936171</v>
      </c>
      <c r="EF73" s="78">
        <f t="shared" si="24"/>
        <v>1.2705542820099929</v>
      </c>
      <c r="EK73" s="62" t="s">
        <v>168</v>
      </c>
      <c r="EL73" s="108" t="s">
        <v>169</v>
      </c>
      <c r="EM73" s="108" t="s">
        <v>169</v>
      </c>
      <c r="EN73" s="108" t="s">
        <v>169</v>
      </c>
      <c r="EO73" s="108" t="s">
        <v>169</v>
      </c>
      <c r="EP73" s="108" t="s">
        <v>169</v>
      </c>
      <c r="FR73" s="335">
        <v>42885</v>
      </c>
      <c r="FS73" s="341">
        <v>314.45999999999998</v>
      </c>
      <c r="FT73" s="341"/>
    </row>
    <row r="74" spans="132:176" x14ac:dyDescent="0.6">
      <c r="EB74" s="335">
        <v>42866</v>
      </c>
      <c r="EC74" s="62">
        <v>312.98</v>
      </c>
      <c r="ED74" s="62">
        <v>2394.4399410000001</v>
      </c>
      <c r="EE74" s="78">
        <f t="shared" si="23"/>
        <v>1.6641787819975791</v>
      </c>
      <c r="EF74" s="78">
        <f t="shared" si="24"/>
        <v>1.2720327233521138</v>
      </c>
      <c r="FR74" s="335">
        <v>42881</v>
      </c>
      <c r="FS74" s="341">
        <v>313.83999999999997</v>
      </c>
      <c r="FT74" s="341"/>
    </row>
    <row r="75" spans="132:176" x14ac:dyDescent="0.6">
      <c r="EB75" s="335">
        <v>42865</v>
      </c>
      <c r="EC75" s="62">
        <v>313.01</v>
      </c>
      <c r="ED75" s="62">
        <v>2399.6298830000001</v>
      </c>
      <c r="EE75" s="78">
        <f t="shared" si="23"/>
        <v>1.6642746255808512</v>
      </c>
      <c r="EF75" s="78">
        <f t="shared" si="24"/>
        <v>1.2741955327239955</v>
      </c>
      <c r="FR75" s="335">
        <v>42880</v>
      </c>
      <c r="FS75" s="341">
        <v>313.7</v>
      </c>
      <c r="FT75" s="341"/>
    </row>
    <row r="76" spans="132:176" x14ac:dyDescent="0.6">
      <c r="EB76" s="335">
        <v>42864</v>
      </c>
      <c r="EC76" s="62">
        <v>313.05</v>
      </c>
      <c r="ED76" s="62">
        <v>2396.919922</v>
      </c>
      <c r="EE76" s="78">
        <f t="shared" si="23"/>
        <v>1.6644024006966474</v>
      </c>
      <c r="EF76" s="78">
        <f t="shared" si="24"/>
        <v>1.2730649313321314</v>
      </c>
      <c r="FR76" s="335">
        <v>42879</v>
      </c>
      <c r="FS76" s="341">
        <v>313.48</v>
      </c>
      <c r="FT76" s="341"/>
    </row>
    <row r="77" spans="132:176" x14ac:dyDescent="0.6">
      <c r="EB77" s="335">
        <v>42863</v>
      </c>
      <c r="EC77" s="62">
        <v>312.83999999999997</v>
      </c>
      <c r="ED77" s="62">
        <v>2399.3798830000001</v>
      </c>
      <c r="EE77" s="78">
        <f t="shared" si="23"/>
        <v>1.6637311310380358</v>
      </c>
      <c r="EF77" s="78">
        <f t="shared" si="24"/>
        <v>1.2740901799880151</v>
      </c>
      <c r="FR77" s="335">
        <v>42878</v>
      </c>
      <c r="FS77" s="341">
        <v>313.33999999999997</v>
      </c>
      <c r="FT77" s="341"/>
    </row>
    <row r="78" spans="132:176" x14ac:dyDescent="0.6">
      <c r="EB78" s="335">
        <v>42860</v>
      </c>
      <c r="EC78" s="62">
        <v>313.16000000000003</v>
      </c>
      <c r="ED78" s="62">
        <v>2399.290039</v>
      </c>
      <c r="EE78" s="78">
        <f t="shared" si="23"/>
        <v>1.6647529729080066</v>
      </c>
      <c r="EF78" s="78">
        <f t="shared" si="24"/>
        <v>1.2740527339108256</v>
      </c>
      <c r="FR78" s="335">
        <v>42877</v>
      </c>
      <c r="FS78" s="341">
        <v>313.08</v>
      </c>
      <c r="FT78" s="341"/>
    </row>
    <row r="79" spans="132:176" x14ac:dyDescent="0.6">
      <c r="EB79" s="335">
        <v>42859</v>
      </c>
      <c r="EC79" s="62">
        <v>313.33</v>
      </c>
      <c r="ED79" s="62">
        <v>2389.5200199999999</v>
      </c>
      <c r="EE79" s="78">
        <f t="shared" si="23"/>
        <v>1.6652955318713998</v>
      </c>
      <c r="EF79" s="78">
        <f t="shared" si="24"/>
        <v>1.2699640387259239</v>
      </c>
      <c r="FR79" s="335">
        <v>42874</v>
      </c>
      <c r="FS79" s="341">
        <v>313.05</v>
      </c>
      <c r="FT79" s="341"/>
    </row>
    <row r="80" spans="132:176" x14ac:dyDescent="0.6">
      <c r="EB80" s="335">
        <v>42858</v>
      </c>
      <c r="EC80" s="62">
        <v>313.20999999999998</v>
      </c>
      <c r="ED80" s="62">
        <v>2388.1298830000001</v>
      </c>
      <c r="EE80" s="78">
        <f t="shared" si="23"/>
        <v>1.6649124023416912</v>
      </c>
      <c r="EF80" s="78">
        <f t="shared" si="24"/>
        <v>1.2693819359643046</v>
      </c>
      <c r="FR80" s="335">
        <v>42873</v>
      </c>
      <c r="FS80" s="341">
        <v>312.88</v>
      </c>
      <c r="FT80" s="341"/>
    </row>
    <row r="81" spans="132:176" x14ac:dyDescent="0.6">
      <c r="EB81" s="335">
        <v>42857</v>
      </c>
      <c r="EC81" s="62">
        <v>313.25</v>
      </c>
      <c r="ED81" s="62">
        <v>2391.169922</v>
      </c>
      <c r="EE81" s="78">
        <f t="shared" si="23"/>
        <v>1.665040095877206</v>
      </c>
      <c r="EF81" s="78">
        <f t="shared" si="24"/>
        <v>1.2706532964694823</v>
      </c>
      <c r="FR81" s="335">
        <v>42872</v>
      </c>
      <c r="FS81" s="341">
        <v>312.87</v>
      </c>
      <c r="FT81" s="341"/>
    </row>
    <row r="82" spans="132:176" x14ac:dyDescent="0.6">
      <c r="EB82" s="335">
        <v>42856</v>
      </c>
      <c r="EC82" s="62">
        <v>313.07</v>
      </c>
      <c r="ED82" s="62">
        <v>2388.330078</v>
      </c>
      <c r="EE82" s="78">
        <f t="shared" si="23"/>
        <v>1.6644651445883569</v>
      </c>
      <c r="EF82" s="78">
        <f t="shared" si="24"/>
        <v>1.2694642464189223</v>
      </c>
      <c r="FR82" s="335">
        <v>42871</v>
      </c>
      <c r="FS82" s="341">
        <v>313.02999999999997</v>
      </c>
      <c r="FT82" s="341"/>
    </row>
    <row r="83" spans="132:176" x14ac:dyDescent="0.6">
      <c r="EB83" s="335">
        <v>42853</v>
      </c>
      <c r="EC83" s="62">
        <v>312.68</v>
      </c>
      <c r="ED83" s="62">
        <v>2384.1999510000001</v>
      </c>
      <c r="EE83" s="78">
        <f t="shared" si="23"/>
        <v>1.6632178630225389</v>
      </c>
      <c r="EF83" s="78">
        <f t="shared" si="24"/>
        <v>1.2677319558875566</v>
      </c>
      <c r="FR83" s="335">
        <v>42870</v>
      </c>
      <c r="FS83" s="341">
        <v>312.97000000000003</v>
      </c>
      <c r="FT83" s="341"/>
    </row>
    <row r="84" spans="132:176" x14ac:dyDescent="0.6">
      <c r="EB84" s="335">
        <v>42852</v>
      </c>
      <c r="EC84" s="62">
        <v>313.39</v>
      </c>
      <c r="ED84" s="62">
        <v>2388.7700199999999</v>
      </c>
      <c r="EE84" s="78">
        <f t="shared" si="23"/>
        <v>1.665483410742632</v>
      </c>
      <c r="EF84" s="78">
        <f t="shared" si="24"/>
        <v>1.2696451032235232</v>
      </c>
      <c r="FR84" s="335">
        <v>42867</v>
      </c>
      <c r="FS84" s="341">
        <v>312.85000000000002</v>
      </c>
      <c r="FT84" s="341"/>
    </row>
    <row r="85" spans="132:176" x14ac:dyDescent="0.6">
      <c r="EB85" s="335">
        <v>42851</v>
      </c>
      <c r="EC85" s="62">
        <v>313.51</v>
      </c>
      <c r="ED85" s="62">
        <v>2387.4499510000001</v>
      </c>
      <c r="EE85" s="78">
        <f t="shared" si="23"/>
        <v>1.6658661736529059</v>
      </c>
      <c r="EF85" s="78">
        <f t="shared" si="24"/>
        <v>1.269092183151022</v>
      </c>
      <c r="FR85" s="335">
        <v>42866</v>
      </c>
      <c r="FS85" s="341">
        <v>312.98</v>
      </c>
      <c r="FT85" s="341"/>
    </row>
    <row r="86" spans="132:176" x14ac:dyDescent="0.6">
      <c r="EB86" s="335">
        <v>42850</v>
      </c>
      <c r="EC86" s="62">
        <v>313.72000000000003</v>
      </c>
      <c r="ED86" s="62">
        <v>2388.610107</v>
      </c>
      <c r="EE86" s="78">
        <f t="shared" si="23"/>
        <v>1.6665355603671734</v>
      </c>
      <c r="EF86" s="78">
        <f t="shared" si="24"/>
        <v>1.2695778865299869</v>
      </c>
      <c r="FR86" s="335">
        <v>42865</v>
      </c>
      <c r="FS86" s="341">
        <v>313.01</v>
      </c>
      <c r="FT86" s="341"/>
    </row>
    <row r="87" spans="132:176" x14ac:dyDescent="0.6">
      <c r="EB87" s="335">
        <v>42849</v>
      </c>
      <c r="EC87" s="62">
        <v>314.07</v>
      </c>
      <c r="ED87" s="62">
        <v>2374.1499020000001</v>
      </c>
      <c r="EE87" s="78">
        <f t="shared" si="23"/>
        <v>1.6676499616153027</v>
      </c>
      <c r="EF87" s="78">
        <f t="shared" si="24"/>
        <v>1.2634871990852647</v>
      </c>
      <c r="FR87" s="335">
        <v>42864</v>
      </c>
      <c r="FS87" s="341">
        <v>313.05</v>
      </c>
      <c r="FT87" s="341"/>
    </row>
    <row r="88" spans="132:176" x14ac:dyDescent="0.6">
      <c r="EB88" s="335">
        <v>42846</v>
      </c>
      <c r="EC88" s="62">
        <v>314.27</v>
      </c>
      <c r="ED88" s="62">
        <v>2348.6899410000001</v>
      </c>
      <c r="EE88" s="78">
        <f t="shared" si="23"/>
        <v>1.668286357071439</v>
      </c>
      <c r="EF88" s="78">
        <f t="shared" si="24"/>
        <v>1.2526471300937996</v>
      </c>
      <c r="FR88" s="335">
        <v>42863</v>
      </c>
      <c r="FS88" s="341">
        <v>312.83999999999997</v>
      </c>
      <c r="FT88" s="341"/>
    </row>
    <row r="89" spans="132:176" x14ac:dyDescent="0.6">
      <c r="EB89" s="335">
        <v>42845</v>
      </c>
      <c r="EC89" s="62">
        <v>314.39999999999998</v>
      </c>
      <c r="ED89" s="62">
        <v>2355.8400879999999</v>
      </c>
      <c r="EE89" s="78">
        <f t="shared" si="23"/>
        <v>1.6686998430765281</v>
      </c>
      <c r="EF89" s="78">
        <f t="shared" si="24"/>
        <v>1.2556822032451653</v>
      </c>
      <c r="FR89" s="335">
        <v>42860</v>
      </c>
      <c r="FS89" s="341">
        <v>313.16000000000003</v>
      </c>
      <c r="FT89" s="341"/>
    </row>
    <row r="90" spans="132:176" x14ac:dyDescent="0.6">
      <c r="EB90" s="335">
        <v>42844</v>
      </c>
      <c r="EC90" s="62">
        <v>314.98</v>
      </c>
      <c r="ED90" s="62">
        <v>2338.169922</v>
      </c>
      <c r="EE90" s="78">
        <f t="shared" si="23"/>
        <v>1.6705412298312428</v>
      </c>
      <c r="EF90" s="78">
        <f t="shared" si="24"/>
        <v>1.2481249398342644</v>
      </c>
      <c r="FR90" s="335">
        <v>42859</v>
      </c>
      <c r="FS90" s="341">
        <v>313.33</v>
      </c>
      <c r="FT90" s="341"/>
    </row>
    <row r="91" spans="132:176" x14ac:dyDescent="0.6">
      <c r="EB91" s="335">
        <v>42843</v>
      </c>
      <c r="EC91" s="62">
        <v>315.23</v>
      </c>
      <c r="ED91" s="62">
        <v>2342.1899410000001</v>
      </c>
      <c r="EE91" s="78">
        <f t="shared" si="23"/>
        <v>1.6713343015566495</v>
      </c>
      <c r="EF91" s="78">
        <f t="shared" si="24"/>
        <v>1.2498412903870653</v>
      </c>
      <c r="FR91" s="335">
        <v>42858</v>
      </c>
      <c r="FS91" s="341">
        <v>313.20999999999998</v>
      </c>
      <c r="FT91" s="341"/>
    </row>
    <row r="92" spans="132:176" x14ac:dyDescent="0.6">
      <c r="EB92" s="335">
        <v>42842</v>
      </c>
      <c r="EC92" s="62">
        <v>314.99</v>
      </c>
      <c r="ED92" s="62">
        <v>2349.01001</v>
      </c>
      <c r="EE92" s="78">
        <f t="shared" si="23"/>
        <v>1.670572372606524</v>
      </c>
      <c r="EF92" s="78">
        <f t="shared" si="24"/>
        <v>1.2527446705220864</v>
      </c>
      <c r="FR92" s="335">
        <v>42857</v>
      </c>
      <c r="FS92" s="341">
        <v>313.25</v>
      </c>
      <c r="FT92" s="341"/>
    </row>
    <row r="93" spans="132:176" x14ac:dyDescent="0.6">
      <c r="EB93" s="335">
        <v>42838</v>
      </c>
      <c r="EC93" s="62">
        <v>315.44</v>
      </c>
      <c r="ED93" s="62">
        <v>2328.9499510000001</v>
      </c>
      <c r="EE93" s="78">
        <f t="shared" ref="EE93:EE156" si="28">EE94+(EC93-EC94)/EC94</f>
        <v>1.6719989513536708</v>
      </c>
      <c r="EF93" s="78">
        <f t="shared" ref="EF93:EF156" si="29">EF94+(ED93-ED94)/ED94</f>
        <v>1.2441313214067966</v>
      </c>
      <c r="FR93" s="335">
        <v>42856</v>
      </c>
      <c r="FS93" s="341">
        <v>313.07</v>
      </c>
      <c r="FT93" s="341"/>
    </row>
    <row r="94" spans="132:176" x14ac:dyDescent="0.6">
      <c r="EB94" s="335">
        <v>42837</v>
      </c>
      <c r="EC94" s="62">
        <v>314.2</v>
      </c>
      <c r="ED94" s="62">
        <v>2344.929932</v>
      </c>
      <c r="EE94" s="78">
        <f t="shared" si="28"/>
        <v>1.6680524204816147</v>
      </c>
      <c r="EF94" s="78">
        <f t="shared" si="29"/>
        <v>1.2509460158596797</v>
      </c>
      <c r="FR94" s="335">
        <v>42853</v>
      </c>
      <c r="FS94" s="341">
        <v>312.68</v>
      </c>
      <c r="FT94" s="341"/>
    </row>
    <row r="95" spans="132:176" x14ac:dyDescent="0.6">
      <c r="EB95" s="335">
        <v>42836</v>
      </c>
      <c r="EC95" s="62">
        <v>313.82</v>
      </c>
      <c r="ED95" s="62">
        <v>2353.780029</v>
      </c>
      <c r="EE95" s="78">
        <f t="shared" si="28"/>
        <v>1.6668415352607875</v>
      </c>
      <c r="EF95" s="78">
        <f t="shared" si="29"/>
        <v>1.2547059666158937</v>
      </c>
      <c r="FR95" s="335">
        <v>42852</v>
      </c>
      <c r="FS95" s="341">
        <v>313.39</v>
      </c>
      <c r="FT95" s="341"/>
    </row>
    <row r="96" spans="132:176" x14ac:dyDescent="0.6">
      <c r="EB96" s="335">
        <v>42835</v>
      </c>
      <c r="EC96" s="62">
        <v>313.3</v>
      </c>
      <c r="ED96" s="62">
        <v>2357.1599120000001</v>
      </c>
      <c r="EE96" s="78">
        <f t="shared" si="28"/>
        <v>1.6651817842234431</v>
      </c>
      <c r="EF96" s="78">
        <f t="shared" si="29"/>
        <v>1.2561398459987874</v>
      </c>
      <c r="FR96" s="335">
        <v>42851</v>
      </c>
      <c r="FS96" s="341">
        <v>313.51</v>
      </c>
      <c r="FT96" s="341"/>
    </row>
    <row r="97" spans="132:176" x14ac:dyDescent="0.6">
      <c r="EB97" s="335">
        <v>42832</v>
      </c>
      <c r="EC97" s="62">
        <v>312</v>
      </c>
      <c r="ED97" s="62">
        <v>2355.540039</v>
      </c>
      <c r="EE97" s="78">
        <f t="shared" si="28"/>
        <v>1.6610151175567764</v>
      </c>
      <c r="EF97" s="78">
        <f t="shared" si="29"/>
        <v>1.2554521595348851</v>
      </c>
      <c r="FR97" s="335">
        <v>42850</v>
      </c>
      <c r="FS97" s="341">
        <v>313.72000000000003</v>
      </c>
      <c r="FT97" s="341"/>
    </row>
    <row r="98" spans="132:176" x14ac:dyDescent="0.6">
      <c r="EB98" s="335">
        <v>42831</v>
      </c>
      <c r="EC98" s="62">
        <v>312.55</v>
      </c>
      <c r="ED98" s="62">
        <v>2357.48999</v>
      </c>
      <c r="EE98" s="78">
        <f t="shared" si="28"/>
        <v>1.6627748360018253</v>
      </c>
      <c r="EF98" s="78">
        <f t="shared" si="29"/>
        <v>1.2562792896640782</v>
      </c>
      <c r="FR98" s="335">
        <v>42849</v>
      </c>
      <c r="FS98" s="341">
        <v>314.07</v>
      </c>
      <c r="FT98" s="341"/>
    </row>
    <row r="99" spans="132:176" x14ac:dyDescent="0.6">
      <c r="EB99" s="335">
        <v>42830</v>
      </c>
      <c r="EC99" s="62">
        <v>312.94</v>
      </c>
      <c r="ED99" s="62">
        <v>2352.9499510000001</v>
      </c>
      <c r="EE99" s="78">
        <f t="shared" si="28"/>
        <v>1.6640210812884617</v>
      </c>
      <c r="EF99" s="78">
        <f t="shared" si="29"/>
        <v>1.2543497802845565</v>
      </c>
      <c r="FR99" s="335">
        <v>42846</v>
      </c>
      <c r="FS99" s="341">
        <v>314.27</v>
      </c>
      <c r="FT99" s="341"/>
    </row>
    <row r="100" spans="132:176" x14ac:dyDescent="0.6">
      <c r="EB100" s="335">
        <v>42829</v>
      </c>
      <c r="EC100" s="62">
        <v>274</v>
      </c>
      <c r="ED100" s="62">
        <v>2360.1599120000001</v>
      </c>
      <c r="EE100" s="78">
        <f t="shared" si="28"/>
        <v>1.5219042929672939</v>
      </c>
      <c r="EF100" s="78">
        <f t="shared" si="29"/>
        <v>1.2574046415095699</v>
      </c>
      <c r="FR100" s="335">
        <v>42845</v>
      </c>
      <c r="FS100" s="341">
        <v>314.39999999999998</v>
      </c>
      <c r="FT100" s="341"/>
    </row>
    <row r="101" spans="132:176" x14ac:dyDescent="0.6">
      <c r="EB101" s="335">
        <v>42828</v>
      </c>
      <c r="EC101" s="62">
        <v>282.63</v>
      </c>
      <c r="ED101" s="62">
        <v>2358.8400879999999</v>
      </c>
      <c r="EE101" s="78">
        <f t="shared" si="28"/>
        <v>1.5524389142035391</v>
      </c>
      <c r="EF101" s="78">
        <f t="shared" si="29"/>
        <v>1.2568451190532939</v>
      </c>
      <c r="EG101" s="78"/>
      <c r="FR101" s="335">
        <v>42844</v>
      </c>
      <c r="FS101" s="341">
        <v>314.98</v>
      </c>
      <c r="FT101" s="341"/>
    </row>
    <row r="102" spans="132:176" x14ac:dyDescent="0.6">
      <c r="EB102" s="335">
        <v>42825</v>
      </c>
      <c r="EC102" s="62">
        <v>261.87</v>
      </c>
      <c r="ED102" s="62">
        <v>2362.719971</v>
      </c>
      <c r="EE102" s="78">
        <f t="shared" si="28"/>
        <v>1.4731629375739137</v>
      </c>
      <c r="EF102" s="78">
        <f t="shared" si="29"/>
        <v>1.2584872446744515</v>
      </c>
      <c r="FR102" s="335">
        <v>42843</v>
      </c>
      <c r="FS102" s="341">
        <v>315.23</v>
      </c>
      <c r="FT102" s="341"/>
    </row>
    <row r="103" spans="132:176" x14ac:dyDescent="0.6">
      <c r="EB103" s="335">
        <v>42824</v>
      </c>
      <c r="EC103" s="62">
        <v>255.45</v>
      </c>
      <c r="ED103" s="62">
        <v>2368.0600589999999</v>
      </c>
      <c r="EE103" s="78">
        <f t="shared" si="28"/>
        <v>1.4480308177853054</v>
      </c>
      <c r="EF103" s="78">
        <f t="shared" si="29"/>
        <v>1.2607422922099667</v>
      </c>
      <c r="FR103" s="335">
        <v>42842</v>
      </c>
      <c r="FS103" s="341">
        <v>314.99</v>
      </c>
      <c r="FT103" s="341"/>
    </row>
    <row r="104" spans="132:176" x14ac:dyDescent="0.6">
      <c r="EB104" s="335">
        <v>42823</v>
      </c>
      <c r="EC104" s="62">
        <v>255.24</v>
      </c>
      <c r="ED104" s="62">
        <v>2361.1298830000001</v>
      </c>
      <c r="EE104" s="78">
        <f t="shared" si="28"/>
        <v>1.4472080627312387</v>
      </c>
      <c r="EF104" s="78">
        <f t="shared" si="29"/>
        <v>1.2578071821806978</v>
      </c>
      <c r="FR104" s="335">
        <v>42838</v>
      </c>
      <c r="FS104" s="341">
        <v>315.44</v>
      </c>
      <c r="FT104" s="341"/>
    </row>
    <row r="105" spans="132:176" x14ac:dyDescent="0.6">
      <c r="EB105" s="335">
        <v>42822</v>
      </c>
      <c r="EC105" s="62">
        <v>256.97000000000003</v>
      </c>
      <c r="ED105" s="62">
        <v>2358.570068</v>
      </c>
      <c r="EE105" s="78">
        <f t="shared" si="28"/>
        <v>1.4539403661129564</v>
      </c>
      <c r="EF105" s="78">
        <f t="shared" si="29"/>
        <v>1.256721857205735</v>
      </c>
      <c r="FR105" s="335">
        <v>42837</v>
      </c>
      <c r="FS105" s="341">
        <v>314.2</v>
      </c>
      <c r="FT105" s="341"/>
    </row>
    <row r="106" spans="132:176" x14ac:dyDescent="0.6">
      <c r="EB106" s="335">
        <v>42821</v>
      </c>
      <c r="EC106" s="62">
        <v>253.26</v>
      </c>
      <c r="ED106" s="62">
        <v>2341.5900879999999</v>
      </c>
      <c r="EE106" s="78">
        <f t="shared" si="28"/>
        <v>1.4392913887774117</v>
      </c>
      <c r="EF106" s="78">
        <f t="shared" si="29"/>
        <v>1.2494703830527576</v>
      </c>
      <c r="FR106" s="335">
        <v>42836</v>
      </c>
      <c r="FS106" s="341">
        <v>313.82</v>
      </c>
      <c r="FT106" s="341"/>
    </row>
    <row r="107" spans="132:176" x14ac:dyDescent="0.6">
      <c r="EB107" s="335">
        <v>42818</v>
      </c>
      <c r="EC107" s="62">
        <v>249.48</v>
      </c>
      <c r="ED107" s="62">
        <v>2343.9799800000001</v>
      </c>
      <c r="EE107" s="78">
        <f t="shared" si="28"/>
        <v>1.4241398736258966</v>
      </c>
      <c r="EF107" s="78">
        <f t="shared" si="29"/>
        <v>1.2504899702593002</v>
      </c>
      <c r="FR107" s="335">
        <v>42835</v>
      </c>
      <c r="FS107" s="341">
        <v>313.3</v>
      </c>
      <c r="FT107" s="341"/>
    </row>
    <row r="108" spans="132:176" x14ac:dyDescent="0.6">
      <c r="EB108" s="335">
        <v>42817</v>
      </c>
      <c r="EC108" s="62">
        <v>246.48</v>
      </c>
      <c r="ED108" s="62">
        <v>2345.959961</v>
      </c>
      <c r="EE108" s="78">
        <f t="shared" si="28"/>
        <v>1.41196850069503</v>
      </c>
      <c r="EF108" s="78">
        <f t="shared" si="29"/>
        <v>1.251333966334645</v>
      </c>
      <c r="FR108" s="335">
        <v>42832</v>
      </c>
      <c r="FS108" s="341">
        <v>312</v>
      </c>
      <c r="FT108" s="341"/>
    </row>
    <row r="109" spans="132:176" x14ac:dyDescent="0.6">
      <c r="EB109" s="335">
        <v>42816</v>
      </c>
      <c r="EC109" s="62">
        <v>245.03</v>
      </c>
      <c r="ED109" s="62">
        <v>2348.4499510000001</v>
      </c>
      <c r="EE109" s="78">
        <f t="shared" si="28"/>
        <v>1.406050857957406</v>
      </c>
      <c r="EF109" s="78">
        <f t="shared" si="29"/>
        <v>1.2523942358962508</v>
      </c>
      <c r="FR109" s="335">
        <v>42831</v>
      </c>
      <c r="FS109" s="341">
        <v>312.55</v>
      </c>
      <c r="FT109" s="341"/>
    </row>
    <row r="110" spans="132:176" x14ac:dyDescent="0.6">
      <c r="EB110" s="335">
        <v>42815</v>
      </c>
      <c r="EC110" s="62">
        <v>240.77</v>
      </c>
      <c r="ED110" s="62">
        <v>2344.0200199999999</v>
      </c>
      <c r="EE110" s="78">
        <f t="shared" si="28"/>
        <v>1.3883576237504867</v>
      </c>
      <c r="EF110" s="78">
        <f t="shared" si="29"/>
        <v>1.2505043497339303</v>
      </c>
      <c r="FR110" s="335">
        <v>42830</v>
      </c>
      <c r="FS110" s="341">
        <v>312.94</v>
      </c>
      <c r="FT110" s="341"/>
    </row>
    <row r="111" spans="132:176" x14ac:dyDescent="0.6">
      <c r="EB111" s="335">
        <v>42814</v>
      </c>
      <c r="EC111" s="62">
        <v>238.61</v>
      </c>
      <c r="ED111" s="62">
        <v>2373.469971</v>
      </c>
      <c r="EE111" s="78">
        <f t="shared" si="28"/>
        <v>1.3793051951012263</v>
      </c>
      <c r="EF111" s="78">
        <f t="shared" si="29"/>
        <v>1.2629123226005903</v>
      </c>
      <c r="EG111" s="78"/>
      <c r="FR111" s="335">
        <v>42829</v>
      </c>
      <c r="FS111" s="341">
        <v>274</v>
      </c>
      <c r="FT111" s="341"/>
    </row>
    <row r="112" spans="132:176" x14ac:dyDescent="0.6">
      <c r="EB112" s="335">
        <v>42811</v>
      </c>
      <c r="EC112" s="62">
        <v>238.39</v>
      </c>
      <c r="ED112" s="62">
        <v>2378.25</v>
      </c>
      <c r="EE112" s="78">
        <f t="shared" si="28"/>
        <v>1.3783823375988142</v>
      </c>
      <c r="EF112" s="78">
        <f t="shared" si="29"/>
        <v>1.2649222160096094</v>
      </c>
      <c r="FR112" s="335">
        <v>42828</v>
      </c>
      <c r="FS112" s="341">
        <v>282.63</v>
      </c>
      <c r="FT112" s="341"/>
    </row>
    <row r="113" spans="132:176" x14ac:dyDescent="0.6">
      <c r="EB113" s="335">
        <v>42810</v>
      </c>
      <c r="EC113" s="62">
        <v>235.73</v>
      </c>
      <c r="ED113" s="62">
        <v>2381.3798830000001</v>
      </c>
      <c r="EE113" s="78">
        <f t="shared" si="28"/>
        <v>1.3670982413870465</v>
      </c>
      <c r="EF113" s="78">
        <f t="shared" si="29"/>
        <v>1.2662365308832435</v>
      </c>
      <c r="FR113" s="335">
        <v>42825</v>
      </c>
      <c r="FS113" s="341">
        <v>261.87</v>
      </c>
      <c r="FT113" s="341"/>
    </row>
    <row r="114" spans="132:176" x14ac:dyDescent="0.6">
      <c r="EB114" s="335">
        <v>42809</v>
      </c>
      <c r="EC114" s="62">
        <v>236.49</v>
      </c>
      <c r="ED114" s="62">
        <v>2385.26001</v>
      </c>
      <c r="EE114" s="78">
        <f t="shared" si="28"/>
        <v>1.370311907926858</v>
      </c>
      <c r="EF114" s="78">
        <f t="shared" si="29"/>
        <v>1.2678632411721567</v>
      </c>
      <c r="FR114" s="335">
        <v>42824</v>
      </c>
      <c r="FS114" s="341">
        <v>255.45</v>
      </c>
      <c r="FT114" s="341"/>
    </row>
    <row r="115" spans="132:176" x14ac:dyDescent="0.6">
      <c r="EB115" s="335">
        <v>42808</v>
      </c>
      <c r="EC115" s="62">
        <v>234.27</v>
      </c>
      <c r="ED115" s="62">
        <v>2365.4499510000001</v>
      </c>
      <c r="EE115" s="78">
        <f t="shared" si="28"/>
        <v>1.3608356625689377</v>
      </c>
      <c r="EF115" s="78">
        <f t="shared" si="29"/>
        <v>1.2594884882032236</v>
      </c>
      <c r="FR115" s="335">
        <v>42823</v>
      </c>
      <c r="FS115" s="341">
        <v>255.24</v>
      </c>
      <c r="FT115" s="341"/>
    </row>
    <row r="116" spans="132:176" x14ac:dyDescent="0.6">
      <c r="EB116" s="335">
        <v>42807</v>
      </c>
      <c r="EC116" s="62">
        <v>234.47</v>
      </c>
      <c r="ED116" s="62">
        <v>2373.469971</v>
      </c>
      <c r="EE116" s="78">
        <f t="shared" si="28"/>
        <v>1.3616886501579684</v>
      </c>
      <c r="EF116" s="78">
        <f t="shared" si="29"/>
        <v>1.2628675155758011</v>
      </c>
      <c r="FR116" s="335">
        <v>42822</v>
      </c>
      <c r="FS116" s="341">
        <v>256.97000000000003</v>
      </c>
      <c r="FT116" s="341"/>
    </row>
    <row r="117" spans="132:176" x14ac:dyDescent="0.6">
      <c r="EB117" s="335">
        <v>42804</v>
      </c>
      <c r="EC117" s="62">
        <v>234.91</v>
      </c>
      <c r="ED117" s="62">
        <v>2372.6000979999999</v>
      </c>
      <c r="EE117" s="78">
        <f t="shared" si="28"/>
        <v>1.3635617079247726</v>
      </c>
      <c r="EF117" s="78">
        <f t="shared" si="29"/>
        <v>1.2625008827830548</v>
      </c>
      <c r="FR117" s="335">
        <v>42821</v>
      </c>
      <c r="FS117" s="341">
        <v>253.26</v>
      </c>
      <c r="FT117" s="341"/>
    </row>
    <row r="118" spans="132:176" x14ac:dyDescent="0.6">
      <c r="EB118" s="335">
        <v>42803</v>
      </c>
      <c r="EC118" s="62">
        <v>235.86</v>
      </c>
      <c r="ED118" s="62">
        <v>2364.8701169999999</v>
      </c>
      <c r="EE118" s="78">
        <f t="shared" si="28"/>
        <v>1.3675895210342444</v>
      </c>
      <c r="EF118" s="78">
        <f t="shared" si="29"/>
        <v>1.2592322123624544</v>
      </c>
      <c r="FR118" s="335">
        <v>42818</v>
      </c>
      <c r="FS118" s="341">
        <v>249.48</v>
      </c>
      <c r="FT118" s="341"/>
    </row>
    <row r="119" spans="132:176" x14ac:dyDescent="0.6">
      <c r="EB119" s="335">
        <v>42802</v>
      </c>
      <c r="EC119" s="62">
        <v>233.77</v>
      </c>
      <c r="ED119" s="62">
        <v>2362.9799800000001</v>
      </c>
      <c r="EE119" s="78">
        <f t="shared" si="28"/>
        <v>1.3586491095186521</v>
      </c>
      <c r="EF119" s="78">
        <f t="shared" si="29"/>
        <v>1.2584323168847111</v>
      </c>
      <c r="EG119" s="78"/>
      <c r="FR119" s="335">
        <v>42817</v>
      </c>
      <c r="FS119" s="341">
        <v>246.48</v>
      </c>
      <c r="FT119" s="341"/>
    </row>
    <row r="120" spans="132:176" x14ac:dyDescent="0.6">
      <c r="EB120" s="335">
        <v>42801</v>
      </c>
      <c r="EC120" s="62">
        <v>230.38</v>
      </c>
      <c r="ED120" s="62">
        <v>2368.389893</v>
      </c>
      <c r="EE120" s="78">
        <f t="shared" si="28"/>
        <v>1.3439342905239477</v>
      </c>
      <c r="EF120" s="78">
        <f t="shared" si="29"/>
        <v>1.2607165324253995</v>
      </c>
      <c r="FR120" s="335">
        <v>42816</v>
      </c>
      <c r="FS120" s="341">
        <v>245.03</v>
      </c>
      <c r="FT120" s="341"/>
    </row>
    <row r="121" spans="132:176" x14ac:dyDescent="0.6">
      <c r="EB121" s="335">
        <v>42800</v>
      </c>
      <c r="EC121" s="62">
        <v>230.08</v>
      </c>
      <c r="ED121" s="62">
        <v>2375.3100589999999</v>
      </c>
      <c r="EE121" s="78">
        <f t="shared" si="28"/>
        <v>1.3426303962263122</v>
      </c>
      <c r="EF121" s="78">
        <f t="shared" si="29"/>
        <v>1.2636299061863447</v>
      </c>
      <c r="FR121" s="335">
        <v>42815</v>
      </c>
      <c r="FS121" s="341">
        <v>240.77</v>
      </c>
      <c r="FT121" s="341"/>
    </row>
    <row r="122" spans="132:176" x14ac:dyDescent="0.6">
      <c r="EB122" s="335">
        <v>42797</v>
      </c>
      <c r="EC122" s="62">
        <v>229.04</v>
      </c>
      <c r="ED122" s="62">
        <v>2383.1201169999999</v>
      </c>
      <c r="EE122" s="78">
        <f t="shared" si="28"/>
        <v>1.3380897046440556</v>
      </c>
      <c r="EF122" s="78">
        <f t="shared" si="29"/>
        <v>1.2669071467854598</v>
      </c>
      <c r="FR122" s="335">
        <v>42814</v>
      </c>
      <c r="FS122" s="341">
        <v>238.61</v>
      </c>
      <c r="FT122" s="341"/>
    </row>
    <row r="123" spans="132:176" x14ac:dyDescent="0.6">
      <c r="EB123" s="335">
        <v>42796</v>
      </c>
      <c r="EC123" s="62">
        <v>230.13</v>
      </c>
      <c r="ED123" s="62">
        <v>2381.919922</v>
      </c>
      <c r="EE123" s="78">
        <f t="shared" si="28"/>
        <v>1.3428261579530549</v>
      </c>
      <c r="EF123" s="78">
        <f t="shared" si="29"/>
        <v>1.2664032696446228</v>
      </c>
      <c r="EG123" s="78"/>
      <c r="FR123" s="335">
        <v>42811</v>
      </c>
      <c r="FS123" s="341">
        <v>238.39</v>
      </c>
      <c r="FT123" s="341"/>
    </row>
    <row r="124" spans="132:176" x14ac:dyDescent="0.6">
      <c r="EB124" s="335">
        <v>42795</v>
      </c>
      <c r="EC124" s="62">
        <v>231.63</v>
      </c>
      <c r="ED124" s="62">
        <v>2395.959961</v>
      </c>
      <c r="EE124" s="78">
        <f t="shared" si="28"/>
        <v>1.3493020030508402</v>
      </c>
      <c r="EF124" s="78">
        <f t="shared" si="29"/>
        <v>1.2722631501219828</v>
      </c>
      <c r="FR124" s="335">
        <v>42810</v>
      </c>
      <c r="FS124" s="341">
        <v>235.73</v>
      </c>
      <c r="FT124" s="341"/>
    </row>
    <row r="125" spans="132:176" x14ac:dyDescent="0.6">
      <c r="EB125" s="335">
        <v>42794</v>
      </c>
      <c r="EC125" s="62">
        <v>230.8</v>
      </c>
      <c r="ED125" s="62">
        <v>2363.639893</v>
      </c>
      <c r="EE125" s="78">
        <f t="shared" si="28"/>
        <v>1.3457058158757971</v>
      </c>
      <c r="EF125" s="78">
        <f t="shared" si="29"/>
        <v>1.2585892956166003</v>
      </c>
      <c r="FR125" s="335">
        <v>42809</v>
      </c>
      <c r="FS125" s="341">
        <v>236.49</v>
      </c>
      <c r="FT125" s="341"/>
    </row>
    <row r="126" spans="132:176" x14ac:dyDescent="0.6">
      <c r="EB126" s="335">
        <v>42793</v>
      </c>
      <c r="EC126" s="62">
        <v>230.91</v>
      </c>
      <c r="ED126" s="62">
        <v>2369.75</v>
      </c>
      <c r="EE126" s="78">
        <f t="shared" si="28"/>
        <v>1.3461821919530566</v>
      </c>
      <c r="EF126" s="78">
        <f t="shared" si="29"/>
        <v>1.2611676718166214</v>
      </c>
      <c r="FR126" s="335">
        <v>42808</v>
      </c>
      <c r="FS126" s="341">
        <v>234.27</v>
      </c>
      <c r="FT126" s="341"/>
    </row>
    <row r="127" spans="132:176" x14ac:dyDescent="0.6">
      <c r="EB127" s="335">
        <v>42790</v>
      </c>
      <c r="EC127" s="62">
        <v>231.39</v>
      </c>
      <c r="ED127" s="62">
        <v>2367.3400879999999</v>
      </c>
      <c r="EE127" s="78">
        <f t="shared" si="28"/>
        <v>1.3482566117637658</v>
      </c>
      <c r="EF127" s="78">
        <f t="shared" si="29"/>
        <v>1.2601496888017534</v>
      </c>
      <c r="FR127" s="335">
        <v>42807</v>
      </c>
      <c r="FS127" s="341">
        <v>234.47</v>
      </c>
      <c r="FT127" s="341"/>
    </row>
    <row r="128" spans="132:176" x14ac:dyDescent="0.6">
      <c r="EB128" s="335">
        <v>42789</v>
      </c>
      <c r="EC128" s="62">
        <v>228.95</v>
      </c>
      <c r="ED128" s="62">
        <v>2363.8100589999999</v>
      </c>
      <c r="EE128" s="78">
        <f t="shared" si="28"/>
        <v>1.3375992629976596</v>
      </c>
      <c r="EF128" s="78">
        <f t="shared" si="29"/>
        <v>1.2586563247361595</v>
      </c>
      <c r="FR128" s="335">
        <v>42804</v>
      </c>
      <c r="FS128" s="341">
        <v>234.91</v>
      </c>
      <c r="FT128" s="341"/>
    </row>
    <row r="129" spans="132:176" x14ac:dyDescent="0.6">
      <c r="EB129" s="335">
        <v>42788</v>
      </c>
      <c r="EC129" s="62">
        <v>228.57</v>
      </c>
      <c r="ED129" s="62">
        <v>2362.820068</v>
      </c>
      <c r="EE129" s="78">
        <f t="shared" si="28"/>
        <v>1.3359367526069696</v>
      </c>
      <c r="EF129" s="78">
        <f t="shared" si="29"/>
        <v>1.2582373376903799</v>
      </c>
      <c r="FR129" s="335">
        <v>42803</v>
      </c>
      <c r="FS129" s="341">
        <v>235.86</v>
      </c>
      <c r="FT129" s="341"/>
    </row>
    <row r="130" spans="132:176" x14ac:dyDescent="0.6">
      <c r="EB130" s="335">
        <v>42787</v>
      </c>
      <c r="EC130" s="62">
        <v>232.1</v>
      </c>
      <c r="ED130" s="62">
        <v>2365.3798830000001</v>
      </c>
      <c r="EE130" s="78">
        <f t="shared" si="28"/>
        <v>1.3511457142614289</v>
      </c>
      <c r="EF130" s="78">
        <f t="shared" si="29"/>
        <v>1.259319538066902</v>
      </c>
      <c r="FR130" s="335">
        <v>42802</v>
      </c>
      <c r="FS130" s="341">
        <v>233.77</v>
      </c>
      <c r="FT130" s="341"/>
    </row>
    <row r="131" spans="132:176" x14ac:dyDescent="0.6">
      <c r="EB131" s="335">
        <v>42783</v>
      </c>
      <c r="EC131" s="62">
        <v>231.42</v>
      </c>
      <c r="ED131" s="62">
        <v>2351.1599120000001</v>
      </c>
      <c r="EE131" s="78">
        <f t="shared" si="28"/>
        <v>1.3482073338275857</v>
      </c>
      <c r="EF131" s="78">
        <f t="shared" si="29"/>
        <v>1.2532714717795248</v>
      </c>
      <c r="FR131" s="335">
        <v>42801</v>
      </c>
      <c r="FS131" s="341">
        <v>230.38</v>
      </c>
      <c r="FT131" s="341"/>
    </row>
    <row r="132" spans="132:176" x14ac:dyDescent="0.6">
      <c r="EB132" s="335">
        <v>42782</v>
      </c>
      <c r="EC132" s="62">
        <v>230.28</v>
      </c>
      <c r="ED132" s="62">
        <v>2347.219971</v>
      </c>
      <c r="EE132" s="78">
        <f t="shared" si="28"/>
        <v>1.3432568387780808</v>
      </c>
      <c r="EF132" s="78">
        <f t="shared" si="29"/>
        <v>1.2515929154240582</v>
      </c>
      <c r="FR132" s="335">
        <v>42800</v>
      </c>
      <c r="FS132" s="341">
        <v>230.08</v>
      </c>
      <c r="FT132" s="341"/>
    </row>
    <row r="133" spans="132:176" x14ac:dyDescent="0.6">
      <c r="EB133" s="335">
        <v>42781</v>
      </c>
      <c r="EC133" s="62">
        <v>232.05</v>
      </c>
      <c r="ED133" s="62">
        <v>2349.25</v>
      </c>
      <c r="EE133" s="78">
        <f t="shared" si="28"/>
        <v>1.3508845052292766</v>
      </c>
      <c r="EF133" s="78">
        <f t="shared" si="29"/>
        <v>1.2524570333340295</v>
      </c>
      <c r="FR133" s="335">
        <v>42797</v>
      </c>
      <c r="FS133" s="341">
        <v>229.04</v>
      </c>
      <c r="FT133" s="341"/>
    </row>
    <row r="134" spans="132:176" x14ac:dyDescent="0.6">
      <c r="EB134" s="335">
        <v>42780</v>
      </c>
      <c r="EC134" s="62">
        <v>233.05</v>
      </c>
      <c r="ED134" s="62">
        <v>2337.580078</v>
      </c>
      <c r="EE134" s="78">
        <f t="shared" si="28"/>
        <v>1.3551754299235483</v>
      </c>
      <c r="EF134" s="78">
        <f t="shared" si="29"/>
        <v>1.24746472436039</v>
      </c>
      <c r="FR134" s="335">
        <v>42796</v>
      </c>
      <c r="FS134" s="341">
        <v>230.13</v>
      </c>
      <c r="FT134" s="341"/>
    </row>
    <row r="135" spans="132:176" x14ac:dyDescent="0.6">
      <c r="EB135" s="335">
        <v>42779</v>
      </c>
      <c r="EC135" s="62">
        <v>232.46</v>
      </c>
      <c r="ED135" s="62">
        <v>2328.25</v>
      </c>
      <c r="EE135" s="78">
        <f t="shared" si="28"/>
        <v>1.3526373588575584</v>
      </c>
      <c r="EF135" s="78">
        <f t="shared" si="29"/>
        <v>1.2434573892374436</v>
      </c>
      <c r="FR135" s="335">
        <v>42795</v>
      </c>
      <c r="FS135" s="341">
        <v>231.63</v>
      </c>
      <c r="FT135" s="341"/>
    </row>
    <row r="136" spans="132:176" x14ac:dyDescent="0.6">
      <c r="EB136" s="335">
        <v>42776</v>
      </c>
      <c r="EC136" s="62">
        <v>233.21</v>
      </c>
      <c r="ED136" s="62">
        <v>2316.1000979999999</v>
      </c>
      <c r="EE136" s="78">
        <f t="shared" si="28"/>
        <v>1.355853344449943</v>
      </c>
      <c r="EF136" s="78">
        <f t="shared" si="29"/>
        <v>1.2382115442886472</v>
      </c>
      <c r="FR136" s="335">
        <v>42794</v>
      </c>
      <c r="FS136" s="341">
        <v>230.8</v>
      </c>
      <c r="FT136" s="341"/>
    </row>
    <row r="137" spans="132:176" x14ac:dyDescent="0.6">
      <c r="EB137" s="335">
        <v>42775</v>
      </c>
      <c r="EC137" s="62">
        <v>231.18</v>
      </c>
      <c r="ED137" s="62">
        <v>2307.8701169999999</v>
      </c>
      <c r="EE137" s="78">
        <f t="shared" si="28"/>
        <v>1.3470723080281073</v>
      </c>
      <c r="EF137" s="78">
        <f t="shared" si="29"/>
        <v>1.2346454939553217</v>
      </c>
      <c r="FR137" s="335">
        <v>42793</v>
      </c>
      <c r="FS137" s="341">
        <v>230.91</v>
      </c>
      <c r="FT137" s="341"/>
    </row>
    <row r="138" spans="132:176" x14ac:dyDescent="0.6">
      <c r="EB138" s="335">
        <v>42774</v>
      </c>
      <c r="EC138" s="62">
        <v>232.9</v>
      </c>
      <c r="ED138" s="62">
        <v>2294.669922</v>
      </c>
      <c r="EE138" s="78">
        <f t="shared" si="28"/>
        <v>1.3544574518666646</v>
      </c>
      <c r="EF138" s="78">
        <f t="shared" si="29"/>
        <v>1.2288929476420398</v>
      </c>
      <c r="EG138" s="78">
        <f>EE138</f>
        <v>1.3544574518666646</v>
      </c>
      <c r="EH138" s="62" t="s">
        <v>402</v>
      </c>
      <c r="FR138" s="335">
        <v>42790</v>
      </c>
      <c r="FS138" s="341">
        <v>231.39</v>
      </c>
      <c r="FT138" s="341"/>
    </row>
    <row r="139" spans="132:176" x14ac:dyDescent="0.6">
      <c r="EB139" s="335">
        <v>42773</v>
      </c>
      <c r="EC139" s="62">
        <v>214.27</v>
      </c>
      <c r="ED139" s="62">
        <v>2293.080078</v>
      </c>
      <c r="EE139" s="78">
        <f t="shared" si="28"/>
        <v>1.2675110757990862</v>
      </c>
      <c r="EF139" s="78">
        <f t="shared" si="29"/>
        <v>1.2281996251474383</v>
      </c>
      <c r="FR139" s="335">
        <v>42789</v>
      </c>
      <c r="FS139" s="341">
        <v>228.95</v>
      </c>
      <c r="FT139" s="341"/>
    </row>
    <row r="140" spans="132:176" x14ac:dyDescent="0.6">
      <c r="EB140" s="335">
        <v>42772</v>
      </c>
      <c r="EC140" s="62">
        <v>215.48</v>
      </c>
      <c r="ED140" s="62">
        <v>2292.5600589999999</v>
      </c>
      <c r="EE140" s="78">
        <f t="shared" si="28"/>
        <v>1.2731264461350802</v>
      </c>
      <c r="EF140" s="78">
        <f t="shared" si="29"/>
        <v>1.2279727961935103</v>
      </c>
      <c r="FR140" s="335">
        <v>42788</v>
      </c>
      <c r="FS140" s="341">
        <v>228.57</v>
      </c>
      <c r="FT140" s="341"/>
    </row>
    <row r="141" spans="132:176" x14ac:dyDescent="0.6">
      <c r="EB141" s="335">
        <v>42769</v>
      </c>
      <c r="EC141" s="62">
        <v>213.17</v>
      </c>
      <c r="ED141" s="62">
        <v>2297.419922</v>
      </c>
      <c r="EE141" s="78">
        <f t="shared" si="28"/>
        <v>1.2622900244997657</v>
      </c>
      <c r="EF141" s="78">
        <f t="shared" si="29"/>
        <v>1.2300881530568604</v>
      </c>
      <c r="FR141" s="335">
        <v>42787</v>
      </c>
      <c r="FS141" s="341">
        <v>232.1</v>
      </c>
      <c r="FT141" s="341"/>
    </row>
    <row r="142" spans="132:176" x14ac:dyDescent="0.6">
      <c r="EB142" s="335">
        <v>42768</v>
      </c>
      <c r="EC142" s="62">
        <v>211.22</v>
      </c>
      <c r="ED142" s="62">
        <v>2280.8500979999999</v>
      </c>
      <c r="EE142" s="78">
        <f t="shared" si="28"/>
        <v>1.2530579442043392</v>
      </c>
      <c r="EF142" s="78">
        <f t="shared" si="29"/>
        <v>1.2228233950552145</v>
      </c>
      <c r="FR142" s="335">
        <v>42783</v>
      </c>
      <c r="FS142" s="341">
        <v>231.42</v>
      </c>
      <c r="FT142" s="341"/>
    </row>
    <row r="143" spans="132:176" x14ac:dyDescent="0.6">
      <c r="EB143" s="335">
        <v>42767</v>
      </c>
      <c r="EC143" s="62">
        <v>208.67</v>
      </c>
      <c r="ED143" s="62">
        <v>2279.5500489999999</v>
      </c>
      <c r="EE143" s="78">
        <f t="shared" si="28"/>
        <v>1.2408376921316886</v>
      </c>
      <c r="EF143" s="78">
        <f t="shared" si="29"/>
        <v>1.2222530855765654</v>
      </c>
      <c r="FR143" s="335">
        <v>42782</v>
      </c>
      <c r="FS143" s="341">
        <v>230.28</v>
      </c>
      <c r="FT143" s="341"/>
    </row>
    <row r="144" spans="132:176" x14ac:dyDescent="0.6">
      <c r="EB144" s="335">
        <v>42766</v>
      </c>
      <c r="EC144" s="62">
        <v>209.06</v>
      </c>
      <c r="ED144" s="62">
        <v>2278.8701169999999</v>
      </c>
      <c r="EE144" s="78">
        <f t="shared" si="28"/>
        <v>1.2427031852915471</v>
      </c>
      <c r="EF144" s="78">
        <f t="shared" si="29"/>
        <v>1.2219547219291913</v>
      </c>
      <c r="FR144" s="335">
        <v>42781</v>
      </c>
      <c r="FS144" s="341">
        <v>232.05</v>
      </c>
      <c r="FT144" s="341"/>
    </row>
    <row r="145" spans="132:176" x14ac:dyDescent="0.6">
      <c r="EB145" s="335">
        <v>42765</v>
      </c>
      <c r="EC145" s="62">
        <v>210.53</v>
      </c>
      <c r="ED145" s="62">
        <v>2280.8999020000001</v>
      </c>
      <c r="EE145" s="78">
        <f t="shared" si="28"/>
        <v>1.2496855630999355</v>
      </c>
      <c r="EF145" s="78">
        <f t="shared" si="29"/>
        <v>1.2228446272679658</v>
      </c>
      <c r="FR145" s="335">
        <v>42780</v>
      </c>
      <c r="FS145" s="341">
        <v>233.05</v>
      </c>
      <c r="FT145" s="341"/>
    </row>
    <row r="146" spans="132:176" x14ac:dyDescent="0.6">
      <c r="EB146" s="335">
        <v>42762</v>
      </c>
      <c r="EC146" s="62">
        <v>209.83</v>
      </c>
      <c r="ED146" s="62">
        <v>2294.6899410000001</v>
      </c>
      <c r="EE146" s="78">
        <f t="shared" si="28"/>
        <v>1.2463495291677047</v>
      </c>
      <c r="EF146" s="78">
        <f t="shared" si="29"/>
        <v>1.2288541707594889</v>
      </c>
      <c r="FR146" s="335">
        <v>42779</v>
      </c>
      <c r="FS146" s="341">
        <v>232.46</v>
      </c>
      <c r="FT146" s="341"/>
    </row>
    <row r="147" spans="132:176" x14ac:dyDescent="0.6">
      <c r="EB147" s="335">
        <v>42761</v>
      </c>
      <c r="EC147" s="62">
        <v>210</v>
      </c>
      <c r="ED147" s="62">
        <v>2296.679932</v>
      </c>
      <c r="EE147" s="78">
        <f t="shared" si="28"/>
        <v>1.2471590529772285</v>
      </c>
      <c r="EF147" s="78">
        <f t="shared" si="29"/>
        <v>1.2297206349856411</v>
      </c>
      <c r="FR147" s="335">
        <v>42776</v>
      </c>
      <c r="FS147" s="341">
        <v>233.21</v>
      </c>
      <c r="FT147" s="341"/>
    </row>
    <row r="148" spans="132:176" x14ac:dyDescent="0.6">
      <c r="EB148" s="335">
        <v>42760</v>
      </c>
      <c r="EC148" s="62">
        <v>212.22</v>
      </c>
      <c r="ED148" s="62">
        <v>2298.3701169999999</v>
      </c>
      <c r="EE148" s="78">
        <f t="shared" si="28"/>
        <v>1.2576198954991398</v>
      </c>
      <c r="EF148" s="78">
        <f t="shared" si="29"/>
        <v>1.2304560191552742</v>
      </c>
      <c r="FR148" s="335">
        <v>42775</v>
      </c>
      <c r="FS148" s="341">
        <v>231.18</v>
      </c>
      <c r="FT148" s="341"/>
    </row>
    <row r="149" spans="132:176" x14ac:dyDescent="0.6">
      <c r="EB149" s="335">
        <v>42759</v>
      </c>
      <c r="EC149" s="62">
        <v>213.55</v>
      </c>
      <c r="ED149" s="62">
        <v>2280.070068</v>
      </c>
      <c r="EE149" s="78">
        <f t="shared" si="28"/>
        <v>1.2638479451362272</v>
      </c>
      <c r="EF149" s="78">
        <f t="shared" si="29"/>
        <v>1.2224299285290103</v>
      </c>
      <c r="FR149" s="335">
        <v>42774</v>
      </c>
      <c r="FS149" s="341">
        <v>232.9</v>
      </c>
      <c r="FT149" s="341"/>
    </row>
    <row r="150" spans="132:176" x14ac:dyDescent="0.6">
      <c r="EB150" s="335">
        <v>42758</v>
      </c>
      <c r="EC150" s="62">
        <v>216.06</v>
      </c>
      <c r="ED150" s="62">
        <v>2265.1999510000001</v>
      </c>
      <c r="EE150" s="78">
        <f t="shared" si="28"/>
        <v>1.2754650885223235</v>
      </c>
      <c r="EF150" s="78">
        <f t="shared" si="29"/>
        <v>1.2158653349736224</v>
      </c>
      <c r="FR150" s="335">
        <v>42773</v>
      </c>
      <c r="FS150" s="341">
        <v>214.27</v>
      </c>
      <c r="FT150" s="341"/>
    </row>
    <row r="151" spans="132:176" x14ac:dyDescent="0.6">
      <c r="EB151" s="335">
        <v>42755</v>
      </c>
      <c r="EC151" s="62">
        <v>216.65</v>
      </c>
      <c r="ED151" s="62">
        <v>2271.3100589999999</v>
      </c>
      <c r="EE151" s="78">
        <f t="shared" si="28"/>
        <v>1.2781883749289702</v>
      </c>
      <c r="EF151" s="78">
        <f t="shared" si="29"/>
        <v>1.2185554599857442</v>
      </c>
      <c r="FR151" s="335">
        <v>42772</v>
      </c>
      <c r="FS151" s="341">
        <v>215.48</v>
      </c>
      <c r="FT151" s="341"/>
    </row>
    <row r="152" spans="132:176" x14ac:dyDescent="0.6">
      <c r="EB152" s="335">
        <v>42754</v>
      </c>
      <c r="EC152" s="62">
        <v>214.53</v>
      </c>
      <c r="ED152" s="62">
        <v>2263.6899410000001</v>
      </c>
      <c r="EE152" s="78">
        <f t="shared" si="28"/>
        <v>1.2683063071529015</v>
      </c>
      <c r="EF152" s="78">
        <f t="shared" si="29"/>
        <v>1.2151892224715051</v>
      </c>
      <c r="FR152" s="335">
        <v>42769</v>
      </c>
      <c r="FS152" s="341">
        <v>213.17</v>
      </c>
      <c r="FT152" s="341"/>
    </row>
    <row r="153" spans="132:176" x14ac:dyDescent="0.6">
      <c r="EB153" s="335">
        <v>42753</v>
      </c>
      <c r="EC153" s="62">
        <v>213.15</v>
      </c>
      <c r="ED153" s="62">
        <v>2271.889893</v>
      </c>
      <c r="EE153" s="78">
        <f t="shared" si="28"/>
        <v>1.2618319932894251</v>
      </c>
      <c r="EF153" s="78">
        <f t="shared" si="29"/>
        <v>1.2187985311907634</v>
      </c>
      <c r="FR153" s="335">
        <v>42768</v>
      </c>
      <c r="FS153" s="341">
        <v>211.22</v>
      </c>
      <c r="FT153" s="341"/>
    </row>
    <row r="154" spans="132:176" x14ac:dyDescent="0.6">
      <c r="EB154" s="335">
        <v>42752</v>
      </c>
      <c r="EC154" s="62">
        <v>211.51</v>
      </c>
      <c r="ED154" s="62">
        <v>2267.889893</v>
      </c>
      <c r="EE154" s="78">
        <f t="shared" si="28"/>
        <v>1.2540782227821203</v>
      </c>
      <c r="EF154" s="78">
        <f t="shared" si="29"/>
        <v>1.2170347771335905</v>
      </c>
      <c r="FR154" s="335">
        <v>42767</v>
      </c>
      <c r="FS154" s="341">
        <v>208.67</v>
      </c>
      <c r="FT154" s="341"/>
    </row>
    <row r="155" spans="132:176" x14ac:dyDescent="0.6">
      <c r="EB155" s="335">
        <v>42748</v>
      </c>
      <c r="EC155" s="62">
        <v>213.34</v>
      </c>
      <c r="ED155" s="62">
        <v>2274.639893</v>
      </c>
      <c r="EE155" s="78">
        <f t="shared" si="28"/>
        <v>1.2626560797240909</v>
      </c>
      <c r="EF155" s="78">
        <f t="shared" si="29"/>
        <v>1.2200022798230372</v>
      </c>
      <c r="EG155" s="78"/>
      <c r="FR155" s="335">
        <v>42766</v>
      </c>
      <c r="FS155" s="341">
        <v>209.06</v>
      </c>
      <c r="FT155" s="341"/>
    </row>
    <row r="156" spans="132:176" x14ac:dyDescent="0.6">
      <c r="EB156" s="335">
        <v>42747</v>
      </c>
      <c r="EC156" s="62">
        <v>213.82</v>
      </c>
      <c r="ED156" s="62">
        <v>2270.4399410000001</v>
      </c>
      <c r="EE156" s="78">
        <f t="shared" si="28"/>
        <v>1.2649009585941684</v>
      </c>
      <c r="EF156" s="78">
        <f t="shared" si="29"/>
        <v>1.2181524392154279</v>
      </c>
      <c r="FR156" s="335">
        <v>42765</v>
      </c>
      <c r="FS156" s="341">
        <v>210.53</v>
      </c>
      <c r="FT156" s="341"/>
    </row>
    <row r="157" spans="132:176" x14ac:dyDescent="0.6">
      <c r="EB157" s="335">
        <v>42746</v>
      </c>
      <c r="EC157" s="62">
        <v>214.86</v>
      </c>
      <c r="ED157" s="62">
        <v>2275.320068</v>
      </c>
      <c r="EE157" s="78">
        <f t="shared" ref="EE157:EE220" si="30">EE158+(EC157-EC158)/EC158</f>
        <v>1.2697413197595786</v>
      </c>
      <c r="EF157" s="78">
        <f t="shared" ref="EF157:EF220" si="31">EF158+(ED157-ED158)/ED158</f>
        <v>1.2202972482331278</v>
      </c>
      <c r="FR157" s="335">
        <v>42762</v>
      </c>
      <c r="FS157" s="341">
        <v>209.83</v>
      </c>
      <c r="FT157" s="341"/>
    </row>
    <row r="158" spans="132:176" x14ac:dyDescent="0.6">
      <c r="EB158" s="335">
        <v>42745</v>
      </c>
      <c r="EC158" s="62">
        <v>214.03</v>
      </c>
      <c r="ED158" s="62">
        <v>2268.8999020000001</v>
      </c>
      <c r="EE158" s="78">
        <f t="shared" si="30"/>
        <v>1.2658633587260786</v>
      </c>
      <c r="EF158" s="78">
        <f t="shared" si="31"/>
        <v>1.2174676099602624</v>
      </c>
      <c r="FR158" s="335">
        <v>42761</v>
      </c>
      <c r="FS158" s="341">
        <v>210</v>
      </c>
      <c r="FT158" s="341"/>
    </row>
    <row r="159" spans="132:176" x14ac:dyDescent="0.6">
      <c r="EB159" s="335">
        <v>42744</v>
      </c>
      <c r="EC159" s="62">
        <v>212.43</v>
      </c>
      <c r="ED159" s="62">
        <v>2268.8999020000001</v>
      </c>
      <c r="EE159" s="78">
        <f t="shared" si="30"/>
        <v>1.2583314658672544</v>
      </c>
      <c r="EF159" s="78">
        <f t="shared" si="31"/>
        <v>1.2174676099602624</v>
      </c>
      <c r="FR159" s="335">
        <v>42760</v>
      </c>
      <c r="FS159" s="341">
        <v>212.22</v>
      </c>
      <c r="FT159" s="341"/>
    </row>
    <row r="160" spans="132:176" x14ac:dyDescent="0.6">
      <c r="EB160" s="335">
        <v>42741</v>
      </c>
      <c r="EC160" s="62">
        <v>208.09</v>
      </c>
      <c r="ED160" s="62">
        <v>2276.9799800000001</v>
      </c>
      <c r="EE160" s="78">
        <f t="shared" si="30"/>
        <v>1.2374751056385072</v>
      </c>
      <c r="EF160" s="78">
        <f t="shared" si="31"/>
        <v>1.2210162041819823</v>
      </c>
      <c r="FR160" s="335">
        <v>42759</v>
      </c>
      <c r="FS160" s="341">
        <v>213.55</v>
      </c>
      <c r="FT160" s="341"/>
    </row>
    <row r="161" spans="132:176" x14ac:dyDescent="0.6">
      <c r="EB161" s="335">
        <v>42740</v>
      </c>
      <c r="EC161" s="62">
        <v>208.53</v>
      </c>
      <c r="ED161" s="62">
        <v>2269</v>
      </c>
      <c r="EE161" s="78">
        <f t="shared" si="30"/>
        <v>1.2395851137908114</v>
      </c>
      <c r="EF161" s="78">
        <f t="shared" si="31"/>
        <v>1.2174992451692013</v>
      </c>
      <c r="FR161" s="335">
        <v>42758</v>
      </c>
      <c r="FS161" s="341">
        <v>216.06</v>
      </c>
      <c r="FT161" s="341"/>
    </row>
    <row r="162" spans="132:176" x14ac:dyDescent="0.6">
      <c r="EB162" s="335">
        <v>42739</v>
      </c>
      <c r="EC162" s="62">
        <v>207.39</v>
      </c>
      <c r="ED162" s="62">
        <v>2270.75</v>
      </c>
      <c r="EE162" s="78">
        <f t="shared" si="30"/>
        <v>1.2340882238732647</v>
      </c>
      <c r="EF162" s="78">
        <f t="shared" si="31"/>
        <v>1.2182699156525219</v>
      </c>
      <c r="FR162" s="335">
        <v>42755</v>
      </c>
      <c r="FS162" s="341">
        <v>216.65</v>
      </c>
      <c r="FT162" s="341"/>
    </row>
    <row r="163" spans="132:176" x14ac:dyDescent="0.6">
      <c r="EB163" s="335">
        <v>42738</v>
      </c>
      <c r="EC163" s="62">
        <v>203.55</v>
      </c>
      <c r="ED163" s="62">
        <v>2257.830078</v>
      </c>
      <c r="EE163" s="78">
        <f t="shared" si="30"/>
        <v>1.2152230801739281</v>
      </c>
      <c r="EF163" s="78">
        <f t="shared" si="31"/>
        <v>1.2125476418083163</v>
      </c>
      <c r="FR163" s="335">
        <v>42754</v>
      </c>
      <c r="FS163" s="341">
        <v>214.53</v>
      </c>
      <c r="FT163" s="341"/>
    </row>
    <row r="164" spans="132:176" x14ac:dyDescent="0.6">
      <c r="EB164" s="335">
        <v>42734</v>
      </c>
      <c r="EC164" s="62">
        <v>205.09</v>
      </c>
      <c r="ED164" s="62">
        <v>2238.830078</v>
      </c>
      <c r="EE164" s="78">
        <f t="shared" si="30"/>
        <v>1.2227319787062798</v>
      </c>
      <c r="EF164" s="78">
        <f t="shared" si="31"/>
        <v>1.2040610665265632</v>
      </c>
      <c r="FR164" s="335">
        <v>42753</v>
      </c>
      <c r="FS164" s="341">
        <v>213.15</v>
      </c>
      <c r="FT164" s="341"/>
    </row>
    <row r="165" spans="132:176" x14ac:dyDescent="0.6">
      <c r="EB165" s="335">
        <v>42733</v>
      </c>
      <c r="EC165" s="62">
        <v>207.93</v>
      </c>
      <c r="ED165" s="62">
        <v>2249.26001</v>
      </c>
      <c r="EE165" s="78">
        <f t="shared" si="30"/>
        <v>1.2363904214514345</v>
      </c>
      <c r="EF165" s="78">
        <f t="shared" si="31"/>
        <v>1.208698116913637</v>
      </c>
      <c r="FR165" s="335">
        <v>42752</v>
      </c>
      <c r="FS165" s="341">
        <v>211.51</v>
      </c>
      <c r="FT165" s="341"/>
    </row>
    <row r="166" spans="132:176" x14ac:dyDescent="0.6">
      <c r="EB166" s="335">
        <v>42732</v>
      </c>
      <c r="EC166" s="62">
        <v>208.06</v>
      </c>
      <c r="ED166" s="62">
        <v>2249.919922</v>
      </c>
      <c r="EE166" s="78">
        <f t="shared" si="30"/>
        <v>1.2370152412149642</v>
      </c>
      <c r="EF166" s="78">
        <f t="shared" si="31"/>
        <v>1.2089914215746373</v>
      </c>
      <c r="FR166" s="335">
        <v>42748</v>
      </c>
      <c r="FS166" s="341">
        <v>213.34</v>
      </c>
      <c r="FT166" s="341"/>
    </row>
    <row r="167" spans="132:176" x14ac:dyDescent="0.6">
      <c r="EB167" s="335">
        <v>42731</v>
      </c>
      <c r="EC167" s="62">
        <v>210.4</v>
      </c>
      <c r="ED167" s="62">
        <v>2268.8798830000001</v>
      </c>
      <c r="EE167" s="78">
        <f t="shared" si="30"/>
        <v>1.2481369142187666</v>
      </c>
      <c r="EF167" s="78">
        <f t="shared" si="31"/>
        <v>1.217347950777466</v>
      </c>
      <c r="FR167" s="335">
        <v>42747</v>
      </c>
      <c r="FS167" s="341">
        <v>213.82</v>
      </c>
      <c r="FT167" s="341"/>
    </row>
    <row r="168" spans="132:176" x14ac:dyDescent="0.6">
      <c r="EB168" s="335">
        <v>42727</v>
      </c>
      <c r="EC168" s="62">
        <v>209.6</v>
      </c>
      <c r="ED168" s="62">
        <v>2263.790039</v>
      </c>
      <c r="EE168" s="78">
        <f t="shared" si="30"/>
        <v>1.2443201203256369</v>
      </c>
      <c r="EF168" s="78">
        <f t="shared" si="31"/>
        <v>1.21509957795476</v>
      </c>
      <c r="FR168" s="335">
        <v>42746</v>
      </c>
      <c r="FS168" s="341">
        <v>214.86</v>
      </c>
      <c r="FT168" s="341"/>
    </row>
    <row r="169" spans="132:176" x14ac:dyDescent="0.6">
      <c r="EB169" s="335">
        <v>42726</v>
      </c>
      <c r="EC169" s="62">
        <v>210.72</v>
      </c>
      <c r="ED169" s="62">
        <v>2260.959961</v>
      </c>
      <c r="EE169" s="78">
        <f t="shared" si="30"/>
        <v>1.2496352304243461</v>
      </c>
      <c r="EF169" s="78">
        <f t="shared" si="31"/>
        <v>1.213847862732546</v>
      </c>
      <c r="FR169" s="335">
        <v>42745</v>
      </c>
      <c r="FS169" s="341">
        <v>214.03</v>
      </c>
      <c r="FT169" s="341"/>
    </row>
    <row r="170" spans="132:176" x14ac:dyDescent="0.6">
      <c r="EB170" s="335">
        <v>42725</v>
      </c>
      <c r="EC170" s="62">
        <v>210.74</v>
      </c>
      <c r="ED170" s="62">
        <v>2265.179932</v>
      </c>
      <c r="EE170" s="78">
        <f t="shared" si="30"/>
        <v>1.2497301340971183</v>
      </c>
      <c r="EF170" s="78">
        <f t="shared" si="31"/>
        <v>1.2157108365918783</v>
      </c>
      <c r="FR170" s="335">
        <v>42744</v>
      </c>
      <c r="FS170" s="341">
        <v>212.43</v>
      </c>
      <c r="FT170" s="341"/>
    </row>
    <row r="171" spans="132:176" x14ac:dyDescent="0.6">
      <c r="EB171" s="335">
        <v>42724</v>
      </c>
      <c r="EC171" s="62">
        <v>210.22</v>
      </c>
      <c r="ED171" s="62">
        <v>2270.76001</v>
      </c>
      <c r="EE171" s="78">
        <f t="shared" si="30"/>
        <v>1.2472565350104472</v>
      </c>
      <c r="EF171" s="78">
        <f t="shared" si="31"/>
        <v>1.2181681979930947</v>
      </c>
      <c r="FR171" s="335">
        <v>42741</v>
      </c>
      <c r="FS171" s="341">
        <v>208.09</v>
      </c>
      <c r="FT171" s="341"/>
    </row>
    <row r="172" spans="132:176" x14ac:dyDescent="0.6">
      <c r="EB172" s="335">
        <v>42723</v>
      </c>
      <c r="EC172" s="62">
        <v>212.12</v>
      </c>
      <c r="ED172" s="62">
        <v>2262.530029</v>
      </c>
      <c r="EE172" s="78">
        <f t="shared" si="30"/>
        <v>1.256213729051556</v>
      </c>
      <c r="EF172" s="78">
        <f t="shared" si="31"/>
        <v>1.2145306856089442</v>
      </c>
      <c r="FR172" s="335">
        <v>42740</v>
      </c>
      <c r="FS172" s="341">
        <v>208.53</v>
      </c>
      <c r="FT172" s="341"/>
    </row>
    <row r="173" spans="132:176" x14ac:dyDescent="0.6">
      <c r="EB173" s="335">
        <v>42720</v>
      </c>
      <c r="EC173" s="62">
        <v>212.21</v>
      </c>
      <c r="ED173" s="62">
        <v>2258.070068</v>
      </c>
      <c r="EE173" s="78">
        <f t="shared" si="30"/>
        <v>1.2566378372462688</v>
      </c>
      <c r="EF173" s="78">
        <f t="shared" si="31"/>
        <v>1.2125555648794311</v>
      </c>
      <c r="FR173" s="335">
        <v>42739</v>
      </c>
      <c r="FS173" s="341">
        <v>207.39</v>
      </c>
      <c r="FT173" s="341"/>
    </row>
    <row r="174" spans="132:176" x14ac:dyDescent="0.6">
      <c r="EB174" s="335">
        <v>42719</v>
      </c>
      <c r="EC174" s="62">
        <v>212.04</v>
      </c>
      <c r="ED174" s="62">
        <v>2262.030029</v>
      </c>
      <c r="EE174" s="78">
        <f t="shared" si="30"/>
        <v>1.2558361017246691</v>
      </c>
      <c r="EF174" s="78">
        <f t="shared" si="31"/>
        <v>1.2143061875277743</v>
      </c>
      <c r="FR174" s="335">
        <v>42738</v>
      </c>
      <c r="FS174" s="341">
        <v>203.55</v>
      </c>
      <c r="FT174" s="341">
        <f>FU20</f>
        <v>249.83333333333334</v>
      </c>
    </row>
    <row r="175" spans="132:176" x14ac:dyDescent="0.6">
      <c r="EB175" s="335">
        <v>42718</v>
      </c>
      <c r="EC175" s="62">
        <v>210.32</v>
      </c>
      <c r="ED175" s="62">
        <v>2253.280029</v>
      </c>
      <c r="EE175" s="78">
        <f t="shared" si="30"/>
        <v>1.2476580872705041</v>
      </c>
      <c r="EF175" s="78">
        <f t="shared" si="31"/>
        <v>1.2104229595723555</v>
      </c>
      <c r="FR175" s="335">
        <v>42734</v>
      </c>
      <c r="FS175" s="341">
        <v>205.09</v>
      </c>
      <c r="FT175" s="341"/>
    </row>
    <row r="176" spans="132:176" x14ac:dyDescent="0.6">
      <c r="EB176" s="335">
        <v>42717</v>
      </c>
      <c r="EC176" s="62">
        <v>212.84</v>
      </c>
      <c r="ED176" s="62">
        <v>2271.719971</v>
      </c>
      <c r="EE176" s="78">
        <f t="shared" si="30"/>
        <v>1.2594979669923609</v>
      </c>
      <c r="EF176" s="78">
        <f t="shared" si="31"/>
        <v>1.2185401316866116</v>
      </c>
      <c r="FR176" s="335">
        <v>42733</v>
      </c>
      <c r="FS176" s="341">
        <v>207.93</v>
      </c>
      <c r="FT176" s="341"/>
    </row>
    <row r="177" spans="132:176" x14ac:dyDescent="0.6">
      <c r="EB177" s="335">
        <v>42716</v>
      </c>
      <c r="EC177" s="62">
        <v>210.31</v>
      </c>
      <c r="ED177" s="62">
        <v>2256.959961</v>
      </c>
      <c r="EE177" s="78">
        <f t="shared" si="30"/>
        <v>1.2474681063105104</v>
      </c>
      <c r="EF177" s="78">
        <f t="shared" si="31"/>
        <v>1.2120003568323603</v>
      </c>
      <c r="FR177" s="335">
        <v>42732</v>
      </c>
      <c r="FS177" s="341">
        <v>208.06</v>
      </c>
      <c r="FT177" s="341"/>
    </row>
    <row r="178" spans="132:176" x14ac:dyDescent="0.6">
      <c r="EB178" s="335">
        <v>42713</v>
      </c>
      <c r="EC178" s="62">
        <v>213.58</v>
      </c>
      <c r="ED178" s="62">
        <v>2259.530029</v>
      </c>
      <c r="EE178" s="78">
        <f t="shared" si="30"/>
        <v>1.2627785286346982</v>
      </c>
      <c r="EF178" s="78">
        <f t="shared" si="31"/>
        <v>1.2131377915940207</v>
      </c>
      <c r="EG178" s="78">
        <f>EE178</f>
        <v>1.2627785286346982</v>
      </c>
      <c r="EH178" s="62" t="s">
        <v>757</v>
      </c>
      <c r="FR178" s="335">
        <v>42731</v>
      </c>
      <c r="FS178" s="341">
        <v>210.4</v>
      </c>
      <c r="FT178" s="341"/>
    </row>
    <row r="179" spans="132:176" x14ac:dyDescent="0.6">
      <c r="EB179" s="335">
        <v>42712</v>
      </c>
      <c r="EC179" s="62">
        <v>215.54</v>
      </c>
      <c r="ED179" s="62">
        <v>2246.1899410000001</v>
      </c>
      <c r="EE179" s="78">
        <f t="shared" si="30"/>
        <v>1.2718719683674624</v>
      </c>
      <c r="EF179" s="78">
        <f t="shared" si="31"/>
        <v>1.2071988067572972</v>
      </c>
      <c r="FR179" s="335">
        <v>42727</v>
      </c>
      <c r="FS179" s="341">
        <v>209.6</v>
      </c>
      <c r="FT179" s="341"/>
    </row>
    <row r="180" spans="132:176" x14ac:dyDescent="0.6">
      <c r="EB180" s="335">
        <v>42711</v>
      </c>
      <c r="EC180" s="62">
        <v>215.95</v>
      </c>
      <c r="ED180" s="62">
        <v>2241.3500979999999</v>
      </c>
      <c r="EE180" s="78">
        <f t="shared" si="30"/>
        <v>1.2737705560034893</v>
      </c>
      <c r="EF180" s="78">
        <f t="shared" si="31"/>
        <v>1.2050394640449209</v>
      </c>
      <c r="FR180" s="335">
        <v>42726</v>
      </c>
      <c r="FS180" s="341">
        <v>210.72</v>
      </c>
      <c r="FT180" s="341"/>
    </row>
    <row r="181" spans="132:176" x14ac:dyDescent="0.6">
      <c r="EB181" s="335">
        <v>42710</v>
      </c>
      <c r="EC181" s="62">
        <v>215.02</v>
      </c>
      <c r="ED181" s="62">
        <v>2212.2299800000001</v>
      </c>
      <c r="EE181" s="78">
        <f t="shared" si="30"/>
        <v>1.2694453769503782</v>
      </c>
      <c r="EF181" s="78">
        <f t="shared" si="31"/>
        <v>1.1918762223099908</v>
      </c>
      <c r="FR181" s="335">
        <v>42725</v>
      </c>
      <c r="FS181" s="341">
        <v>210.74</v>
      </c>
      <c r="FT181" s="341"/>
    </row>
    <row r="182" spans="132:176" x14ac:dyDescent="0.6">
      <c r="EB182" s="335">
        <v>42709</v>
      </c>
      <c r="EC182" s="62">
        <v>213.51</v>
      </c>
      <c r="ED182" s="62">
        <v>2204.709961</v>
      </c>
      <c r="EE182" s="78">
        <f t="shared" si="30"/>
        <v>1.2623731086725456</v>
      </c>
      <c r="EF182" s="78">
        <f t="shared" si="31"/>
        <v>1.1884653341963503</v>
      </c>
      <c r="FR182" s="335">
        <v>42724</v>
      </c>
      <c r="FS182" s="341">
        <v>210.22</v>
      </c>
      <c r="FT182" s="341"/>
    </row>
    <row r="183" spans="132:176" x14ac:dyDescent="0.6">
      <c r="EB183" s="335">
        <v>42706</v>
      </c>
      <c r="EC183" s="62">
        <v>213.67</v>
      </c>
      <c r="ED183" s="62">
        <v>2191.9499510000001</v>
      </c>
      <c r="EE183" s="78">
        <f t="shared" si="30"/>
        <v>1.2631219269437115</v>
      </c>
      <c r="EF183" s="78">
        <f t="shared" si="31"/>
        <v>1.1826440288357152</v>
      </c>
      <c r="FR183" s="335">
        <v>42723</v>
      </c>
      <c r="FS183" s="341">
        <v>212.12</v>
      </c>
      <c r="FT183" s="341"/>
    </row>
    <row r="184" spans="132:176" x14ac:dyDescent="0.6">
      <c r="EB184" s="335">
        <v>42705</v>
      </c>
      <c r="EC184" s="62">
        <v>213.69</v>
      </c>
      <c r="ED184" s="62">
        <v>2191.080078</v>
      </c>
      <c r="EE184" s="78">
        <f t="shared" si="30"/>
        <v>1.2632155204670397</v>
      </c>
      <c r="EF184" s="78">
        <f t="shared" si="31"/>
        <v>1.1822470223507699</v>
      </c>
      <c r="FR184" s="335">
        <v>42720</v>
      </c>
      <c r="FS184" s="341">
        <v>212.21</v>
      </c>
      <c r="FT184" s="341"/>
    </row>
    <row r="185" spans="132:176" x14ac:dyDescent="0.6">
      <c r="EB185" s="335">
        <v>42704</v>
      </c>
      <c r="EC185" s="62">
        <v>212.11</v>
      </c>
      <c r="ED185" s="62">
        <v>2198.8100589999999</v>
      </c>
      <c r="EE185" s="78">
        <f t="shared" si="30"/>
        <v>1.2557665553074526</v>
      </c>
      <c r="EF185" s="78">
        <f t="shared" si="31"/>
        <v>1.1857625515654742</v>
      </c>
      <c r="FR185" s="335">
        <v>42719</v>
      </c>
      <c r="FS185" s="341">
        <v>212.04</v>
      </c>
      <c r="FT185" s="341"/>
    </row>
    <row r="186" spans="132:176" x14ac:dyDescent="0.6">
      <c r="EB186" s="335">
        <v>42703</v>
      </c>
      <c r="EC186" s="62">
        <v>211.84</v>
      </c>
      <c r="ED186" s="62">
        <v>2204.6599120000001</v>
      </c>
      <c r="EE186" s="78">
        <f t="shared" si="30"/>
        <v>1.254492008479658</v>
      </c>
      <c r="EF186" s="78">
        <f t="shared" si="31"/>
        <v>1.1884159553708227</v>
      </c>
      <c r="FR186" s="335">
        <v>42718</v>
      </c>
      <c r="FS186" s="341">
        <v>210.32</v>
      </c>
      <c r="FT186" s="341"/>
    </row>
    <row r="187" spans="132:176" x14ac:dyDescent="0.6">
      <c r="EB187" s="335">
        <v>42702</v>
      </c>
      <c r="EC187" s="62">
        <v>212.19</v>
      </c>
      <c r="ED187" s="62">
        <v>2201.719971</v>
      </c>
      <c r="EE187" s="78">
        <f t="shared" si="30"/>
        <v>1.2561414735816891</v>
      </c>
      <c r="EF187" s="78">
        <f t="shared" si="31"/>
        <v>1.1870806624912904</v>
      </c>
      <c r="FR187" s="335">
        <v>42717</v>
      </c>
      <c r="FS187" s="341">
        <v>212.84</v>
      </c>
      <c r="FT187" s="341"/>
    </row>
    <row r="188" spans="132:176" x14ac:dyDescent="0.6">
      <c r="EB188" s="335">
        <v>42699</v>
      </c>
      <c r="EC188" s="62">
        <v>217.16</v>
      </c>
      <c r="ED188" s="62">
        <v>2213.3500979999999</v>
      </c>
      <c r="EE188" s="78">
        <f t="shared" si="30"/>
        <v>1.2790278246592357</v>
      </c>
      <c r="EF188" s="78">
        <f t="shared" si="31"/>
        <v>1.1923351981431554</v>
      </c>
      <c r="FR188" s="335">
        <v>42716</v>
      </c>
      <c r="FS188" s="341">
        <v>210.31</v>
      </c>
      <c r="FT188" s="341"/>
    </row>
    <row r="189" spans="132:176" x14ac:dyDescent="0.6">
      <c r="EB189" s="335">
        <v>42697</v>
      </c>
      <c r="EC189" s="62">
        <v>217.9</v>
      </c>
      <c r="ED189" s="62">
        <v>2204.719971</v>
      </c>
      <c r="EE189" s="78">
        <f t="shared" si="30"/>
        <v>1.2824238778946648</v>
      </c>
      <c r="EF189" s="78">
        <f t="shared" si="31"/>
        <v>1.1884208112307506</v>
      </c>
      <c r="FR189" s="335">
        <v>42713</v>
      </c>
      <c r="FS189" s="341">
        <v>213.58</v>
      </c>
      <c r="FT189" s="341"/>
    </row>
    <row r="190" spans="132:176" x14ac:dyDescent="0.6">
      <c r="EB190" s="335">
        <v>42696</v>
      </c>
      <c r="EC190" s="62">
        <v>215.19</v>
      </c>
      <c r="ED190" s="62">
        <v>2202.9399410000001</v>
      </c>
      <c r="EE190" s="78">
        <f t="shared" si="30"/>
        <v>1.2698303558908541</v>
      </c>
      <c r="EF190" s="78">
        <f t="shared" si="31"/>
        <v>1.1876127864785224</v>
      </c>
      <c r="FR190" s="335">
        <v>42712</v>
      </c>
      <c r="FS190" s="341">
        <v>215.54</v>
      </c>
      <c r="FT190" s="341"/>
    </row>
    <row r="191" spans="132:176" x14ac:dyDescent="0.6">
      <c r="EB191" s="335">
        <v>42695</v>
      </c>
      <c r="EC191" s="62">
        <v>212.83</v>
      </c>
      <c r="ED191" s="62">
        <v>2198.179932</v>
      </c>
      <c r="EE191" s="78">
        <f t="shared" si="30"/>
        <v>1.2587416935782103</v>
      </c>
      <c r="EF191" s="78">
        <f t="shared" si="31"/>
        <v>1.1854473545542716</v>
      </c>
      <c r="FR191" s="335">
        <v>42711</v>
      </c>
      <c r="FS191" s="341">
        <v>215.95</v>
      </c>
      <c r="FT191" s="341"/>
    </row>
    <row r="192" spans="132:176" x14ac:dyDescent="0.6">
      <c r="EB192" s="335">
        <v>42692</v>
      </c>
      <c r="EC192" s="62">
        <v>209.47</v>
      </c>
      <c r="ED192" s="62">
        <v>2181.8999020000001</v>
      </c>
      <c r="EE192" s="78">
        <f t="shared" si="30"/>
        <v>1.2427012104541353</v>
      </c>
      <c r="EF192" s="78">
        <f t="shared" si="31"/>
        <v>1.1779859536049992</v>
      </c>
      <c r="FR192" s="335">
        <v>42710</v>
      </c>
      <c r="FS192" s="341">
        <v>215.02</v>
      </c>
      <c r="FT192" s="341"/>
    </row>
    <row r="193" spans="132:176" x14ac:dyDescent="0.6">
      <c r="EB193" s="335">
        <v>42691</v>
      </c>
      <c r="EC193" s="62">
        <v>210.52</v>
      </c>
      <c r="ED193" s="62">
        <v>2187.1201169999999</v>
      </c>
      <c r="EE193" s="78">
        <f t="shared" si="30"/>
        <v>1.2476888600836242</v>
      </c>
      <c r="EF193" s="78">
        <f t="shared" si="31"/>
        <v>1.1803727520983349</v>
      </c>
      <c r="FR193" s="335">
        <v>42709</v>
      </c>
      <c r="FS193" s="341">
        <v>213.51</v>
      </c>
      <c r="FT193" s="341"/>
    </row>
    <row r="194" spans="132:176" x14ac:dyDescent="0.6">
      <c r="EB194" s="335">
        <v>42690</v>
      </c>
      <c r="EC194" s="62">
        <v>206.96</v>
      </c>
      <c r="ED194" s="62">
        <v>2176.9399410000001</v>
      </c>
      <c r="EE194" s="78">
        <f t="shared" si="30"/>
        <v>1.2304874685103733</v>
      </c>
      <c r="EF194" s="78">
        <f t="shared" si="31"/>
        <v>1.1756963823886022</v>
      </c>
      <c r="FR194" s="335">
        <v>42706</v>
      </c>
      <c r="FS194" s="341">
        <v>213.67</v>
      </c>
      <c r="FT194" s="341"/>
    </row>
    <row r="195" spans="132:176" x14ac:dyDescent="0.6">
      <c r="EB195" s="335">
        <v>42689</v>
      </c>
      <c r="EC195" s="62">
        <v>208.76</v>
      </c>
      <c r="ED195" s="62">
        <v>2180.389893</v>
      </c>
      <c r="EE195" s="78">
        <f t="shared" si="30"/>
        <v>1.2391098099550943</v>
      </c>
      <c r="EF195" s="78">
        <f t="shared" si="31"/>
        <v>1.1772786461897122</v>
      </c>
      <c r="FR195" s="335">
        <v>42705</v>
      </c>
      <c r="FS195" s="341">
        <v>213.69</v>
      </c>
      <c r="FT195" s="341"/>
    </row>
    <row r="196" spans="132:176" x14ac:dyDescent="0.6">
      <c r="EB196" s="335">
        <v>42688</v>
      </c>
      <c r="EC196" s="62">
        <v>209.38</v>
      </c>
      <c r="ED196" s="62">
        <v>2164.1999510000001</v>
      </c>
      <c r="EE196" s="78">
        <f t="shared" si="30"/>
        <v>1.2420709332715525</v>
      </c>
      <c r="EF196" s="78">
        <f t="shared" si="31"/>
        <v>1.169797848497004</v>
      </c>
      <c r="FR196" s="335">
        <v>42704</v>
      </c>
      <c r="FS196" s="341">
        <v>212.11</v>
      </c>
      <c r="FT196" s="341"/>
    </row>
    <row r="197" spans="132:176" x14ac:dyDescent="0.6">
      <c r="EB197" s="335">
        <v>42685</v>
      </c>
      <c r="EC197" s="62">
        <v>202.12</v>
      </c>
      <c r="ED197" s="62">
        <v>2164.4499510000001</v>
      </c>
      <c r="EE197" s="78">
        <f t="shared" si="30"/>
        <v>1.2061516773839611</v>
      </c>
      <c r="EF197" s="78">
        <f t="shared" si="31"/>
        <v>1.1699133512832358</v>
      </c>
      <c r="FR197" s="335">
        <v>42703</v>
      </c>
      <c r="FS197" s="341">
        <v>211.84</v>
      </c>
      <c r="FT197" s="341"/>
    </row>
    <row r="198" spans="132:176" x14ac:dyDescent="0.6">
      <c r="EB198" s="335">
        <v>42684</v>
      </c>
      <c r="EC198" s="62">
        <v>196.67</v>
      </c>
      <c r="ED198" s="62">
        <v>2167.4799800000001</v>
      </c>
      <c r="EE198" s="78">
        <f t="shared" si="30"/>
        <v>1.1784402826618376</v>
      </c>
      <c r="EF198" s="78">
        <f t="shared" si="31"/>
        <v>1.1713113014502312</v>
      </c>
      <c r="FR198" s="335">
        <v>42702</v>
      </c>
      <c r="FS198" s="341">
        <v>212.19</v>
      </c>
      <c r="FT198" s="341"/>
    </row>
    <row r="199" spans="132:176" x14ac:dyDescent="0.6">
      <c r="EB199" s="335">
        <v>42683</v>
      </c>
      <c r="EC199" s="62">
        <v>196.62</v>
      </c>
      <c r="ED199" s="62">
        <v>2163.26001</v>
      </c>
      <c r="EE199" s="78">
        <f t="shared" si="30"/>
        <v>1.1781859850318916</v>
      </c>
      <c r="EF199" s="78">
        <f t="shared" si="31"/>
        <v>1.1693605558253444</v>
      </c>
      <c r="FR199" s="335">
        <v>42699</v>
      </c>
      <c r="FS199" s="341">
        <v>217.16</v>
      </c>
      <c r="FT199" s="341"/>
    </row>
    <row r="200" spans="132:176" x14ac:dyDescent="0.6">
      <c r="EB200" s="335">
        <v>42682</v>
      </c>
      <c r="EC200" s="62">
        <v>188.28</v>
      </c>
      <c r="ED200" s="62">
        <v>2139.5600589999999</v>
      </c>
      <c r="EE200" s="78">
        <f t="shared" si="30"/>
        <v>1.1338902552677106</v>
      </c>
      <c r="EF200" s="78">
        <f t="shared" si="31"/>
        <v>1.1582835351545262</v>
      </c>
      <c r="FR200" s="335">
        <v>42697</v>
      </c>
      <c r="FS200" s="341">
        <v>217.9</v>
      </c>
      <c r="FT200" s="341"/>
    </row>
    <row r="201" spans="132:176" x14ac:dyDescent="0.6">
      <c r="EB201" s="335">
        <v>42681</v>
      </c>
      <c r="EC201" s="62">
        <v>190.03</v>
      </c>
      <c r="ED201" s="62">
        <v>2131.5200199999999</v>
      </c>
      <c r="EE201" s="78">
        <f t="shared" si="30"/>
        <v>1.1430993275194603</v>
      </c>
      <c r="EF201" s="78">
        <f t="shared" si="31"/>
        <v>1.154511560730378</v>
      </c>
      <c r="FR201" s="335">
        <v>42696</v>
      </c>
      <c r="FS201" s="341">
        <v>215.19</v>
      </c>
      <c r="FT201" s="341"/>
    </row>
    <row r="202" spans="132:176" x14ac:dyDescent="0.6">
      <c r="EB202" s="335">
        <v>42678</v>
      </c>
      <c r="EC202" s="62">
        <v>186.74</v>
      </c>
      <c r="ED202" s="62">
        <v>2085.179932</v>
      </c>
      <c r="EE202" s="78">
        <f t="shared" si="30"/>
        <v>1.1254812489074866</v>
      </c>
      <c r="EF202" s="78">
        <f t="shared" si="31"/>
        <v>1.1322880167144174</v>
      </c>
      <c r="FR202" s="335">
        <v>42695</v>
      </c>
      <c r="FS202" s="341">
        <v>212.83</v>
      </c>
      <c r="FT202" s="341"/>
    </row>
    <row r="203" spans="132:176" x14ac:dyDescent="0.6">
      <c r="EB203" s="335">
        <v>42677</v>
      </c>
      <c r="EC203" s="62">
        <v>190.91</v>
      </c>
      <c r="ED203" s="62">
        <v>2088.6599120000001</v>
      </c>
      <c r="EE203" s="78">
        <f t="shared" si="30"/>
        <v>1.1473240020372335</v>
      </c>
      <c r="EF203" s="78">
        <f t="shared" si="31"/>
        <v>1.1339541472223122</v>
      </c>
      <c r="FR203" s="335">
        <v>42692</v>
      </c>
      <c r="FS203" s="341">
        <v>209.47</v>
      </c>
      <c r="FT203" s="341"/>
    </row>
    <row r="204" spans="132:176" x14ac:dyDescent="0.6">
      <c r="EB204" s="335">
        <v>42676</v>
      </c>
      <c r="EC204" s="62">
        <v>192.69</v>
      </c>
      <c r="ED204" s="62">
        <v>2097.9399410000001</v>
      </c>
      <c r="EE204" s="78">
        <f t="shared" si="30"/>
        <v>1.1565616376176995</v>
      </c>
      <c r="EF204" s="78">
        <f t="shared" si="31"/>
        <v>1.1383775479206071</v>
      </c>
      <c r="FR204" s="335">
        <v>42691</v>
      </c>
      <c r="FS204" s="341">
        <v>210.52</v>
      </c>
      <c r="FT204" s="341"/>
    </row>
    <row r="205" spans="132:176" x14ac:dyDescent="0.6">
      <c r="EB205" s="335">
        <v>42675</v>
      </c>
      <c r="EC205" s="62">
        <v>192.42</v>
      </c>
      <c r="ED205" s="62">
        <v>2111.719971</v>
      </c>
      <c r="EE205" s="78">
        <f t="shared" si="30"/>
        <v>1.1551584570751363</v>
      </c>
      <c r="EF205" s="78">
        <f t="shared" si="31"/>
        <v>1.1449030485500653</v>
      </c>
      <c r="FR205" s="335">
        <v>42690</v>
      </c>
      <c r="FS205" s="341">
        <v>206.96</v>
      </c>
      <c r="FT205" s="341"/>
    </row>
    <row r="206" spans="132:176" x14ac:dyDescent="0.6">
      <c r="EB206" s="335">
        <v>42674</v>
      </c>
      <c r="EC206" s="62">
        <v>190.76</v>
      </c>
      <c r="ED206" s="62">
        <v>2126.1499020000001</v>
      </c>
      <c r="EE206" s="78">
        <f t="shared" si="30"/>
        <v>1.1464564231057508</v>
      </c>
      <c r="EF206" s="78">
        <f t="shared" si="31"/>
        <v>1.1516899317262828</v>
      </c>
      <c r="FR206" s="335">
        <v>42689</v>
      </c>
      <c r="FS206" s="341">
        <v>208.76</v>
      </c>
      <c r="FT206" s="341"/>
    </row>
    <row r="207" spans="132:176" x14ac:dyDescent="0.6">
      <c r="EB207" s="335">
        <v>42671</v>
      </c>
      <c r="EC207" s="62">
        <v>194.26</v>
      </c>
      <c r="ED207" s="62">
        <v>2126.4099120000001</v>
      </c>
      <c r="EE207" s="78">
        <f t="shared" si="30"/>
        <v>1.1644735136030224</v>
      </c>
      <c r="EF207" s="78">
        <f t="shared" si="31"/>
        <v>1.1518122082443392</v>
      </c>
      <c r="FR207" s="335">
        <v>42688</v>
      </c>
      <c r="FS207" s="341">
        <v>209.38</v>
      </c>
      <c r="FT207" s="341"/>
    </row>
    <row r="208" spans="132:176" x14ac:dyDescent="0.6">
      <c r="EB208" s="335">
        <v>42670</v>
      </c>
      <c r="EC208" s="62">
        <v>189.42</v>
      </c>
      <c r="ED208" s="62">
        <v>2133.040039</v>
      </c>
      <c r="EE208" s="78">
        <f t="shared" si="30"/>
        <v>1.138921829514753</v>
      </c>
      <c r="EF208" s="78">
        <f t="shared" si="31"/>
        <v>1.1549205076099283</v>
      </c>
      <c r="FR208" s="335">
        <v>42685</v>
      </c>
      <c r="FS208" s="341">
        <v>202.12</v>
      </c>
      <c r="FT208" s="341"/>
    </row>
    <row r="209" spans="132:176" x14ac:dyDescent="0.6">
      <c r="EB209" s="335">
        <v>42669</v>
      </c>
      <c r="EC209" s="62">
        <v>191.11</v>
      </c>
      <c r="ED209" s="62">
        <v>2139.429932</v>
      </c>
      <c r="EE209" s="78">
        <f t="shared" si="30"/>
        <v>1.1477649041837918</v>
      </c>
      <c r="EF209" s="78">
        <f t="shared" si="31"/>
        <v>1.1579072345433159</v>
      </c>
      <c r="FR209" s="335">
        <v>42684</v>
      </c>
      <c r="FS209" s="341">
        <v>196.67</v>
      </c>
      <c r="FT209" s="341"/>
    </row>
    <row r="210" spans="132:176" x14ac:dyDescent="0.6">
      <c r="EB210" s="335">
        <v>42668</v>
      </c>
      <c r="EC210" s="62">
        <v>194.56</v>
      </c>
      <c r="ED210" s="62">
        <v>2143.1599120000001</v>
      </c>
      <c r="EE210" s="78">
        <f t="shared" si="30"/>
        <v>1.1654972232627392</v>
      </c>
      <c r="EF210" s="78">
        <f t="shared" si="31"/>
        <v>1.1596476459699738</v>
      </c>
      <c r="FR210" s="335">
        <v>42683</v>
      </c>
      <c r="FS210" s="341">
        <v>196.62</v>
      </c>
      <c r="FT210" s="341"/>
    </row>
    <row r="211" spans="132:176" x14ac:dyDescent="0.6">
      <c r="EB211" s="335">
        <v>42667</v>
      </c>
      <c r="EC211" s="62">
        <v>198.62</v>
      </c>
      <c r="ED211" s="62">
        <v>2151.330078</v>
      </c>
      <c r="EE211" s="78">
        <f t="shared" si="30"/>
        <v>1.1859382664608058</v>
      </c>
      <c r="EF211" s="78">
        <f t="shared" si="31"/>
        <v>1.1634453737494299</v>
      </c>
      <c r="FR211" s="335">
        <v>42682</v>
      </c>
      <c r="FS211" s="341">
        <v>188.28</v>
      </c>
      <c r="FT211" s="341"/>
    </row>
    <row r="212" spans="132:176" x14ac:dyDescent="0.6">
      <c r="EB212" s="335">
        <v>42664</v>
      </c>
      <c r="EC212" s="62">
        <v>196.86</v>
      </c>
      <c r="ED212" s="62">
        <v>2141.1599120000001</v>
      </c>
      <c r="EE212" s="78">
        <f t="shared" si="30"/>
        <v>1.1769979027505548</v>
      </c>
      <c r="EF212" s="78">
        <f t="shared" si="31"/>
        <v>1.1586955342147918</v>
      </c>
      <c r="FR212" s="335">
        <v>42681</v>
      </c>
      <c r="FS212" s="341">
        <v>190.03</v>
      </c>
      <c r="FT212" s="341"/>
    </row>
    <row r="213" spans="132:176" x14ac:dyDescent="0.6">
      <c r="EB213" s="335">
        <v>42663</v>
      </c>
      <c r="EC213" s="62">
        <v>195.32</v>
      </c>
      <c r="ED213" s="62">
        <v>2141.3400879999999</v>
      </c>
      <c r="EE213" s="78">
        <f t="shared" si="30"/>
        <v>1.1691134055152486</v>
      </c>
      <c r="EF213" s="78">
        <f t="shared" si="31"/>
        <v>1.1587796759169948</v>
      </c>
      <c r="FR213" s="335">
        <v>42678</v>
      </c>
      <c r="FS213" s="341">
        <v>186.74</v>
      </c>
      <c r="FT213" s="341"/>
    </row>
    <row r="214" spans="132:176" x14ac:dyDescent="0.6">
      <c r="EB214" s="335">
        <v>42662</v>
      </c>
      <c r="EC214" s="62">
        <v>196.34</v>
      </c>
      <c r="ED214" s="62">
        <v>2144.290039</v>
      </c>
      <c r="EE214" s="78">
        <f t="shared" si="30"/>
        <v>1.1743084752921662</v>
      </c>
      <c r="EF214" s="78">
        <f t="shared" si="31"/>
        <v>1.1601553997912595</v>
      </c>
      <c r="FR214" s="335">
        <v>42677</v>
      </c>
      <c r="FS214" s="341">
        <v>190.91</v>
      </c>
      <c r="FT214" s="341"/>
    </row>
    <row r="215" spans="132:176" x14ac:dyDescent="0.6">
      <c r="EB215" s="335">
        <v>42661</v>
      </c>
      <c r="EC215" s="62">
        <v>192.21</v>
      </c>
      <c r="ED215" s="62">
        <v>2139.6000979999999</v>
      </c>
      <c r="EE215" s="78">
        <f t="shared" si="30"/>
        <v>1.1528215599391669</v>
      </c>
      <c r="EF215" s="78">
        <f t="shared" si="31"/>
        <v>1.1579634289625125</v>
      </c>
      <c r="FR215" s="335">
        <v>42676</v>
      </c>
      <c r="FS215" s="341">
        <v>192.69</v>
      </c>
      <c r="FT215" s="341"/>
    </row>
    <row r="216" spans="132:176" x14ac:dyDescent="0.6">
      <c r="EB216" s="335">
        <v>42660</v>
      </c>
      <c r="EC216" s="62">
        <v>191.19</v>
      </c>
      <c r="ED216" s="62">
        <v>2126.5</v>
      </c>
      <c r="EE216" s="78">
        <f t="shared" si="30"/>
        <v>1.1474865528781282</v>
      </c>
      <c r="EF216" s="78">
        <f t="shared" si="31"/>
        <v>1.1518030254826159</v>
      </c>
      <c r="FR216" s="335">
        <v>42675</v>
      </c>
      <c r="FS216" s="341">
        <v>192.42</v>
      </c>
      <c r="FT216" s="341"/>
    </row>
    <row r="217" spans="132:176" x14ac:dyDescent="0.6">
      <c r="EB217" s="335">
        <v>42657</v>
      </c>
      <c r="EC217" s="62">
        <v>191.31</v>
      </c>
      <c r="ED217" s="62">
        <v>2132.9799800000001</v>
      </c>
      <c r="EE217" s="78">
        <f t="shared" si="30"/>
        <v>1.1481138070728907</v>
      </c>
      <c r="EF217" s="78">
        <f t="shared" si="31"/>
        <v>1.1548410193038239</v>
      </c>
      <c r="FR217" s="335">
        <v>42674</v>
      </c>
      <c r="FS217" s="341">
        <v>190.76</v>
      </c>
      <c r="FT217" s="341"/>
    </row>
    <row r="218" spans="132:176" x14ac:dyDescent="0.6">
      <c r="EB218" s="335">
        <v>42656</v>
      </c>
      <c r="EC218" s="62">
        <v>190.82</v>
      </c>
      <c r="ED218" s="62">
        <v>2132.5500489999999</v>
      </c>
      <c r="EE218" s="78">
        <f t="shared" si="30"/>
        <v>1.1455459420692222</v>
      </c>
      <c r="EF218" s="78">
        <f t="shared" si="31"/>
        <v>1.1546394151256703</v>
      </c>
      <c r="FR218" s="335">
        <v>42671</v>
      </c>
      <c r="FS218" s="341">
        <v>194.26</v>
      </c>
      <c r="FT218" s="341"/>
    </row>
    <row r="219" spans="132:176" x14ac:dyDescent="0.6">
      <c r="EB219" s="335">
        <v>42655</v>
      </c>
      <c r="EC219" s="62">
        <v>190.43</v>
      </c>
      <c r="ED219" s="62">
        <v>2139.179932</v>
      </c>
      <c r="EE219" s="78">
        <f t="shared" si="30"/>
        <v>1.1434979454300374</v>
      </c>
      <c r="EF219" s="78">
        <f t="shared" si="31"/>
        <v>1.1577386789607613</v>
      </c>
      <c r="FR219" s="335">
        <v>42670</v>
      </c>
      <c r="FS219" s="341">
        <v>189.42</v>
      </c>
      <c r="FT219" s="341"/>
    </row>
    <row r="220" spans="132:176" x14ac:dyDescent="0.6">
      <c r="EB220" s="335">
        <v>42654</v>
      </c>
      <c r="EC220" s="62">
        <v>188.79</v>
      </c>
      <c r="ED220" s="62">
        <v>2136.7299800000001</v>
      </c>
      <c r="EE220" s="78">
        <f t="shared" si="30"/>
        <v>1.1348110446408006</v>
      </c>
      <c r="EF220" s="78">
        <f t="shared" si="31"/>
        <v>1.1565920895353627</v>
      </c>
      <c r="FR220" s="335">
        <v>42669</v>
      </c>
      <c r="FS220" s="341">
        <v>191.11</v>
      </c>
      <c r="FT220" s="341"/>
    </row>
    <row r="221" spans="132:176" x14ac:dyDescent="0.6">
      <c r="EB221" s="335">
        <v>42653</v>
      </c>
      <c r="EC221" s="62">
        <v>192.73</v>
      </c>
      <c r="ED221" s="62">
        <v>2163.6599120000001</v>
      </c>
      <c r="EE221" s="78">
        <f t="shared" ref="EE221:EE284" si="32">EE222+(EC221-EC222)/EC222</f>
        <v>1.1552541515779666</v>
      </c>
      <c r="EF221" s="78">
        <f t="shared" ref="EF221:EF284" si="33">EF222+(ED221-ED222)/ED222</f>
        <v>1.16903856129862</v>
      </c>
      <c r="FR221" s="335">
        <v>42668</v>
      </c>
      <c r="FS221" s="341">
        <v>194.56</v>
      </c>
      <c r="FT221" s="341"/>
    </row>
    <row r="222" spans="132:176" x14ac:dyDescent="0.6">
      <c r="EB222" s="335">
        <v>42650</v>
      </c>
      <c r="EC222" s="62">
        <v>189.28</v>
      </c>
      <c r="ED222" s="62">
        <v>2153.73999</v>
      </c>
      <c r="EE222" s="78">
        <f t="shared" si="32"/>
        <v>1.1370271862356167</v>
      </c>
      <c r="EF222" s="78">
        <f t="shared" si="33"/>
        <v>1.1644326562004843</v>
      </c>
      <c r="FR222" s="335">
        <v>42667</v>
      </c>
      <c r="FS222" s="341">
        <v>198.62</v>
      </c>
      <c r="FT222" s="341"/>
    </row>
    <row r="223" spans="132:176" x14ac:dyDescent="0.6">
      <c r="EB223" s="335">
        <v>42649</v>
      </c>
      <c r="EC223" s="62">
        <v>190.13</v>
      </c>
      <c r="ED223" s="62">
        <v>2160.7700199999999</v>
      </c>
      <c r="EE223" s="78">
        <f t="shared" si="32"/>
        <v>1.1414978115972114</v>
      </c>
      <c r="EF223" s="78">
        <f t="shared" si="33"/>
        <v>1.1676861398821952</v>
      </c>
      <c r="FR223" s="335">
        <v>42664</v>
      </c>
      <c r="FS223" s="341">
        <v>196.86</v>
      </c>
      <c r="FT223" s="341"/>
    </row>
    <row r="224" spans="132:176" x14ac:dyDescent="0.6">
      <c r="EB224" s="335">
        <v>42648</v>
      </c>
      <c r="EC224" s="62">
        <v>192.2</v>
      </c>
      <c r="ED224" s="62">
        <v>2159.7299800000001</v>
      </c>
      <c r="EE224" s="78">
        <f t="shared" si="32"/>
        <v>1.1522678428146931</v>
      </c>
      <c r="EF224" s="78">
        <f t="shared" si="33"/>
        <v>1.1672045796827113</v>
      </c>
      <c r="FR224" s="335">
        <v>42663</v>
      </c>
      <c r="FS224" s="341">
        <v>195.32</v>
      </c>
      <c r="FT224" s="341"/>
    </row>
    <row r="225" spans="132:176" x14ac:dyDescent="0.6">
      <c r="EB225" s="335">
        <v>42647</v>
      </c>
      <c r="EC225" s="62">
        <v>192.67</v>
      </c>
      <c r="ED225" s="62">
        <v>2150.48999</v>
      </c>
      <c r="EE225" s="78">
        <f t="shared" si="32"/>
        <v>1.1547072469772508</v>
      </c>
      <c r="EF225" s="78">
        <f t="shared" si="33"/>
        <v>1.1629078891410363</v>
      </c>
      <c r="FR225" s="335">
        <v>42662</v>
      </c>
      <c r="FS225" s="341">
        <v>196.34</v>
      </c>
      <c r="FT225" s="341"/>
    </row>
    <row r="226" spans="132:176" x14ac:dyDescent="0.6">
      <c r="EB226" s="335">
        <v>42646</v>
      </c>
      <c r="EC226" s="62">
        <v>191.85</v>
      </c>
      <c r="ED226" s="62">
        <v>2161.1999510000001</v>
      </c>
      <c r="EE226" s="78">
        <f t="shared" si="32"/>
        <v>1.150433074446628</v>
      </c>
      <c r="EF226" s="78">
        <f t="shared" si="33"/>
        <v>1.1678634514410653</v>
      </c>
      <c r="FR226" s="335">
        <v>42661</v>
      </c>
      <c r="FS226" s="341">
        <v>192.21</v>
      </c>
      <c r="FT226" s="341"/>
    </row>
    <row r="227" spans="132:176" x14ac:dyDescent="0.6">
      <c r="EB227" s="335">
        <v>42643</v>
      </c>
      <c r="EC227" s="62">
        <v>194.72</v>
      </c>
      <c r="ED227" s="62">
        <v>2168.2700199999999</v>
      </c>
      <c r="EE227" s="78">
        <f t="shared" si="32"/>
        <v>1.1651721870185261</v>
      </c>
      <c r="EF227" s="78">
        <f t="shared" si="33"/>
        <v>1.1711241472652874</v>
      </c>
      <c r="FR227" s="335">
        <v>42660</v>
      </c>
      <c r="FS227" s="341">
        <v>191.19</v>
      </c>
      <c r="FT227" s="341"/>
    </row>
    <row r="228" spans="132:176" x14ac:dyDescent="0.6">
      <c r="EB228" s="335">
        <v>42642</v>
      </c>
      <c r="EC228" s="62">
        <v>192.3</v>
      </c>
      <c r="ED228" s="62">
        <v>2151.1298830000001</v>
      </c>
      <c r="EE228" s="78">
        <f t="shared" si="32"/>
        <v>1.152587683638391</v>
      </c>
      <c r="EF228" s="78">
        <f t="shared" si="33"/>
        <v>1.1631561779039505</v>
      </c>
      <c r="FR228" s="335">
        <v>42657</v>
      </c>
      <c r="FS228" s="341">
        <v>191.31</v>
      </c>
      <c r="FT228" s="341"/>
    </row>
    <row r="229" spans="132:176" x14ac:dyDescent="0.6">
      <c r="EB229" s="335">
        <v>42641</v>
      </c>
      <c r="EC229" s="62">
        <v>192.18</v>
      </c>
      <c r="ED229" s="62">
        <v>2171.3701169999999</v>
      </c>
      <c r="EE229" s="78">
        <f t="shared" si="32"/>
        <v>1.1519632690270891</v>
      </c>
      <c r="EF229" s="78">
        <f t="shared" si="33"/>
        <v>1.1724775892292405</v>
      </c>
      <c r="FR229" s="335">
        <v>42656</v>
      </c>
      <c r="FS229" s="341">
        <v>190.82</v>
      </c>
      <c r="FT229" s="341"/>
    </row>
    <row r="230" spans="132:176" x14ac:dyDescent="0.6">
      <c r="EB230" s="335">
        <v>42640</v>
      </c>
      <c r="EC230" s="62">
        <v>193.51</v>
      </c>
      <c r="ED230" s="62">
        <v>2159.929932</v>
      </c>
      <c r="EE230" s="78">
        <f t="shared" si="32"/>
        <v>1.1588362988446694</v>
      </c>
      <c r="EF230" s="78">
        <f t="shared" si="33"/>
        <v>1.1671810354704772</v>
      </c>
      <c r="FR230" s="335">
        <v>42655</v>
      </c>
      <c r="FS230" s="341">
        <v>190.43</v>
      </c>
      <c r="FT230" s="341"/>
    </row>
    <row r="231" spans="132:176" x14ac:dyDescent="0.6">
      <c r="EB231" s="335">
        <v>42639</v>
      </c>
      <c r="EC231" s="62">
        <v>195.39</v>
      </c>
      <c r="ED231" s="62">
        <v>2146.1000979999999</v>
      </c>
      <c r="EE231" s="78">
        <f t="shared" si="32"/>
        <v>1.1684580809215412</v>
      </c>
      <c r="EF231" s="78">
        <f t="shared" si="33"/>
        <v>1.1607368654092165</v>
      </c>
      <c r="FR231" s="335">
        <v>42654</v>
      </c>
      <c r="FS231" s="341">
        <v>188.79</v>
      </c>
      <c r="FT231" s="341"/>
    </row>
    <row r="232" spans="132:176" x14ac:dyDescent="0.6">
      <c r="EB232" s="335">
        <v>42636</v>
      </c>
      <c r="EC232" s="62">
        <v>199.02</v>
      </c>
      <c r="ED232" s="62">
        <v>2164.6899410000001</v>
      </c>
      <c r="EE232" s="78">
        <f t="shared" si="32"/>
        <v>1.1866974538488853</v>
      </c>
      <c r="EF232" s="78">
        <f t="shared" si="33"/>
        <v>1.1693246278632761</v>
      </c>
      <c r="FR232" s="335">
        <v>42653</v>
      </c>
      <c r="FS232" s="341">
        <v>192.73</v>
      </c>
      <c r="FT232" s="341"/>
    </row>
    <row r="233" spans="132:176" x14ac:dyDescent="0.6">
      <c r="EB233" s="335">
        <v>42635</v>
      </c>
      <c r="EC233" s="62">
        <v>198.34</v>
      </c>
      <c r="ED233" s="62">
        <v>2177.179932</v>
      </c>
      <c r="EE233" s="78">
        <f t="shared" si="32"/>
        <v>1.1832689976625386</v>
      </c>
      <c r="EF233" s="78">
        <f t="shared" si="33"/>
        <v>1.1750614026775315</v>
      </c>
      <c r="FR233" s="335">
        <v>42650</v>
      </c>
      <c r="FS233" s="341">
        <v>189.28</v>
      </c>
      <c r="FT233" s="341"/>
    </row>
    <row r="234" spans="132:176" x14ac:dyDescent="0.6">
      <c r="EB234" s="335">
        <v>42634</v>
      </c>
      <c r="EC234" s="62">
        <v>197.68</v>
      </c>
      <c r="ED234" s="62">
        <v>2163.1201169999999</v>
      </c>
      <c r="EE234" s="78">
        <f t="shared" si="32"/>
        <v>1.1799302684031294</v>
      </c>
      <c r="EF234" s="78">
        <f t="shared" si="33"/>
        <v>1.1685616179963647</v>
      </c>
      <c r="EG234" s="78"/>
      <c r="EH234" s="336"/>
      <c r="FR234" s="335">
        <v>42649</v>
      </c>
      <c r="FS234" s="341">
        <v>190.13</v>
      </c>
      <c r="FT234" s="341"/>
    </row>
    <row r="235" spans="132:176" x14ac:dyDescent="0.6">
      <c r="EB235" s="335">
        <v>42633</v>
      </c>
      <c r="EC235" s="62">
        <v>197.58</v>
      </c>
      <c r="ED235" s="62">
        <v>2139.76001</v>
      </c>
      <c r="EE235" s="78">
        <f t="shared" si="32"/>
        <v>1.1794241443014997</v>
      </c>
      <c r="EF235" s="78">
        <f t="shared" si="33"/>
        <v>1.157644455842278</v>
      </c>
      <c r="FR235" s="335">
        <v>42648</v>
      </c>
      <c r="FS235" s="341">
        <v>192.2</v>
      </c>
      <c r="FT235" s="341"/>
    </row>
    <row r="236" spans="132:176" x14ac:dyDescent="0.6">
      <c r="EB236" s="335">
        <v>42632</v>
      </c>
      <c r="EC236" s="62">
        <v>201.08</v>
      </c>
      <c r="ED236" s="62">
        <v>2139.1201169999999</v>
      </c>
      <c r="EE236" s="78">
        <f t="shared" si="32"/>
        <v>1.1968301518606801</v>
      </c>
      <c r="EF236" s="78">
        <f t="shared" si="33"/>
        <v>1.1573453174278829</v>
      </c>
      <c r="FR236" s="335">
        <v>42647</v>
      </c>
      <c r="FS236" s="341">
        <v>192.67</v>
      </c>
      <c r="FT236" s="341"/>
    </row>
    <row r="237" spans="132:176" x14ac:dyDescent="0.6">
      <c r="EB237" s="335">
        <v>42629</v>
      </c>
      <c r="EC237" s="62">
        <v>200.12</v>
      </c>
      <c r="ED237" s="62">
        <v>2139.1599120000001</v>
      </c>
      <c r="EE237" s="78">
        <f t="shared" si="32"/>
        <v>1.1920330301337163</v>
      </c>
      <c r="EF237" s="78">
        <f t="shared" si="33"/>
        <v>1.1573639205251909</v>
      </c>
      <c r="FR237" s="335">
        <v>42646</v>
      </c>
      <c r="FS237" s="341">
        <v>191.85</v>
      </c>
      <c r="FT237" s="341">
        <f>FU19</f>
        <v>231.5</v>
      </c>
    </row>
    <row r="238" spans="132:176" x14ac:dyDescent="0.6">
      <c r="EB238" s="335">
        <v>42628</v>
      </c>
      <c r="EC238" s="62">
        <v>204.36</v>
      </c>
      <c r="ED238" s="62">
        <v>2147.26001</v>
      </c>
      <c r="EE238" s="78">
        <f t="shared" si="32"/>
        <v>1.2127807302707294</v>
      </c>
      <c r="EF238" s="78">
        <f t="shared" si="33"/>
        <v>1.1611362154323177</v>
      </c>
      <c r="FR238" s="335">
        <v>42643</v>
      </c>
      <c r="FS238" s="341">
        <v>194.72</v>
      </c>
      <c r="FT238" s="341"/>
    </row>
    <row r="239" spans="132:176" x14ac:dyDescent="0.6">
      <c r="EB239" s="335">
        <v>42627</v>
      </c>
      <c r="EC239" s="62">
        <v>203.33</v>
      </c>
      <c r="ED239" s="62">
        <v>2125.7700199999999</v>
      </c>
      <c r="EE239" s="78">
        <f t="shared" si="32"/>
        <v>1.2077150734566833</v>
      </c>
      <c r="EF239" s="78">
        <f t="shared" si="33"/>
        <v>1.1510269421817712</v>
      </c>
      <c r="FR239" s="335">
        <v>42642</v>
      </c>
      <c r="FS239" s="341">
        <v>192.3</v>
      </c>
      <c r="FT239" s="341"/>
    </row>
    <row r="240" spans="132:176" x14ac:dyDescent="0.6">
      <c r="EB240" s="335">
        <v>42626</v>
      </c>
      <c r="EC240" s="62">
        <v>207.92</v>
      </c>
      <c r="ED240" s="62">
        <v>2127.0200199999999</v>
      </c>
      <c r="EE240" s="78">
        <f t="shared" si="32"/>
        <v>1.2297908718406769</v>
      </c>
      <c r="EF240" s="78">
        <f t="shared" si="33"/>
        <v>1.1516146188318479</v>
      </c>
      <c r="FR240" s="335">
        <v>42641</v>
      </c>
      <c r="FS240" s="341">
        <v>192.18</v>
      </c>
      <c r="FT240" s="341"/>
    </row>
    <row r="241" spans="132:176" x14ac:dyDescent="0.6">
      <c r="EB241" s="335">
        <v>42625</v>
      </c>
      <c r="EC241" s="62">
        <v>210.26</v>
      </c>
      <c r="ED241" s="62">
        <v>2159.040039</v>
      </c>
      <c r="EE241" s="78">
        <f t="shared" si="32"/>
        <v>1.2409199501247064</v>
      </c>
      <c r="EF241" s="78">
        <f t="shared" si="33"/>
        <v>1.1664452928451148</v>
      </c>
      <c r="FR241" s="335">
        <v>42640</v>
      </c>
      <c r="FS241" s="341">
        <v>193.51</v>
      </c>
      <c r="FT241" s="341"/>
    </row>
    <row r="242" spans="132:176" x14ac:dyDescent="0.6">
      <c r="EB242" s="335">
        <v>42622</v>
      </c>
      <c r="EC242" s="62">
        <v>207.92</v>
      </c>
      <c r="ED242" s="62">
        <v>2127.8100589999999</v>
      </c>
      <c r="EE242" s="78">
        <f t="shared" si="32"/>
        <v>1.2296656215367878</v>
      </c>
      <c r="EF242" s="78">
        <f t="shared" si="33"/>
        <v>1.1517682403197229</v>
      </c>
      <c r="EG242" s="78"/>
      <c r="FR242" s="335">
        <v>42639</v>
      </c>
      <c r="FS242" s="341">
        <v>195.39</v>
      </c>
      <c r="FT242" s="341"/>
    </row>
    <row r="243" spans="132:176" x14ac:dyDescent="0.6">
      <c r="EB243" s="335">
        <v>42621</v>
      </c>
      <c r="EC243" s="62">
        <v>211.02</v>
      </c>
      <c r="ED243" s="62">
        <v>2181.3000489999999</v>
      </c>
      <c r="EE243" s="78">
        <f t="shared" si="32"/>
        <v>1.2443561721954932</v>
      </c>
      <c r="EF243" s="78">
        <f t="shared" si="33"/>
        <v>1.1762903091770185</v>
      </c>
      <c r="EG243" s="78"/>
      <c r="FR243" s="335">
        <v>42636</v>
      </c>
      <c r="FS243" s="341">
        <v>199.02</v>
      </c>
      <c r="FT243" s="341"/>
    </row>
    <row r="244" spans="132:176" x14ac:dyDescent="0.6">
      <c r="EB244" s="335">
        <v>42620</v>
      </c>
      <c r="EC244" s="62">
        <v>216.39</v>
      </c>
      <c r="ED244" s="62">
        <v>2186.1599120000001</v>
      </c>
      <c r="EE244" s="78">
        <f t="shared" si="32"/>
        <v>1.2691724760912368</v>
      </c>
      <c r="EF244" s="78">
        <f t="shared" si="33"/>
        <v>1.1785133226781461</v>
      </c>
      <c r="EG244" s="78">
        <f>EE244</f>
        <v>1.2691724760912368</v>
      </c>
      <c r="EH244" s="62" t="s">
        <v>415</v>
      </c>
      <c r="FR244" s="335">
        <v>42635</v>
      </c>
      <c r="FS244" s="341">
        <v>198.34</v>
      </c>
      <c r="FT244" s="341"/>
    </row>
    <row r="245" spans="132:176" x14ac:dyDescent="0.6">
      <c r="EB245" s="335">
        <v>42619</v>
      </c>
      <c r="EC245" s="62">
        <v>216.28</v>
      </c>
      <c r="ED245" s="62">
        <v>2186.4799800000001</v>
      </c>
      <c r="EE245" s="78">
        <f t="shared" si="32"/>
        <v>1.2686638761282261</v>
      </c>
      <c r="EF245" s="78">
        <f t="shared" si="33"/>
        <v>1.178659707736746</v>
      </c>
      <c r="FR245" s="335">
        <v>42634</v>
      </c>
      <c r="FS245" s="341">
        <v>197.68</v>
      </c>
      <c r="FT245" s="341"/>
    </row>
    <row r="246" spans="132:176" x14ac:dyDescent="0.6">
      <c r="EB246" s="335">
        <v>42615</v>
      </c>
      <c r="EC246" s="62">
        <v>217.26</v>
      </c>
      <c r="ED246" s="62">
        <v>2179.9799800000001</v>
      </c>
      <c r="EE246" s="78">
        <f t="shared" si="32"/>
        <v>1.2731746006058104</v>
      </c>
      <c r="EF246" s="78">
        <f t="shared" si="33"/>
        <v>1.1756780289783935</v>
      </c>
      <c r="FR246" s="335">
        <v>42633</v>
      </c>
      <c r="FS246" s="341">
        <v>197.58</v>
      </c>
      <c r="FT246" s="341"/>
    </row>
    <row r="247" spans="132:176" x14ac:dyDescent="0.6">
      <c r="EB247" s="335">
        <v>42614</v>
      </c>
      <c r="EC247" s="62">
        <v>215.59</v>
      </c>
      <c r="ED247" s="62">
        <v>2170.860107</v>
      </c>
      <c r="EE247" s="78">
        <f t="shared" si="32"/>
        <v>1.2654284157178286</v>
      </c>
      <c r="EF247" s="78">
        <f t="shared" si="33"/>
        <v>1.1714769876627449</v>
      </c>
      <c r="FR247" s="335">
        <v>42632</v>
      </c>
      <c r="FS247" s="341">
        <v>201.08</v>
      </c>
      <c r="FT247" s="341"/>
    </row>
    <row r="248" spans="132:176" x14ac:dyDescent="0.6">
      <c r="EB248" s="335">
        <v>42613</v>
      </c>
      <c r="EC248" s="62">
        <v>217.15</v>
      </c>
      <c r="ED248" s="62">
        <v>2170.9499510000001</v>
      </c>
      <c r="EE248" s="78">
        <f t="shared" si="32"/>
        <v>1.2726123899292032</v>
      </c>
      <c r="EF248" s="78">
        <f t="shared" si="33"/>
        <v>1.1715183723109532</v>
      </c>
      <c r="FR248" s="335">
        <v>42629</v>
      </c>
      <c r="FS248" s="341">
        <v>200.12</v>
      </c>
      <c r="FT248" s="341"/>
    </row>
    <row r="249" spans="132:176" x14ac:dyDescent="0.6">
      <c r="EB249" s="335">
        <v>42612</v>
      </c>
      <c r="EC249" s="62">
        <v>217.71</v>
      </c>
      <c r="ED249" s="62">
        <v>2176.1201169999999</v>
      </c>
      <c r="EE249" s="78">
        <f t="shared" si="32"/>
        <v>1.275184619041325</v>
      </c>
      <c r="EF249" s="78">
        <f t="shared" si="33"/>
        <v>1.1738942365656928</v>
      </c>
      <c r="FR249" s="335">
        <v>42628</v>
      </c>
      <c r="FS249" s="341">
        <v>204.36</v>
      </c>
      <c r="FT249" s="341"/>
    </row>
    <row r="250" spans="132:176" x14ac:dyDescent="0.6">
      <c r="EB250" s="335">
        <v>42611</v>
      </c>
      <c r="EC250" s="62">
        <v>220.28</v>
      </c>
      <c r="ED250" s="62">
        <v>2180.3798830000001</v>
      </c>
      <c r="EE250" s="78">
        <f t="shared" si="32"/>
        <v>1.28685158835311</v>
      </c>
      <c r="EF250" s="78">
        <f t="shared" si="33"/>
        <v>1.1758479172216247</v>
      </c>
      <c r="FR250" s="335">
        <v>42627</v>
      </c>
      <c r="FS250" s="341">
        <v>203.33</v>
      </c>
      <c r="FT250" s="341"/>
    </row>
    <row r="251" spans="132:176" x14ac:dyDescent="0.6">
      <c r="EB251" s="335">
        <v>42608</v>
      </c>
      <c r="EC251" s="62">
        <v>217.44</v>
      </c>
      <c r="ED251" s="62">
        <v>2169.040039</v>
      </c>
      <c r="EE251" s="78">
        <f t="shared" si="32"/>
        <v>1.2737905140337575</v>
      </c>
      <c r="EF251" s="78">
        <f t="shared" si="33"/>
        <v>1.1706198698845049</v>
      </c>
      <c r="FR251" s="335">
        <v>42626</v>
      </c>
      <c r="FS251" s="341">
        <v>207.92</v>
      </c>
      <c r="FT251" s="341"/>
    </row>
    <row r="252" spans="132:176" x14ac:dyDescent="0.6">
      <c r="EB252" s="335">
        <v>42607</v>
      </c>
      <c r="EC252" s="62">
        <v>218.42</v>
      </c>
      <c r="ED252" s="62">
        <v>2172.469971</v>
      </c>
      <c r="EE252" s="78">
        <f t="shared" si="32"/>
        <v>1.2782772826446906</v>
      </c>
      <c r="EF252" s="78">
        <f t="shared" si="33"/>
        <v>1.1721986866441314</v>
      </c>
      <c r="EG252" s="78"/>
      <c r="FR252" s="335">
        <v>42625</v>
      </c>
      <c r="FS252" s="341">
        <v>210.26</v>
      </c>
      <c r="FT252" s="341"/>
    </row>
    <row r="253" spans="132:176" x14ac:dyDescent="0.6">
      <c r="EB253" s="335">
        <v>42606</v>
      </c>
      <c r="EC253" s="62">
        <v>215.9</v>
      </c>
      <c r="ED253" s="62">
        <v>2175.4399410000001</v>
      </c>
      <c r="EE253" s="78">
        <f t="shared" si="32"/>
        <v>1.2666052122417264</v>
      </c>
      <c r="EF253" s="78">
        <f t="shared" si="33"/>
        <v>1.1735639139455272</v>
      </c>
      <c r="FR253" s="335">
        <v>42622</v>
      </c>
      <c r="FS253" s="341">
        <v>207.92</v>
      </c>
      <c r="FT253" s="341"/>
    </row>
    <row r="254" spans="132:176" x14ac:dyDescent="0.6">
      <c r="EB254" s="335">
        <v>42605</v>
      </c>
      <c r="EC254" s="62">
        <v>217.99</v>
      </c>
      <c r="ED254" s="62">
        <v>2186.8999020000001</v>
      </c>
      <c r="EE254" s="78">
        <f t="shared" si="32"/>
        <v>1.2761928080029998</v>
      </c>
      <c r="EF254" s="78">
        <f t="shared" si="33"/>
        <v>1.178804190827665</v>
      </c>
      <c r="EG254" s="78"/>
      <c r="FR254" s="335">
        <v>42621</v>
      </c>
      <c r="FS254" s="341">
        <v>211.02</v>
      </c>
      <c r="FT254" s="341"/>
    </row>
    <row r="255" spans="132:176" x14ac:dyDescent="0.6">
      <c r="EB255" s="335">
        <v>42604</v>
      </c>
      <c r="EC255" s="62">
        <v>218.41</v>
      </c>
      <c r="ED255" s="62">
        <v>2182.639893</v>
      </c>
      <c r="EE255" s="78">
        <f t="shared" si="32"/>
        <v>1.2781157968771355</v>
      </c>
      <c r="EF255" s="78">
        <f t="shared" si="33"/>
        <v>1.1768524217732907</v>
      </c>
      <c r="FR255" s="335">
        <v>42620</v>
      </c>
      <c r="FS255" s="341">
        <v>216.39</v>
      </c>
      <c r="FT255" s="341"/>
    </row>
    <row r="256" spans="132:176" x14ac:dyDescent="0.6">
      <c r="EB256" s="335">
        <v>42601</v>
      </c>
      <c r="EC256" s="62">
        <v>216.07</v>
      </c>
      <c r="ED256" s="62">
        <v>2183.8701169999999</v>
      </c>
      <c r="EE256" s="78">
        <f t="shared" si="32"/>
        <v>1.2672859732088799</v>
      </c>
      <c r="EF256" s="78">
        <f t="shared" si="33"/>
        <v>1.1774157446515259</v>
      </c>
      <c r="FR256" s="335">
        <v>42619</v>
      </c>
      <c r="FS256" s="341">
        <v>216.28</v>
      </c>
      <c r="FT256" s="341"/>
    </row>
    <row r="257" spans="132:176" x14ac:dyDescent="0.6">
      <c r="EB257" s="335">
        <v>42600</v>
      </c>
      <c r="EC257" s="62">
        <v>218.57</v>
      </c>
      <c r="ED257" s="62">
        <v>2187.0200199999999</v>
      </c>
      <c r="EE257" s="78">
        <f t="shared" si="32"/>
        <v>1.2787239564636725</v>
      </c>
      <c r="EF257" s="78">
        <f t="shared" si="33"/>
        <v>1.1788560163322579</v>
      </c>
      <c r="FR257" s="335">
        <v>42615</v>
      </c>
      <c r="FS257" s="341">
        <v>217.26</v>
      </c>
      <c r="FT257" s="341"/>
    </row>
    <row r="258" spans="132:176" x14ac:dyDescent="0.6">
      <c r="EB258" s="335">
        <v>42599</v>
      </c>
      <c r="EC258" s="62">
        <v>216.24</v>
      </c>
      <c r="ED258" s="62">
        <v>2182.219971</v>
      </c>
      <c r="EE258" s="78">
        <f t="shared" si="32"/>
        <v>1.2679488917207944</v>
      </c>
      <c r="EF258" s="78">
        <f t="shared" si="33"/>
        <v>1.1766563989408909</v>
      </c>
      <c r="FR258" s="335">
        <v>42614</v>
      </c>
      <c r="FS258" s="341">
        <v>215.59</v>
      </c>
      <c r="FT258" s="341"/>
    </row>
    <row r="259" spans="132:176" x14ac:dyDescent="0.6">
      <c r="EB259" s="335">
        <v>42598</v>
      </c>
      <c r="EC259" s="62">
        <v>218.73</v>
      </c>
      <c r="ED259" s="62">
        <v>2178.1499020000001</v>
      </c>
      <c r="EE259" s="78">
        <f t="shared" si="32"/>
        <v>1.2793327896771789</v>
      </c>
      <c r="EF259" s="78">
        <f t="shared" si="33"/>
        <v>1.1747878089984527</v>
      </c>
      <c r="FR259" s="335">
        <v>42613</v>
      </c>
      <c r="FS259" s="341">
        <v>217.15</v>
      </c>
      <c r="FT259" s="341"/>
    </row>
    <row r="260" spans="132:176" x14ac:dyDescent="0.6">
      <c r="EB260" s="335">
        <v>42597</v>
      </c>
      <c r="EC260" s="62">
        <v>220.79</v>
      </c>
      <c r="ED260" s="62">
        <v>2190.1499020000001</v>
      </c>
      <c r="EE260" s="78">
        <f t="shared" si="32"/>
        <v>1.2886629223824644</v>
      </c>
      <c r="EF260" s="78">
        <f t="shared" si="33"/>
        <v>1.1802668860191816</v>
      </c>
      <c r="FR260" s="335">
        <v>42612</v>
      </c>
      <c r="FS260" s="341">
        <v>217.71</v>
      </c>
      <c r="FT260" s="341"/>
    </row>
    <row r="261" spans="132:176" x14ac:dyDescent="0.6">
      <c r="EB261" s="335">
        <v>42594</v>
      </c>
      <c r="EC261" s="62">
        <v>221.24</v>
      </c>
      <c r="ED261" s="62">
        <v>2184.0500489999999</v>
      </c>
      <c r="EE261" s="78">
        <f t="shared" si="32"/>
        <v>1.2906969126193113</v>
      </c>
      <c r="EF261" s="78">
        <f t="shared" si="33"/>
        <v>1.1774739770367189</v>
      </c>
      <c r="FR261" s="335">
        <v>42611</v>
      </c>
      <c r="FS261" s="341">
        <v>220.28</v>
      </c>
      <c r="FT261" s="341"/>
    </row>
    <row r="262" spans="132:176" x14ac:dyDescent="0.6">
      <c r="EB262" s="335">
        <v>42593</v>
      </c>
      <c r="EC262" s="62">
        <v>221.7</v>
      </c>
      <c r="ED262" s="62">
        <v>2185.790039</v>
      </c>
      <c r="EE262" s="78">
        <f t="shared" si="32"/>
        <v>1.2927717885778136</v>
      </c>
      <c r="EF262" s="78">
        <f t="shared" si="33"/>
        <v>1.1782700233032652</v>
      </c>
      <c r="FR262" s="335">
        <v>42608</v>
      </c>
      <c r="FS262" s="341">
        <v>217.44</v>
      </c>
      <c r="FT262" s="341"/>
    </row>
    <row r="263" spans="132:176" x14ac:dyDescent="0.6">
      <c r="EB263" s="335">
        <v>42592</v>
      </c>
      <c r="EC263" s="62">
        <v>219</v>
      </c>
      <c r="ED263" s="62">
        <v>2175.48999</v>
      </c>
      <c r="EE263" s="78">
        <f t="shared" si="32"/>
        <v>1.2804430214545259</v>
      </c>
      <c r="EF263" s="78">
        <f t="shared" si="33"/>
        <v>1.1735354352116878</v>
      </c>
      <c r="FR263" s="335">
        <v>42607</v>
      </c>
      <c r="FS263" s="341">
        <v>218.42</v>
      </c>
      <c r="FT263" s="341"/>
    </row>
    <row r="264" spans="132:176" x14ac:dyDescent="0.6">
      <c r="EB264" s="335">
        <v>42591</v>
      </c>
      <c r="EC264" s="62">
        <v>219.2</v>
      </c>
      <c r="ED264" s="62">
        <v>2181.73999</v>
      </c>
      <c r="EE264" s="78">
        <f t="shared" si="32"/>
        <v>1.2813554302136501</v>
      </c>
      <c r="EF264" s="78">
        <f t="shared" si="33"/>
        <v>1.1764001212093993</v>
      </c>
      <c r="FR264" s="335">
        <v>42606</v>
      </c>
      <c r="FS264" s="341">
        <v>215.9</v>
      </c>
      <c r="FT264" s="341"/>
    </row>
    <row r="265" spans="132:176" x14ac:dyDescent="0.6">
      <c r="EB265" s="335">
        <v>42590</v>
      </c>
      <c r="EC265" s="62">
        <v>218.23</v>
      </c>
      <c r="ED265" s="62">
        <v>2180.889893</v>
      </c>
      <c r="EE265" s="78">
        <f t="shared" si="32"/>
        <v>1.2769105784517474</v>
      </c>
      <c r="EF265" s="78">
        <f t="shared" si="33"/>
        <v>1.1760103275739073</v>
      </c>
      <c r="FR265" s="335">
        <v>42605</v>
      </c>
      <c r="FS265" s="341">
        <v>217.99</v>
      </c>
      <c r="FT265" s="341"/>
    </row>
    <row r="266" spans="132:176" x14ac:dyDescent="0.6">
      <c r="EB266" s="335">
        <v>42587</v>
      </c>
      <c r="EC266" s="62">
        <v>219.07</v>
      </c>
      <c r="ED266" s="62">
        <v>2182.8701169999999</v>
      </c>
      <c r="EE266" s="78">
        <f t="shared" si="32"/>
        <v>1.2807449692857273</v>
      </c>
      <c r="EF266" s="78">
        <f t="shared" si="33"/>
        <v>1.1769174928626609</v>
      </c>
      <c r="FR266" s="335">
        <v>42604</v>
      </c>
      <c r="FS266" s="341">
        <v>218.41</v>
      </c>
      <c r="FT266" s="341"/>
    </row>
    <row r="267" spans="132:176" x14ac:dyDescent="0.6">
      <c r="EB267" s="335">
        <v>42586</v>
      </c>
      <c r="EC267" s="62">
        <v>214.68</v>
      </c>
      <c r="ED267" s="62">
        <v>2164.25</v>
      </c>
      <c r="EE267" s="78">
        <f t="shared" si="32"/>
        <v>1.2602959288534561</v>
      </c>
      <c r="EF267" s="78">
        <f t="shared" si="33"/>
        <v>1.1683139965013349</v>
      </c>
      <c r="FR267" s="335">
        <v>42601</v>
      </c>
      <c r="FS267" s="341">
        <v>216.07</v>
      </c>
      <c r="FT267" s="341"/>
    </row>
    <row r="268" spans="132:176" x14ac:dyDescent="0.6">
      <c r="EB268" s="335">
        <v>42585</v>
      </c>
      <c r="EC268" s="62">
        <v>214.83</v>
      </c>
      <c r="ED268" s="62">
        <v>2163.790039</v>
      </c>
      <c r="EE268" s="78">
        <f t="shared" si="32"/>
        <v>1.2609941553581343</v>
      </c>
      <c r="EF268" s="78">
        <f t="shared" si="33"/>
        <v>1.1681014245827523</v>
      </c>
      <c r="FR268" s="335">
        <v>42600</v>
      </c>
      <c r="FS268" s="341">
        <v>218.57</v>
      </c>
      <c r="FT268" s="341"/>
    </row>
    <row r="269" spans="132:176" x14ac:dyDescent="0.6">
      <c r="EB269" s="335">
        <v>42584</v>
      </c>
      <c r="EC269" s="62">
        <v>215.78</v>
      </c>
      <c r="ED269" s="62">
        <v>2157.030029</v>
      </c>
      <c r="EE269" s="78">
        <f t="shared" si="32"/>
        <v>1.265396787668821</v>
      </c>
      <c r="EF269" s="78">
        <f t="shared" si="33"/>
        <v>1.1649674811934088</v>
      </c>
      <c r="FR269" s="335">
        <v>42599</v>
      </c>
      <c r="FS269" s="341">
        <v>216.24</v>
      </c>
      <c r="FT269" s="341"/>
    </row>
    <row r="270" spans="132:176" x14ac:dyDescent="0.6">
      <c r="EB270" s="335">
        <v>42583</v>
      </c>
      <c r="EC270" s="62">
        <v>221.38</v>
      </c>
      <c r="ED270" s="62">
        <v>2170.8400879999999</v>
      </c>
      <c r="EE270" s="78">
        <f t="shared" si="32"/>
        <v>1.2906926590212466</v>
      </c>
      <c r="EF270" s="78">
        <f t="shared" si="33"/>
        <v>1.171329100861453</v>
      </c>
      <c r="FR270" s="335">
        <v>42598</v>
      </c>
      <c r="FS270" s="341">
        <v>218.73</v>
      </c>
      <c r="FT270" s="341"/>
    </row>
    <row r="271" spans="132:176" x14ac:dyDescent="0.6">
      <c r="EB271" s="335">
        <v>42580</v>
      </c>
      <c r="EC271" s="62">
        <v>219.32</v>
      </c>
      <c r="ED271" s="62">
        <v>2173.6000979999999</v>
      </c>
      <c r="EE271" s="78">
        <f t="shared" si="32"/>
        <v>1.2812999907739369</v>
      </c>
      <c r="EF271" s="78">
        <f t="shared" si="33"/>
        <v>1.1725988882535954</v>
      </c>
      <c r="FR271" s="335">
        <v>42597</v>
      </c>
      <c r="FS271" s="341">
        <v>220.79</v>
      </c>
      <c r="FT271" s="341"/>
    </row>
    <row r="272" spans="132:176" x14ac:dyDescent="0.6">
      <c r="EB272" s="335">
        <v>42579</v>
      </c>
      <c r="EC272" s="62">
        <v>221.63</v>
      </c>
      <c r="ED272" s="62">
        <v>2170.0600589999999</v>
      </c>
      <c r="EE272" s="78">
        <f t="shared" si="32"/>
        <v>1.2917227674738421</v>
      </c>
      <c r="EF272" s="78">
        <f t="shared" si="33"/>
        <v>1.1709675790253931</v>
      </c>
      <c r="FR272" s="335">
        <v>42594</v>
      </c>
      <c r="FS272" s="341">
        <v>221.24</v>
      </c>
      <c r="FT272" s="341"/>
    </row>
    <row r="273" spans="132:176" x14ac:dyDescent="0.6">
      <c r="EB273" s="335">
        <v>42578</v>
      </c>
      <c r="EC273" s="62">
        <v>214.54</v>
      </c>
      <c r="ED273" s="62">
        <v>2166.580078</v>
      </c>
      <c r="EE273" s="78">
        <f t="shared" si="32"/>
        <v>1.2586753171149345</v>
      </c>
      <c r="EF273" s="78">
        <f t="shared" si="33"/>
        <v>1.1693613697579228</v>
      </c>
      <c r="FR273" s="335">
        <v>42593</v>
      </c>
      <c r="FS273" s="341">
        <v>221.7</v>
      </c>
      <c r="FT273" s="341"/>
    </row>
    <row r="274" spans="132:176" x14ac:dyDescent="0.6">
      <c r="EB274" s="335">
        <v>42577</v>
      </c>
      <c r="EC274" s="62">
        <v>207.61</v>
      </c>
      <c r="ED274" s="62">
        <v>2169.179932</v>
      </c>
      <c r="EE274" s="78">
        <f t="shared" si="32"/>
        <v>1.2252954221195105</v>
      </c>
      <c r="EF274" s="78">
        <f t="shared" si="33"/>
        <v>1.1705599121018044</v>
      </c>
      <c r="FR274" s="335">
        <v>42592</v>
      </c>
      <c r="FS274" s="341">
        <v>219</v>
      </c>
      <c r="FT274" s="341"/>
    </row>
    <row r="275" spans="132:176" x14ac:dyDescent="0.6">
      <c r="EB275" s="335">
        <v>42576</v>
      </c>
      <c r="EC275" s="62">
        <v>216.99</v>
      </c>
      <c r="ED275" s="62">
        <v>2168.4799800000001</v>
      </c>
      <c r="EE275" s="78">
        <f t="shared" si="32"/>
        <v>1.268523220635571</v>
      </c>
      <c r="EF275" s="78">
        <f t="shared" si="33"/>
        <v>1.1702371274754968</v>
      </c>
      <c r="FR275" s="335">
        <v>42591</v>
      </c>
      <c r="FS275" s="341">
        <v>219.2</v>
      </c>
      <c r="FT275" s="341"/>
    </row>
    <row r="276" spans="132:176" x14ac:dyDescent="0.6">
      <c r="EB276" s="335">
        <v>42573</v>
      </c>
      <c r="EC276" s="62">
        <v>215.54</v>
      </c>
      <c r="ED276" s="62">
        <v>2175.030029</v>
      </c>
      <c r="EE276" s="78">
        <f t="shared" si="32"/>
        <v>1.2617959310373525</v>
      </c>
      <c r="EF276" s="78">
        <f t="shared" si="33"/>
        <v>1.173248602679364</v>
      </c>
      <c r="FR276" s="335">
        <v>42590</v>
      </c>
      <c r="FS276" s="341">
        <v>218.23</v>
      </c>
      <c r="FT276" s="341"/>
    </row>
    <row r="277" spans="132:176" x14ac:dyDescent="0.6">
      <c r="EB277" s="335">
        <v>42572</v>
      </c>
      <c r="EC277" s="62">
        <v>209.95</v>
      </c>
      <c r="ED277" s="62">
        <v>2165.169922</v>
      </c>
      <c r="EE277" s="78">
        <f t="shared" si="32"/>
        <v>1.2351705440404486</v>
      </c>
      <c r="EF277" s="78">
        <f t="shared" si="33"/>
        <v>1.1686946381614698</v>
      </c>
      <c r="FR277" s="335">
        <v>42587</v>
      </c>
      <c r="FS277" s="341">
        <v>219.07</v>
      </c>
      <c r="FT277" s="341"/>
    </row>
    <row r="278" spans="132:176" x14ac:dyDescent="0.6">
      <c r="EB278" s="335">
        <v>42571</v>
      </c>
      <c r="EC278" s="62">
        <v>210.04</v>
      </c>
      <c r="ED278" s="62">
        <v>2173.0200199999999</v>
      </c>
      <c r="EE278" s="78">
        <f t="shared" si="32"/>
        <v>1.2355990338519132</v>
      </c>
      <c r="EF278" s="78">
        <f t="shared" si="33"/>
        <v>1.1723071672351779</v>
      </c>
      <c r="FR278" s="335">
        <v>42586</v>
      </c>
      <c r="FS278" s="341">
        <v>214.68</v>
      </c>
      <c r="FT278" s="341"/>
    </row>
    <row r="279" spans="132:176" x14ac:dyDescent="0.6">
      <c r="EB279" s="335">
        <v>42570</v>
      </c>
      <c r="EC279" s="62">
        <v>206.7</v>
      </c>
      <c r="ED279" s="62">
        <v>2163.780029</v>
      </c>
      <c r="EE279" s="78">
        <f t="shared" si="32"/>
        <v>1.2194403497687007</v>
      </c>
      <c r="EF279" s="78">
        <f t="shared" si="33"/>
        <v>1.1680368667073233</v>
      </c>
      <c r="FR279" s="335">
        <v>42585</v>
      </c>
      <c r="FS279" s="341">
        <v>214.83</v>
      </c>
      <c r="FT279" s="341"/>
    </row>
    <row r="280" spans="132:176" x14ac:dyDescent="0.6">
      <c r="EB280" s="335">
        <v>42569</v>
      </c>
      <c r="EC280" s="62">
        <v>208.71</v>
      </c>
      <c r="ED280" s="62">
        <v>2166.889893</v>
      </c>
      <c r="EE280" s="78">
        <f t="shared" si="32"/>
        <v>1.2290709376657829</v>
      </c>
      <c r="EF280" s="78">
        <f t="shared" si="33"/>
        <v>1.1694720406910344</v>
      </c>
      <c r="FR280" s="335">
        <v>42584</v>
      </c>
      <c r="FS280" s="341">
        <v>215.78</v>
      </c>
      <c r="FT280" s="341"/>
    </row>
    <row r="281" spans="132:176" x14ac:dyDescent="0.6">
      <c r="EB281" s="335">
        <v>42566</v>
      </c>
      <c r="EC281" s="62">
        <v>208.59</v>
      </c>
      <c r="ED281" s="62">
        <v>2161.73999</v>
      </c>
      <c r="EE281" s="78">
        <f t="shared" si="32"/>
        <v>1.228495646424592</v>
      </c>
      <c r="EF281" s="78">
        <f t="shared" si="33"/>
        <v>1.1670897453993605</v>
      </c>
      <c r="FR281" s="335">
        <v>42583</v>
      </c>
      <c r="FS281" s="341">
        <v>221.38</v>
      </c>
      <c r="FT281" s="341"/>
    </row>
    <row r="282" spans="132:176" x14ac:dyDescent="0.6">
      <c r="EB282" s="335">
        <v>42565</v>
      </c>
      <c r="EC282" s="62">
        <v>215.32</v>
      </c>
      <c r="ED282" s="62">
        <v>2163.75</v>
      </c>
      <c r="EE282" s="78">
        <f t="shared" si="32"/>
        <v>1.2597514517376145</v>
      </c>
      <c r="EF282" s="78">
        <f t="shared" si="33"/>
        <v>1.1680186928285921</v>
      </c>
      <c r="FR282" s="335">
        <v>42580</v>
      </c>
      <c r="FS282" s="341">
        <v>219.32</v>
      </c>
      <c r="FT282" s="341"/>
    </row>
    <row r="283" spans="132:176" x14ac:dyDescent="0.6">
      <c r="EB283" s="335">
        <v>42564</v>
      </c>
      <c r="EC283" s="62">
        <v>211</v>
      </c>
      <c r="ED283" s="62">
        <v>2152.429932</v>
      </c>
      <c r="EE283" s="78">
        <f t="shared" si="32"/>
        <v>1.2392775180883253</v>
      </c>
      <c r="EF283" s="78">
        <f t="shared" si="33"/>
        <v>1.1627594888788115</v>
      </c>
      <c r="FR283" s="335">
        <v>42579</v>
      </c>
      <c r="FS283" s="341">
        <v>221.63</v>
      </c>
      <c r="FT283" s="341"/>
    </row>
    <row r="284" spans="132:176" x14ac:dyDescent="0.6">
      <c r="EB284" s="335">
        <v>42563</v>
      </c>
      <c r="EC284" s="62">
        <v>212.88</v>
      </c>
      <c r="ED284" s="62">
        <v>2152.139893</v>
      </c>
      <c r="EE284" s="78">
        <f t="shared" si="32"/>
        <v>1.2481087845295129</v>
      </c>
      <c r="EF284" s="78">
        <f t="shared" si="33"/>
        <v>1.1626247211525391</v>
      </c>
      <c r="FR284" s="335">
        <v>42578</v>
      </c>
      <c r="FS284" s="341">
        <v>214.54</v>
      </c>
      <c r="FT284" s="341"/>
    </row>
    <row r="285" spans="132:176" x14ac:dyDescent="0.6">
      <c r="EB285" s="335">
        <v>42562</v>
      </c>
      <c r="EC285" s="62">
        <v>212.33</v>
      </c>
      <c r="ED285" s="62">
        <v>2137.1599120000001</v>
      </c>
      <c r="EE285" s="78">
        <f t="shared" ref="EE285:EE348" si="34">EE286+(EC285-EC286)/EC286</f>
        <v>1.2455184769893632</v>
      </c>
      <c r="EF285" s="78">
        <f t="shared" ref="EF285:EF348" si="35">EF286+(ED285-ED286)/ED286</f>
        <v>1.1556154276898045</v>
      </c>
      <c r="FR285" s="335">
        <v>42577</v>
      </c>
      <c r="FS285" s="341">
        <v>207.61</v>
      </c>
      <c r="FT285" s="341"/>
    </row>
    <row r="286" spans="132:176" x14ac:dyDescent="0.6">
      <c r="EB286" s="335">
        <v>42559</v>
      </c>
      <c r="EC286" s="62">
        <v>210.26</v>
      </c>
      <c r="ED286" s="62">
        <v>2129.8999020000001</v>
      </c>
      <c r="EE286" s="78">
        <f t="shared" si="34"/>
        <v>1.2356735231227218</v>
      </c>
      <c r="EF286" s="78">
        <f t="shared" si="35"/>
        <v>1.1522068121050144</v>
      </c>
      <c r="FR286" s="335">
        <v>42576</v>
      </c>
      <c r="FS286" s="341">
        <v>216.99</v>
      </c>
      <c r="FT286" s="341"/>
    </row>
    <row r="287" spans="132:176" x14ac:dyDescent="0.6">
      <c r="EB287" s="335">
        <v>42558</v>
      </c>
      <c r="EC287" s="62">
        <v>207.42</v>
      </c>
      <c r="ED287" s="62">
        <v>2097.8999020000001</v>
      </c>
      <c r="EE287" s="78">
        <f t="shared" si="34"/>
        <v>1.2219814972814336</v>
      </c>
      <c r="EF287" s="78">
        <f t="shared" si="35"/>
        <v>1.1369534628057969</v>
      </c>
      <c r="FR287" s="335">
        <v>42573</v>
      </c>
      <c r="FS287" s="341">
        <v>215.54</v>
      </c>
      <c r="FT287" s="341"/>
    </row>
    <row r="288" spans="132:176" x14ac:dyDescent="0.6">
      <c r="EB288" s="335">
        <v>42557</v>
      </c>
      <c r="EC288" s="62">
        <v>210.22</v>
      </c>
      <c r="ED288" s="62">
        <v>2099.7299800000001</v>
      </c>
      <c r="EE288" s="78">
        <f t="shared" si="34"/>
        <v>1.2353008769788933</v>
      </c>
      <c r="EF288" s="78">
        <f t="shared" si="35"/>
        <v>1.1378250405883839</v>
      </c>
      <c r="FR288" s="335">
        <v>42572</v>
      </c>
      <c r="FS288" s="341">
        <v>209.95</v>
      </c>
      <c r="FT288" s="341"/>
    </row>
    <row r="289" spans="132:176" x14ac:dyDescent="0.6">
      <c r="EB289" s="335">
        <v>42556</v>
      </c>
      <c r="EC289" s="62">
        <v>208.26</v>
      </c>
      <c r="ED289" s="62">
        <v>2088.5500489999999</v>
      </c>
      <c r="EE289" s="78">
        <f t="shared" si="34"/>
        <v>1.225889564196794</v>
      </c>
      <c r="EF289" s="78">
        <f t="shared" si="35"/>
        <v>1.1324720776534745</v>
      </c>
      <c r="FR289" s="335">
        <v>42571</v>
      </c>
      <c r="FS289" s="341">
        <v>210.04</v>
      </c>
      <c r="FT289" s="341"/>
    </row>
    <row r="290" spans="132:176" x14ac:dyDescent="0.6">
      <c r="EB290" s="335">
        <v>42552</v>
      </c>
      <c r="EC290" s="62">
        <v>207.85</v>
      </c>
      <c r="ED290" s="62">
        <v>2102.9499510000001</v>
      </c>
      <c r="EE290" s="78">
        <f t="shared" si="34"/>
        <v>1.2239169878195988</v>
      </c>
      <c r="EF290" s="78">
        <f t="shared" si="35"/>
        <v>1.1393195549285056</v>
      </c>
      <c r="FR290" s="335">
        <v>42570</v>
      </c>
      <c r="FS290" s="341">
        <v>206.7</v>
      </c>
      <c r="FT290" s="341"/>
    </row>
    <row r="291" spans="132:176" x14ac:dyDescent="0.6">
      <c r="EB291" s="335">
        <v>42551</v>
      </c>
      <c r="EC291" s="62">
        <v>211.94</v>
      </c>
      <c r="ED291" s="62">
        <v>2098.860107</v>
      </c>
      <c r="EE291" s="78">
        <f t="shared" si="34"/>
        <v>1.2432149023237038</v>
      </c>
      <c r="EF291" s="78">
        <f t="shared" si="35"/>
        <v>1.1373709524531144</v>
      </c>
      <c r="FR291" s="335">
        <v>42569</v>
      </c>
      <c r="FS291" s="341">
        <v>208.71</v>
      </c>
      <c r="FT291" s="341"/>
    </row>
    <row r="292" spans="132:176" x14ac:dyDescent="0.6">
      <c r="EB292" s="335">
        <v>42550</v>
      </c>
      <c r="EC292" s="62">
        <v>212.47</v>
      </c>
      <c r="ED292" s="62">
        <v>2070.7700199999999</v>
      </c>
      <c r="EE292" s="78">
        <f t="shared" si="34"/>
        <v>1.245709372131206</v>
      </c>
      <c r="EF292" s="78">
        <f t="shared" si="35"/>
        <v>1.1238059081803564</v>
      </c>
      <c r="FR292" s="335">
        <v>42566</v>
      </c>
      <c r="FS292" s="341">
        <v>208.59</v>
      </c>
      <c r="FT292" s="341"/>
    </row>
    <row r="293" spans="132:176" x14ac:dyDescent="0.6">
      <c r="EB293" s="335">
        <v>42549</v>
      </c>
      <c r="EC293" s="62">
        <v>209.53</v>
      </c>
      <c r="ED293" s="62">
        <v>2036.089966</v>
      </c>
      <c r="EE293" s="78">
        <f t="shared" si="34"/>
        <v>1.2316779685135857</v>
      </c>
      <c r="EF293" s="78">
        <f t="shared" si="35"/>
        <v>1.1067732354698618</v>
      </c>
      <c r="FR293" s="335">
        <v>42565</v>
      </c>
      <c r="FS293" s="341">
        <v>215.32</v>
      </c>
      <c r="FT293" s="341"/>
    </row>
    <row r="294" spans="132:176" x14ac:dyDescent="0.6">
      <c r="EB294" s="335">
        <v>42548</v>
      </c>
      <c r="EC294" s="62">
        <v>207.46</v>
      </c>
      <c r="ED294" s="62">
        <v>2000.540039</v>
      </c>
      <c r="EE294" s="78">
        <f t="shared" si="34"/>
        <v>1.2217001414625879</v>
      </c>
      <c r="EF294" s="78">
        <f t="shared" si="35"/>
        <v>1.0890030702609865</v>
      </c>
      <c r="FR294" s="335">
        <v>42564</v>
      </c>
      <c r="FS294" s="341">
        <v>211</v>
      </c>
      <c r="FT294" s="341"/>
    </row>
    <row r="295" spans="132:176" x14ac:dyDescent="0.6">
      <c r="EB295" s="335">
        <v>42545</v>
      </c>
      <c r="EC295" s="62">
        <v>211.64</v>
      </c>
      <c r="ED295" s="62">
        <v>2037.410034</v>
      </c>
      <c r="EE295" s="78">
        <f t="shared" si="34"/>
        <v>1.2414506612131075</v>
      </c>
      <c r="EF295" s="78">
        <f t="shared" si="35"/>
        <v>1.1070995723811876</v>
      </c>
      <c r="FR295" s="335">
        <v>42563</v>
      </c>
      <c r="FS295" s="341">
        <v>212.88</v>
      </c>
      <c r="FT295" s="341"/>
    </row>
    <row r="296" spans="132:176" x14ac:dyDescent="0.6">
      <c r="EB296" s="335">
        <v>42544</v>
      </c>
      <c r="EC296" s="62">
        <v>213.17</v>
      </c>
      <c r="ED296" s="62">
        <v>2113.320068</v>
      </c>
      <c r="EE296" s="78">
        <f t="shared" si="34"/>
        <v>1.248628031387147</v>
      </c>
      <c r="EF296" s="78">
        <f t="shared" si="35"/>
        <v>1.1430193722967015</v>
      </c>
      <c r="FR296" s="335">
        <v>42562</v>
      </c>
      <c r="FS296" s="341">
        <v>212.33</v>
      </c>
      <c r="FT296" s="341"/>
    </row>
    <row r="297" spans="132:176" x14ac:dyDescent="0.6">
      <c r="EB297" s="335">
        <v>42543</v>
      </c>
      <c r="EC297" s="62">
        <v>212.22</v>
      </c>
      <c r="ED297" s="62">
        <v>2085.4499510000001</v>
      </c>
      <c r="EE297" s="78">
        <f t="shared" si="34"/>
        <v>1.2441515447223652</v>
      </c>
      <c r="EF297" s="78">
        <f t="shared" si="35"/>
        <v>1.1296552937262061</v>
      </c>
      <c r="FR297" s="335">
        <v>42559</v>
      </c>
      <c r="FS297" s="341">
        <v>210.26</v>
      </c>
      <c r="FT297" s="341"/>
    </row>
    <row r="298" spans="132:176" x14ac:dyDescent="0.6">
      <c r="EB298" s="335">
        <v>42542</v>
      </c>
      <c r="EC298" s="62">
        <v>213.56</v>
      </c>
      <c r="ED298" s="62">
        <v>2088.8999020000001</v>
      </c>
      <c r="EE298" s="78">
        <f t="shared" si="34"/>
        <v>1.2504261279776565</v>
      </c>
      <c r="EF298" s="78">
        <f t="shared" si="35"/>
        <v>1.1313068573060105</v>
      </c>
      <c r="FR298" s="335">
        <v>42558</v>
      </c>
      <c r="FS298" s="341">
        <v>207.42</v>
      </c>
      <c r="FT298" s="341"/>
    </row>
    <row r="299" spans="132:176" x14ac:dyDescent="0.6">
      <c r="EB299" s="335">
        <v>42541</v>
      </c>
      <c r="EC299" s="62">
        <v>214.81</v>
      </c>
      <c r="ED299" s="62">
        <v>2083.25</v>
      </c>
      <c r="EE299" s="78">
        <f t="shared" si="34"/>
        <v>1.2562452239229105</v>
      </c>
      <c r="EF299" s="78">
        <f t="shared" si="35"/>
        <v>1.1285947958635527</v>
      </c>
      <c r="FR299" s="335">
        <v>42557</v>
      </c>
      <c r="FS299" s="341">
        <v>210.22</v>
      </c>
      <c r="FT299" s="341"/>
    </row>
    <row r="300" spans="132:176" x14ac:dyDescent="0.6">
      <c r="EB300" s="335">
        <v>42538</v>
      </c>
      <c r="EC300" s="62">
        <v>211.87</v>
      </c>
      <c r="ED300" s="62">
        <v>2071.219971</v>
      </c>
      <c r="EE300" s="78">
        <f t="shared" si="34"/>
        <v>1.2423687902607592</v>
      </c>
      <c r="EF300" s="78">
        <f t="shared" si="35"/>
        <v>1.1227866107511855</v>
      </c>
      <c r="FR300" s="335">
        <v>42556</v>
      </c>
      <c r="FS300" s="341">
        <v>208.26</v>
      </c>
      <c r="FT300" s="341"/>
    </row>
    <row r="301" spans="132:176" x14ac:dyDescent="0.6">
      <c r="EB301" s="335">
        <v>42537</v>
      </c>
      <c r="EC301" s="62">
        <v>212.91</v>
      </c>
      <c r="ED301" s="62">
        <v>2077.98999</v>
      </c>
      <c r="EE301" s="78">
        <f t="shared" si="34"/>
        <v>1.2472534833235556</v>
      </c>
      <c r="EF301" s="78">
        <f t="shared" si="35"/>
        <v>1.1260445759158781</v>
      </c>
      <c r="FR301" s="335">
        <v>42552</v>
      </c>
      <c r="FS301" s="341">
        <v>207.85</v>
      </c>
      <c r="FT301" s="341">
        <f>FU18</f>
        <v>248.33333333333334</v>
      </c>
    </row>
    <row r="302" spans="132:176" x14ac:dyDescent="0.6">
      <c r="EB302" s="335">
        <v>42536</v>
      </c>
      <c r="EC302" s="62">
        <v>214.37</v>
      </c>
      <c r="ED302" s="62">
        <v>2071.5</v>
      </c>
      <c r="EE302" s="78">
        <f t="shared" si="34"/>
        <v>1.2540641377994617</v>
      </c>
      <c r="EF302" s="78">
        <f t="shared" si="35"/>
        <v>1.1229115853293465</v>
      </c>
      <c r="FR302" s="335">
        <v>42551</v>
      </c>
      <c r="FS302" s="341">
        <v>211.94</v>
      </c>
      <c r="FT302" s="341"/>
    </row>
    <row r="303" spans="132:176" x14ac:dyDescent="0.6">
      <c r="EB303" s="335">
        <v>42535</v>
      </c>
      <c r="EC303" s="62">
        <v>215.32</v>
      </c>
      <c r="ED303" s="62">
        <v>2075.320068</v>
      </c>
      <c r="EE303" s="78">
        <f t="shared" si="34"/>
        <v>1.258476175696545</v>
      </c>
      <c r="EF303" s="78">
        <f t="shared" si="35"/>
        <v>1.1247522980265843</v>
      </c>
      <c r="FR303" s="335">
        <v>42550</v>
      </c>
      <c r="FS303" s="341">
        <v>212.47</v>
      </c>
      <c r="FT303" s="341"/>
    </row>
    <row r="304" spans="132:176" x14ac:dyDescent="0.6">
      <c r="EB304" s="335">
        <v>42534</v>
      </c>
      <c r="EC304" s="62">
        <v>211.92</v>
      </c>
      <c r="ED304" s="62">
        <v>2079.0600589999999</v>
      </c>
      <c r="EE304" s="78">
        <f t="shared" si="34"/>
        <v>1.2424323855870698</v>
      </c>
      <c r="EF304" s="78">
        <f t="shared" si="35"/>
        <v>1.1265511835295836</v>
      </c>
      <c r="FR304" s="335">
        <v>42549</v>
      </c>
      <c r="FS304" s="341">
        <v>209.53</v>
      </c>
      <c r="FT304" s="341"/>
    </row>
    <row r="305" spans="132:176" x14ac:dyDescent="0.6">
      <c r="EB305" s="335">
        <v>42531</v>
      </c>
      <c r="EC305" s="62">
        <v>213.23</v>
      </c>
      <c r="ED305" s="62">
        <v>2096.070068</v>
      </c>
      <c r="EE305" s="78">
        <f t="shared" si="34"/>
        <v>1.2485759863937105</v>
      </c>
      <c r="EF305" s="78">
        <f t="shared" si="35"/>
        <v>1.1346663745528638</v>
      </c>
      <c r="FR305" s="335">
        <v>42548</v>
      </c>
      <c r="FS305" s="341">
        <v>207.46</v>
      </c>
      <c r="FT305" s="341"/>
    </row>
    <row r="306" spans="132:176" x14ac:dyDescent="0.6">
      <c r="EB306" s="335">
        <v>42530</v>
      </c>
      <c r="EC306" s="62">
        <v>218.69</v>
      </c>
      <c r="ED306" s="62">
        <v>2115.4799800000001</v>
      </c>
      <c r="EE306" s="78">
        <f t="shared" si="34"/>
        <v>1.2735428344434614</v>
      </c>
      <c r="EF306" s="78">
        <f t="shared" si="35"/>
        <v>1.1438415556859889</v>
      </c>
      <c r="FR306" s="335">
        <v>42545</v>
      </c>
      <c r="FS306" s="341">
        <v>211.64</v>
      </c>
      <c r="FT306" s="341"/>
    </row>
    <row r="307" spans="132:176" x14ac:dyDescent="0.6">
      <c r="EB307" s="335">
        <v>42529</v>
      </c>
      <c r="EC307" s="62">
        <v>218.82</v>
      </c>
      <c r="ED307" s="62">
        <v>2119.1201169999999</v>
      </c>
      <c r="EE307" s="78">
        <f t="shared" si="34"/>
        <v>1.2741369300471539</v>
      </c>
      <c r="EF307" s="78">
        <f t="shared" si="35"/>
        <v>1.1455593143778149</v>
      </c>
      <c r="FR307" s="335">
        <v>42544</v>
      </c>
      <c r="FS307" s="341">
        <v>213.17</v>
      </c>
      <c r="FT307" s="341"/>
    </row>
    <row r="308" spans="132:176" x14ac:dyDescent="0.6">
      <c r="EB308" s="335">
        <v>42528</v>
      </c>
      <c r="EC308" s="62">
        <v>216.49</v>
      </c>
      <c r="ED308" s="62">
        <v>2112.1298830000001</v>
      </c>
      <c r="EE308" s="78">
        <f t="shared" si="34"/>
        <v>1.2633743082170463</v>
      </c>
      <c r="EF308" s="78">
        <f t="shared" si="35"/>
        <v>1.1422497480219471</v>
      </c>
      <c r="FR308" s="335">
        <v>42543</v>
      </c>
      <c r="FS308" s="341">
        <v>212.22</v>
      </c>
      <c r="FT308" s="341"/>
    </row>
    <row r="309" spans="132:176" x14ac:dyDescent="0.6">
      <c r="EB309" s="335">
        <v>42527</v>
      </c>
      <c r="EC309" s="62">
        <v>218.7</v>
      </c>
      <c r="ED309" s="62">
        <v>2109.4099120000001</v>
      </c>
      <c r="EE309" s="78">
        <f t="shared" si="34"/>
        <v>1.2734794751123366</v>
      </c>
      <c r="EF309" s="78">
        <f t="shared" si="35"/>
        <v>1.1409603016300787</v>
      </c>
      <c r="FR309" s="335">
        <v>42542</v>
      </c>
      <c r="FS309" s="341">
        <v>213.56</v>
      </c>
      <c r="FT309" s="341"/>
    </row>
    <row r="310" spans="132:176" x14ac:dyDescent="0.6">
      <c r="EB310" s="335">
        <v>42524</v>
      </c>
      <c r="EC310" s="62">
        <v>218.83</v>
      </c>
      <c r="ED310" s="62">
        <v>2099.1298830000001</v>
      </c>
      <c r="EE310" s="78">
        <f t="shared" si="34"/>
        <v>1.2740735435673018</v>
      </c>
      <c r="EF310" s="78">
        <f t="shared" si="35"/>
        <v>1.13606302057889</v>
      </c>
      <c r="FR310" s="335">
        <v>42541</v>
      </c>
      <c r="FS310" s="341">
        <v>214.81</v>
      </c>
      <c r="FT310" s="341"/>
    </row>
    <row r="311" spans="132:176" x14ac:dyDescent="0.6">
      <c r="EB311" s="335">
        <v>42523</v>
      </c>
      <c r="EC311" s="62">
        <v>221.25</v>
      </c>
      <c r="ED311" s="62">
        <v>2105.26001</v>
      </c>
      <c r="EE311" s="78">
        <f t="shared" si="34"/>
        <v>1.2850113966746464</v>
      </c>
      <c r="EF311" s="78">
        <f t="shared" si="35"/>
        <v>1.1389748352577809</v>
      </c>
      <c r="FR311" s="335">
        <v>42538</v>
      </c>
      <c r="FS311" s="341">
        <v>211.87</v>
      </c>
      <c r="FT311" s="341"/>
    </row>
    <row r="312" spans="132:176" x14ac:dyDescent="0.6">
      <c r="EB312" s="335">
        <v>42522</v>
      </c>
      <c r="EC312" s="62">
        <v>219.43</v>
      </c>
      <c r="ED312" s="62">
        <v>2099.330078</v>
      </c>
      <c r="EE312" s="78">
        <f t="shared" si="34"/>
        <v>1.2767171798401207</v>
      </c>
      <c r="EF312" s="78">
        <f t="shared" si="35"/>
        <v>1.1361501570129717</v>
      </c>
      <c r="FR312" s="335">
        <v>42537</v>
      </c>
      <c r="FS312" s="341">
        <v>212.91</v>
      </c>
      <c r="FT312" s="341"/>
    </row>
    <row r="313" spans="132:176" x14ac:dyDescent="0.6">
      <c r="EB313" s="335">
        <v>42521</v>
      </c>
      <c r="EC313" s="62">
        <v>219.15</v>
      </c>
      <c r="ED313" s="62">
        <v>2096.9499510000001</v>
      </c>
      <c r="EE313" s="78">
        <f t="shared" si="34"/>
        <v>1.2754395161394589</v>
      </c>
      <c r="EF313" s="78">
        <f t="shared" si="35"/>
        <v>1.1350151146630745</v>
      </c>
      <c r="FR313" s="335">
        <v>42536</v>
      </c>
      <c r="FS313" s="341">
        <v>214.37</v>
      </c>
      <c r="FT313" s="341"/>
    </row>
    <row r="314" spans="132:176" x14ac:dyDescent="0.6">
      <c r="EB314" s="335">
        <v>42517</v>
      </c>
      <c r="EC314" s="62">
        <v>218.52</v>
      </c>
      <c r="ED314" s="62">
        <v>2099.0600589999999</v>
      </c>
      <c r="EE314" s="78">
        <f t="shared" si="34"/>
        <v>1.2725564848379762</v>
      </c>
      <c r="EF314" s="78">
        <f t="shared" si="35"/>
        <v>1.1360203779431566</v>
      </c>
      <c r="FR314" s="335">
        <v>42535</v>
      </c>
      <c r="FS314" s="341">
        <v>215.32</v>
      </c>
      <c r="FT314" s="341"/>
    </row>
    <row r="315" spans="132:176" x14ac:dyDescent="0.6">
      <c r="EB315" s="335">
        <v>42516</v>
      </c>
      <c r="EC315" s="62">
        <v>217.49</v>
      </c>
      <c r="ED315" s="62">
        <v>2090.1000979999999</v>
      </c>
      <c r="EE315" s="78">
        <f t="shared" si="34"/>
        <v>1.2678206349138419</v>
      </c>
      <c r="EF315" s="78">
        <f t="shared" si="35"/>
        <v>1.1317335205775338</v>
      </c>
      <c r="FR315" s="335">
        <v>42534</v>
      </c>
      <c r="FS315" s="341">
        <v>211.92</v>
      </c>
      <c r="FT315" s="341"/>
    </row>
    <row r="316" spans="132:176" x14ac:dyDescent="0.6">
      <c r="EB316" s="335">
        <v>42515</v>
      </c>
      <c r="EC316" s="62">
        <v>215.19</v>
      </c>
      <c r="ED316" s="62">
        <v>2090.540039</v>
      </c>
      <c r="EE316" s="78">
        <f t="shared" si="34"/>
        <v>1.2571324059069178</v>
      </c>
      <c r="EF316" s="78">
        <f t="shared" si="35"/>
        <v>1.1319439642867155</v>
      </c>
      <c r="FR316" s="335">
        <v>42531</v>
      </c>
      <c r="FS316" s="341">
        <v>213.23</v>
      </c>
      <c r="FT316" s="341"/>
    </row>
    <row r="317" spans="132:176" x14ac:dyDescent="0.6">
      <c r="EB317" s="335">
        <v>42514</v>
      </c>
      <c r="EC317" s="62">
        <v>214.49</v>
      </c>
      <c r="ED317" s="62">
        <v>2076.0600589999999</v>
      </c>
      <c r="EE317" s="78">
        <f t="shared" si="34"/>
        <v>1.2538688504964093</v>
      </c>
      <c r="EF317" s="78">
        <f t="shared" si="35"/>
        <v>1.1249692238704991</v>
      </c>
      <c r="FR317" s="335">
        <v>42530</v>
      </c>
      <c r="FS317" s="341">
        <v>218.69</v>
      </c>
      <c r="FT317" s="341"/>
    </row>
    <row r="318" spans="132:176" x14ac:dyDescent="0.6">
      <c r="EB318" s="335">
        <v>42513</v>
      </c>
      <c r="EC318" s="62">
        <v>212.13</v>
      </c>
      <c r="ED318" s="62">
        <v>2048.040039</v>
      </c>
      <c r="EE318" s="78">
        <f t="shared" si="34"/>
        <v>1.2427435971140492</v>
      </c>
      <c r="EF318" s="78">
        <f t="shared" si="35"/>
        <v>1.1112878409549183</v>
      </c>
      <c r="FR318" s="335">
        <v>42529</v>
      </c>
      <c r="FS318" s="341">
        <v>218.82</v>
      </c>
      <c r="FT318" s="341"/>
    </row>
    <row r="319" spans="132:176" x14ac:dyDescent="0.6">
      <c r="EB319" s="335">
        <v>42510</v>
      </c>
      <c r="EC319" s="62">
        <v>211.13</v>
      </c>
      <c r="ED319" s="62">
        <v>2052.320068</v>
      </c>
      <c r="EE319" s="78">
        <f t="shared" si="34"/>
        <v>1.2380071787935831</v>
      </c>
      <c r="EF319" s="78">
        <f t="shared" si="35"/>
        <v>1.1133732997811192</v>
      </c>
      <c r="FR319" s="335">
        <v>42528</v>
      </c>
      <c r="FS319" s="341">
        <v>216.49</v>
      </c>
      <c r="FT319" s="341"/>
    </row>
    <row r="320" spans="132:176" x14ac:dyDescent="0.6">
      <c r="EB320" s="335">
        <v>42509</v>
      </c>
      <c r="EC320" s="62">
        <v>207.18</v>
      </c>
      <c r="ED320" s="62">
        <v>2040.040039</v>
      </c>
      <c r="EE320" s="78">
        <f t="shared" si="34"/>
        <v>1.218941631926125</v>
      </c>
      <c r="EF320" s="78">
        <f t="shared" si="35"/>
        <v>1.1073537958668629</v>
      </c>
      <c r="FR320" s="335">
        <v>42527</v>
      </c>
      <c r="FS320" s="341">
        <v>218.7</v>
      </c>
      <c r="FT320" s="341"/>
    </row>
    <row r="321" spans="132:176" x14ac:dyDescent="0.6">
      <c r="EB321" s="335">
        <v>42508</v>
      </c>
      <c r="EC321" s="62">
        <v>206.65</v>
      </c>
      <c r="ED321" s="62">
        <v>2047.630005</v>
      </c>
      <c r="EE321" s="78">
        <f t="shared" si="34"/>
        <v>1.2163769089645959</v>
      </c>
      <c r="EF321" s="78">
        <f t="shared" si="35"/>
        <v>1.1110605036126306</v>
      </c>
      <c r="FR321" s="335">
        <v>42524</v>
      </c>
      <c r="FS321" s="341">
        <v>218.83</v>
      </c>
      <c r="FT321" s="341"/>
    </row>
    <row r="322" spans="132:176" x14ac:dyDescent="0.6">
      <c r="EB322" s="335">
        <v>42507</v>
      </c>
      <c r="EC322" s="62">
        <v>207.67</v>
      </c>
      <c r="ED322" s="62">
        <v>2047.209961</v>
      </c>
      <c r="EE322" s="78">
        <f t="shared" si="34"/>
        <v>1.2212885476220814</v>
      </c>
      <c r="EF322" s="78">
        <f t="shared" si="35"/>
        <v>1.1108553248532449</v>
      </c>
      <c r="FR322" s="335">
        <v>42523</v>
      </c>
      <c r="FS322" s="341">
        <v>221.25</v>
      </c>
      <c r="FT322" s="341"/>
    </row>
    <row r="323" spans="132:176" x14ac:dyDescent="0.6">
      <c r="EB323" s="335">
        <v>42506</v>
      </c>
      <c r="EC323" s="62">
        <v>212.01</v>
      </c>
      <c r="ED323" s="62">
        <v>2066.6599120000001</v>
      </c>
      <c r="EE323" s="78">
        <f t="shared" si="34"/>
        <v>1.2417592801346988</v>
      </c>
      <c r="EF323" s="78">
        <f t="shared" si="35"/>
        <v>1.120266622225911</v>
      </c>
      <c r="FR323" s="335">
        <v>42522</v>
      </c>
      <c r="FS323" s="341">
        <v>219.43</v>
      </c>
      <c r="FT323" s="341"/>
    </row>
    <row r="324" spans="132:176" x14ac:dyDescent="0.6">
      <c r="EB324" s="335">
        <v>42503</v>
      </c>
      <c r="EC324" s="62">
        <v>210.13</v>
      </c>
      <c r="ED324" s="62">
        <v>2046.6099850000001</v>
      </c>
      <c r="EE324" s="78">
        <f t="shared" si="34"/>
        <v>1.2328124377038228</v>
      </c>
      <c r="EF324" s="78">
        <f t="shared" si="35"/>
        <v>1.110469969640929</v>
      </c>
      <c r="FR324" s="335">
        <v>42521</v>
      </c>
      <c r="FS324" s="341">
        <v>219.15</v>
      </c>
      <c r="FT324" s="341"/>
    </row>
    <row r="325" spans="132:176" x14ac:dyDescent="0.6">
      <c r="EB325" s="335">
        <v>42502</v>
      </c>
      <c r="EC325" s="62">
        <v>210.74</v>
      </c>
      <c r="ED325" s="62">
        <v>2064.110107</v>
      </c>
      <c r="EE325" s="78">
        <f t="shared" si="34"/>
        <v>1.2357069997233729</v>
      </c>
      <c r="EF325" s="78">
        <f t="shared" si="35"/>
        <v>1.1189482586336779</v>
      </c>
      <c r="FR325" s="335">
        <v>42517</v>
      </c>
      <c r="FS325" s="341">
        <v>218.52</v>
      </c>
      <c r="FT325" s="341"/>
    </row>
    <row r="326" spans="132:176" x14ac:dyDescent="0.6">
      <c r="EB326" s="335">
        <v>42501</v>
      </c>
      <c r="EC326" s="62">
        <v>210.66</v>
      </c>
      <c r="ED326" s="62">
        <v>2064.459961</v>
      </c>
      <c r="EE326" s="78">
        <f t="shared" si="34"/>
        <v>1.2353272408702447</v>
      </c>
      <c r="EF326" s="78">
        <f t="shared" si="35"/>
        <v>1.1191177237754628</v>
      </c>
      <c r="FR326" s="335">
        <v>42516</v>
      </c>
      <c r="FS326" s="341">
        <v>217.49</v>
      </c>
      <c r="FT326" s="341"/>
    </row>
    <row r="327" spans="132:176" x14ac:dyDescent="0.6">
      <c r="EB327" s="335">
        <v>42500</v>
      </c>
      <c r="EC327" s="62">
        <v>215.02</v>
      </c>
      <c r="ED327" s="62">
        <v>2084.389893</v>
      </c>
      <c r="EE327" s="78">
        <f t="shared" si="34"/>
        <v>1.2556044243880571</v>
      </c>
      <c r="EF327" s="78">
        <f t="shared" si="35"/>
        <v>1.1286792420244864</v>
      </c>
      <c r="FR327" s="335">
        <v>42515</v>
      </c>
      <c r="FS327" s="341">
        <v>215.19</v>
      </c>
      <c r="FT327" s="341"/>
    </row>
    <row r="328" spans="132:176" x14ac:dyDescent="0.6">
      <c r="EB328" s="335">
        <v>42499</v>
      </c>
      <c r="EC328" s="62">
        <v>217.33</v>
      </c>
      <c r="ED328" s="62">
        <v>2058.6899410000001</v>
      </c>
      <c r="EE328" s="78">
        <f t="shared" si="34"/>
        <v>1.2662334217653175</v>
      </c>
      <c r="EF328" s="78">
        <f t="shared" si="35"/>
        <v>1.1161955981846976</v>
      </c>
      <c r="FR328" s="335">
        <v>42514</v>
      </c>
      <c r="FS328" s="341">
        <v>214.49</v>
      </c>
      <c r="FT328" s="341"/>
    </row>
    <row r="329" spans="132:176" x14ac:dyDescent="0.6">
      <c r="EB329" s="335">
        <v>42496</v>
      </c>
      <c r="EC329" s="62">
        <v>210.63</v>
      </c>
      <c r="ED329" s="62">
        <v>2057.139893</v>
      </c>
      <c r="EE329" s="78">
        <f t="shared" si="34"/>
        <v>1.2344240878622648</v>
      </c>
      <c r="EF329" s="78">
        <f t="shared" si="35"/>
        <v>1.1154421015434266</v>
      </c>
      <c r="FR329" s="335">
        <v>42513</v>
      </c>
      <c r="FS329" s="341">
        <v>212.13</v>
      </c>
      <c r="FT329" s="341"/>
    </row>
    <row r="330" spans="132:176" x14ac:dyDescent="0.6">
      <c r="EB330" s="335">
        <v>42495</v>
      </c>
      <c r="EC330" s="62">
        <v>213.46</v>
      </c>
      <c r="ED330" s="62">
        <v>2050.6298830000001</v>
      </c>
      <c r="EE330" s="78">
        <f t="shared" si="34"/>
        <v>1.2476818410712969</v>
      </c>
      <c r="EF330" s="78">
        <f t="shared" si="35"/>
        <v>1.1122674623489193</v>
      </c>
      <c r="FR330" s="335">
        <v>42510</v>
      </c>
      <c r="FS330" s="341">
        <v>211.13</v>
      </c>
      <c r="FT330" s="341"/>
    </row>
    <row r="331" spans="132:176" x14ac:dyDescent="0.6">
      <c r="EB331" s="335">
        <v>42494</v>
      </c>
      <c r="EC331" s="62">
        <v>214.13</v>
      </c>
      <c r="ED331" s="62">
        <v>2051.1201169999999</v>
      </c>
      <c r="EE331" s="78">
        <f t="shared" si="34"/>
        <v>1.2508107814346274</v>
      </c>
      <c r="EF331" s="78">
        <f t="shared" si="35"/>
        <v>1.1125064702919143</v>
      </c>
      <c r="FR331" s="335">
        <v>42509</v>
      </c>
      <c r="FS331" s="341">
        <v>207.18</v>
      </c>
      <c r="FT331" s="341"/>
    </row>
    <row r="332" spans="132:176" x14ac:dyDescent="0.6">
      <c r="EB332" s="335">
        <v>42493</v>
      </c>
      <c r="EC332" s="62">
        <v>211.81</v>
      </c>
      <c r="ED332" s="62">
        <v>2063.3701169999999</v>
      </c>
      <c r="EE332" s="78">
        <f t="shared" si="34"/>
        <v>1.2398575686495843</v>
      </c>
      <c r="EF332" s="78">
        <f t="shared" si="35"/>
        <v>1.1184433596066683</v>
      </c>
      <c r="FR332" s="335">
        <v>42508</v>
      </c>
      <c r="FS332" s="341">
        <v>206.65</v>
      </c>
      <c r="FT332" s="341"/>
    </row>
    <row r="333" spans="132:176" x14ac:dyDescent="0.6">
      <c r="EB333" s="335">
        <v>42492</v>
      </c>
      <c r="EC333" s="62">
        <v>214.58</v>
      </c>
      <c r="ED333" s="62">
        <v>2081.429932</v>
      </c>
      <c r="EE333" s="78">
        <f t="shared" si="34"/>
        <v>1.2527665070408602</v>
      </c>
      <c r="EF333" s="78">
        <f t="shared" si="35"/>
        <v>1.127119998066771</v>
      </c>
      <c r="FR333" s="335">
        <v>42507</v>
      </c>
      <c r="FS333" s="341">
        <v>207.67</v>
      </c>
      <c r="FT333" s="341"/>
    </row>
    <row r="334" spans="132:176" x14ac:dyDescent="0.6">
      <c r="EB334" s="335">
        <v>42489</v>
      </c>
      <c r="EC334" s="62">
        <v>214.49</v>
      </c>
      <c r="ED334" s="62">
        <v>2065.3000489999999</v>
      </c>
      <c r="EE334" s="78">
        <f t="shared" si="34"/>
        <v>1.252346907059509</v>
      </c>
      <c r="EF334" s="78">
        <f t="shared" si="35"/>
        <v>1.1193100515130923</v>
      </c>
      <c r="FR334" s="335">
        <v>42506</v>
      </c>
      <c r="FS334" s="341">
        <v>212.01</v>
      </c>
      <c r="FT334" s="341"/>
    </row>
    <row r="335" spans="132:176" x14ac:dyDescent="0.6">
      <c r="EB335" s="335">
        <v>42488</v>
      </c>
      <c r="EC335" s="62">
        <v>212.58</v>
      </c>
      <c r="ED335" s="62">
        <v>2075.8100589999999</v>
      </c>
      <c r="EE335" s="78">
        <f t="shared" si="34"/>
        <v>1.2433620542981956</v>
      </c>
      <c r="EF335" s="78">
        <f t="shared" si="35"/>
        <v>1.1243731399948309</v>
      </c>
      <c r="FR335" s="335">
        <v>42503</v>
      </c>
      <c r="FS335" s="341">
        <v>210.13</v>
      </c>
      <c r="FT335" s="341"/>
    </row>
    <row r="336" spans="132:176" x14ac:dyDescent="0.6">
      <c r="EB336" s="335">
        <v>42487</v>
      </c>
      <c r="EC336" s="62">
        <v>213.27</v>
      </c>
      <c r="ED336" s="62">
        <v>2095.1499020000001</v>
      </c>
      <c r="EE336" s="78">
        <f t="shared" si="34"/>
        <v>1.2465973897884193</v>
      </c>
      <c r="EF336" s="78">
        <f t="shared" si="35"/>
        <v>1.1336039081520586</v>
      </c>
      <c r="FR336" s="335">
        <v>42502</v>
      </c>
      <c r="FS336" s="341">
        <v>210.74</v>
      </c>
      <c r="FT336" s="341"/>
    </row>
    <row r="337" spans="132:176" x14ac:dyDescent="0.6">
      <c r="EB337" s="335">
        <v>42486</v>
      </c>
      <c r="EC337" s="62">
        <v>212.47</v>
      </c>
      <c r="ED337" s="62">
        <v>2091.6999510000001</v>
      </c>
      <c r="EE337" s="78">
        <f t="shared" si="34"/>
        <v>1.2428321523431329</v>
      </c>
      <c r="EF337" s="78">
        <f t="shared" si="35"/>
        <v>1.1319545554337824</v>
      </c>
      <c r="FR337" s="335">
        <v>42501</v>
      </c>
      <c r="FS337" s="341">
        <v>210.66</v>
      </c>
      <c r="FT337" s="341"/>
    </row>
    <row r="338" spans="132:176" x14ac:dyDescent="0.6">
      <c r="EB338" s="335">
        <v>42485</v>
      </c>
      <c r="EC338" s="62">
        <v>215.7</v>
      </c>
      <c r="ED338" s="62">
        <v>2087.790039</v>
      </c>
      <c r="EE338" s="78">
        <f t="shared" si="34"/>
        <v>1.2578066539657569</v>
      </c>
      <c r="EF338" s="78">
        <f t="shared" si="35"/>
        <v>1.1300818038989238</v>
      </c>
      <c r="FR338" s="335">
        <v>42500</v>
      </c>
      <c r="FS338" s="341">
        <v>215.02</v>
      </c>
      <c r="FT338" s="341"/>
    </row>
    <row r="339" spans="132:176" x14ac:dyDescent="0.6">
      <c r="EB339" s="335">
        <v>42482</v>
      </c>
      <c r="EC339" s="62">
        <v>215</v>
      </c>
      <c r="ED339" s="62">
        <v>2091.580078</v>
      </c>
      <c r="EE339" s="78">
        <f t="shared" si="34"/>
        <v>1.2545508400122685</v>
      </c>
      <c r="EF339" s="78">
        <f t="shared" si="35"/>
        <v>1.1318938497487887</v>
      </c>
      <c r="FR339" s="335">
        <v>42499</v>
      </c>
      <c r="FS339" s="341">
        <v>217.33</v>
      </c>
      <c r="FT339" s="341"/>
    </row>
    <row r="340" spans="132:176" x14ac:dyDescent="0.6">
      <c r="EB340" s="335">
        <v>42481</v>
      </c>
      <c r="EC340" s="62">
        <v>216.65</v>
      </c>
      <c r="ED340" s="62">
        <v>2091.4799800000001</v>
      </c>
      <c r="EE340" s="78">
        <f t="shared" si="34"/>
        <v>1.2621668104715347</v>
      </c>
      <c r="EF340" s="78">
        <f t="shared" si="35"/>
        <v>1.1318459898596398</v>
      </c>
      <c r="FR340" s="335">
        <v>42496</v>
      </c>
      <c r="FS340" s="341">
        <v>210.63</v>
      </c>
      <c r="FT340" s="341"/>
    </row>
    <row r="341" spans="132:176" x14ac:dyDescent="0.6">
      <c r="EB341" s="335">
        <v>42480</v>
      </c>
      <c r="EC341" s="62">
        <v>216.62</v>
      </c>
      <c r="ED341" s="62">
        <v>2102.3999020000001</v>
      </c>
      <c r="EE341" s="78">
        <f t="shared" si="34"/>
        <v>1.2620283191041632</v>
      </c>
      <c r="EF341" s="78">
        <f t="shared" si="35"/>
        <v>1.1370400169282351</v>
      </c>
      <c r="FR341" s="335">
        <v>42495</v>
      </c>
      <c r="FS341" s="341">
        <v>213.46</v>
      </c>
      <c r="FT341" s="341"/>
    </row>
    <row r="342" spans="132:176" x14ac:dyDescent="0.6">
      <c r="EB342" s="335">
        <v>42479</v>
      </c>
      <c r="EC342" s="62">
        <v>217.25</v>
      </c>
      <c r="ED342" s="62">
        <v>2100.8000489999999</v>
      </c>
      <c r="EE342" s="78">
        <f t="shared" si="34"/>
        <v>1.2649282040293646</v>
      </c>
      <c r="EF342" s="78">
        <f t="shared" si="35"/>
        <v>1.1362784722963404</v>
      </c>
      <c r="FR342" s="335">
        <v>42494</v>
      </c>
      <c r="FS342" s="341">
        <v>214.13</v>
      </c>
      <c r="FT342" s="341"/>
    </row>
    <row r="343" spans="132:176" x14ac:dyDescent="0.6">
      <c r="EB343" s="335">
        <v>42478</v>
      </c>
      <c r="EC343" s="62">
        <v>211.36</v>
      </c>
      <c r="ED343" s="62">
        <v>2094.3400879999999</v>
      </c>
      <c r="EE343" s="78">
        <f t="shared" si="34"/>
        <v>1.2370610579279264</v>
      </c>
      <c r="EF343" s="78">
        <f t="shared" si="35"/>
        <v>1.1331939870988246</v>
      </c>
      <c r="FR343" s="335">
        <v>42493</v>
      </c>
      <c r="FS343" s="341">
        <v>211.81</v>
      </c>
      <c r="FT343" s="341"/>
    </row>
    <row r="344" spans="132:176" x14ac:dyDescent="0.6">
      <c r="EB344" s="335">
        <v>42475</v>
      </c>
      <c r="EC344" s="62">
        <v>210.11</v>
      </c>
      <c r="ED344" s="62">
        <v>2080.7299800000001</v>
      </c>
      <c r="EE344" s="78">
        <f t="shared" si="34"/>
        <v>1.2311117932570397</v>
      </c>
      <c r="EF344" s="78">
        <f t="shared" si="35"/>
        <v>1.1266529615304806</v>
      </c>
      <c r="FR344" s="335">
        <v>42492</v>
      </c>
      <c r="FS344" s="341">
        <v>214.58</v>
      </c>
      <c r="FT344" s="341"/>
    </row>
    <row r="345" spans="132:176" x14ac:dyDescent="0.6">
      <c r="EB345" s="335">
        <v>42474</v>
      </c>
      <c r="EC345" s="62">
        <v>206</v>
      </c>
      <c r="ED345" s="62">
        <v>2082.780029</v>
      </c>
      <c r="EE345" s="78">
        <f t="shared" si="34"/>
        <v>1.2111603369463599</v>
      </c>
      <c r="EF345" s="78">
        <f t="shared" si="35"/>
        <v>1.1276372464628572</v>
      </c>
      <c r="FR345" s="335">
        <v>42489</v>
      </c>
      <c r="FS345" s="341">
        <v>214.49</v>
      </c>
      <c r="FT345" s="341"/>
    </row>
    <row r="346" spans="132:176" x14ac:dyDescent="0.6">
      <c r="EB346" s="335">
        <v>42473</v>
      </c>
      <c r="EC346" s="62">
        <v>208.62</v>
      </c>
      <c r="ED346" s="62">
        <v>2082.419922</v>
      </c>
      <c r="EE346" s="78">
        <f t="shared" si="34"/>
        <v>1.2237190561487374</v>
      </c>
      <c r="EF346" s="78">
        <f t="shared" si="35"/>
        <v>1.1274643192851082</v>
      </c>
      <c r="FR346" s="335">
        <v>42488</v>
      </c>
      <c r="FS346" s="341">
        <v>212.58</v>
      </c>
      <c r="FT346" s="341"/>
    </row>
    <row r="347" spans="132:176" x14ac:dyDescent="0.6">
      <c r="EB347" s="335">
        <v>42472</v>
      </c>
      <c r="EC347" s="62">
        <v>206.27</v>
      </c>
      <c r="ED347" s="62">
        <v>2061.719971</v>
      </c>
      <c r="EE347" s="78">
        <f t="shared" si="34"/>
        <v>1.2123262215145201</v>
      </c>
      <c r="EF347" s="78">
        <f t="shared" si="35"/>
        <v>1.1174241822678779</v>
      </c>
      <c r="FR347" s="335">
        <v>42487</v>
      </c>
      <c r="FS347" s="341">
        <v>213.27</v>
      </c>
      <c r="FT347" s="341"/>
    </row>
    <row r="348" spans="132:176" x14ac:dyDescent="0.6">
      <c r="EB348" s="335">
        <v>42471</v>
      </c>
      <c r="EC348" s="62">
        <v>207.39</v>
      </c>
      <c r="ED348" s="62">
        <v>2041.98999</v>
      </c>
      <c r="EE348" s="78">
        <f t="shared" si="34"/>
        <v>1.2177266747668465</v>
      </c>
      <c r="EF348" s="78">
        <f t="shared" si="35"/>
        <v>1.1077620482238222</v>
      </c>
      <c r="FR348" s="335">
        <v>42486</v>
      </c>
      <c r="FS348" s="341">
        <v>212.47</v>
      </c>
      <c r="FT348" s="341"/>
    </row>
    <row r="349" spans="132:176" x14ac:dyDescent="0.6">
      <c r="EB349" s="335">
        <v>42468</v>
      </c>
      <c r="EC349" s="62">
        <v>209.64</v>
      </c>
      <c r="ED349" s="62">
        <v>2047.599976</v>
      </c>
      <c r="EE349" s="78">
        <f t="shared" ref="EE349:EE412" si="36">EE350+(EC349-EC350)/EC350</f>
        <v>1.2284593593690216</v>
      </c>
      <c r="EF349" s="78">
        <f t="shared" ref="EF349:EF412" si="37">EF350+(ED349-ED350)/ED350</f>
        <v>1.1105018343469686</v>
      </c>
      <c r="FR349" s="335">
        <v>42485</v>
      </c>
      <c r="FS349" s="341">
        <v>215.7</v>
      </c>
      <c r="FT349" s="341"/>
    </row>
    <row r="350" spans="132:176" x14ac:dyDescent="0.6">
      <c r="EB350" s="335">
        <v>42467</v>
      </c>
      <c r="EC350" s="62">
        <v>210.3</v>
      </c>
      <c r="ED350" s="62">
        <v>2041.910034</v>
      </c>
      <c r="EE350" s="78">
        <f t="shared" si="36"/>
        <v>1.231597733120805</v>
      </c>
      <c r="EF350" s="78">
        <f t="shared" si="37"/>
        <v>1.1077152561406538</v>
      </c>
      <c r="FR350" s="335">
        <v>42482</v>
      </c>
      <c r="FS350" s="341">
        <v>215</v>
      </c>
      <c r="FT350" s="341"/>
    </row>
    <row r="351" spans="132:176" x14ac:dyDescent="0.6">
      <c r="EB351" s="335">
        <v>42466</v>
      </c>
      <c r="EC351" s="62">
        <v>211.11</v>
      </c>
      <c r="ED351" s="62">
        <v>2066.6599120000001</v>
      </c>
      <c r="EE351" s="78">
        <f t="shared" si="36"/>
        <v>1.2354345954200803</v>
      </c>
      <c r="EF351" s="78">
        <f t="shared" si="37"/>
        <v>1.119691042701515</v>
      </c>
      <c r="FR351" s="335">
        <v>42481</v>
      </c>
      <c r="FS351" s="341">
        <v>216.65</v>
      </c>
      <c r="FT351" s="341"/>
    </row>
    <row r="352" spans="132:176" x14ac:dyDescent="0.6">
      <c r="EB352" s="335">
        <v>42465</v>
      </c>
      <c r="EC352" s="62">
        <v>208.08</v>
      </c>
      <c r="ED352" s="62">
        <v>2045.170044</v>
      </c>
      <c r="EE352" s="78">
        <f t="shared" si="36"/>
        <v>1.2208728883843247</v>
      </c>
      <c r="EF352" s="78">
        <f t="shared" si="37"/>
        <v>1.1091834235120761</v>
      </c>
      <c r="FR352" s="335">
        <v>42480</v>
      </c>
      <c r="FS352" s="341">
        <v>216.62</v>
      </c>
      <c r="FT352" s="341"/>
    </row>
    <row r="353" spans="132:176" x14ac:dyDescent="0.6">
      <c r="EB353" s="335">
        <v>42464</v>
      </c>
      <c r="EC353" s="62">
        <v>211.02</v>
      </c>
      <c r="ED353" s="62">
        <v>2066.1298830000001</v>
      </c>
      <c r="EE353" s="78">
        <f t="shared" si="36"/>
        <v>1.2348052170735484</v>
      </c>
      <c r="EF353" s="78">
        <f t="shared" si="37"/>
        <v>1.1193279159626508</v>
      </c>
      <c r="FR353" s="335">
        <v>42479</v>
      </c>
      <c r="FS353" s="341">
        <v>217.25</v>
      </c>
      <c r="FT353" s="341"/>
    </row>
    <row r="354" spans="132:176" x14ac:dyDescent="0.6">
      <c r="EB354" s="335">
        <v>42461</v>
      </c>
      <c r="EC354" s="62">
        <v>212.93</v>
      </c>
      <c r="ED354" s="62">
        <v>2072.780029</v>
      </c>
      <c r="EE354" s="78">
        <f t="shared" si="36"/>
        <v>1.243775301138734</v>
      </c>
      <c r="EF354" s="78">
        <f t="shared" si="37"/>
        <v>1.1225362380744806</v>
      </c>
      <c r="FR354" s="335">
        <v>42478</v>
      </c>
      <c r="FS354" s="341">
        <v>211.36</v>
      </c>
      <c r="FT354" s="341"/>
    </row>
    <row r="355" spans="132:176" x14ac:dyDescent="0.6">
      <c r="EB355" s="335">
        <v>42460</v>
      </c>
      <c r="EC355" s="62">
        <v>204.83</v>
      </c>
      <c r="ED355" s="62">
        <v>2059.73999</v>
      </c>
      <c r="EE355" s="78">
        <f t="shared" si="36"/>
        <v>1.2042303126116629</v>
      </c>
      <c r="EF355" s="78">
        <f t="shared" si="37"/>
        <v>1.1162053229767939</v>
      </c>
      <c r="FR355" s="335">
        <v>42475</v>
      </c>
      <c r="FS355" s="341">
        <v>210.11</v>
      </c>
      <c r="FT355" s="341"/>
    </row>
    <row r="356" spans="132:176" x14ac:dyDescent="0.6">
      <c r="EB356" s="335">
        <v>42459</v>
      </c>
      <c r="EC356" s="62">
        <v>207.13</v>
      </c>
      <c r="ED356" s="62">
        <v>2063.9499510000001</v>
      </c>
      <c r="EE356" s="78">
        <f t="shared" si="36"/>
        <v>1.2153344501098524</v>
      </c>
      <c r="EF356" s="78">
        <f t="shared" si="37"/>
        <v>1.1182450822248127</v>
      </c>
      <c r="FR356" s="335">
        <v>42474</v>
      </c>
      <c r="FS356" s="341">
        <v>206</v>
      </c>
      <c r="FT356" s="341"/>
    </row>
    <row r="357" spans="132:176" x14ac:dyDescent="0.6">
      <c r="EB357" s="335">
        <v>42458</v>
      </c>
      <c r="EC357" s="62">
        <v>207.73</v>
      </c>
      <c r="ED357" s="62">
        <v>2055.01001</v>
      </c>
      <c r="EE357" s="78">
        <f t="shared" si="36"/>
        <v>1.2182228148140357</v>
      </c>
      <c r="EF357" s="78">
        <f t="shared" si="37"/>
        <v>1.1138947671623571</v>
      </c>
      <c r="FR357" s="335">
        <v>42473</v>
      </c>
      <c r="FS357" s="341">
        <v>208.62</v>
      </c>
      <c r="FT357" s="341"/>
    </row>
    <row r="358" spans="132:176" x14ac:dyDescent="0.6">
      <c r="EB358" s="335">
        <v>42457</v>
      </c>
      <c r="EC358" s="62">
        <v>205.79</v>
      </c>
      <c r="ED358" s="62">
        <v>2037.0500489999999</v>
      </c>
      <c r="EE358" s="78">
        <f t="shared" si="36"/>
        <v>1.2087957289498052</v>
      </c>
      <c r="EF358" s="78">
        <f t="shared" si="37"/>
        <v>1.1050781153531311</v>
      </c>
      <c r="FR358" s="335">
        <v>42472</v>
      </c>
      <c r="FS358" s="341">
        <v>206.27</v>
      </c>
      <c r="FT358" s="341"/>
    </row>
    <row r="359" spans="132:176" x14ac:dyDescent="0.6">
      <c r="EB359" s="335">
        <v>42453</v>
      </c>
      <c r="EC359" s="62">
        <v>204.6</v>
      </c>
      <c r="ED359" s="62">
        <v>2035.9399410000001</v>
      </c>
      <c r="EE359" s="78">
        <f t="shared" si="36"/>
        <v>1.2029795021658365</v>
      </c>
      <c r="EF359" s="78">
        <f t="shared" si="37"/>
        <v>1.1045328595832311</v>
      </c>
      <c r="FR359" s="335">
        <v>42471</v>
      </c>
      <c r="FS359" s="341">
        <v>207.39</v>
      </c>
      <c r="FT359" s="341"/>
    </row>
    <row r="360" spans="132:176" x14ac:dyDescent="0.6">
      <c r="EB360" s="335">
        <v>42452</v>
      </c>
      <c r="EC360" s="62">
        <v>206.16</v>
      </c>
      <c r="ED360" s="62">
        <v>2036.709961</v>
      </c>
      <c r="EE360" s="78">
        <f t="shared" si="36"/>
        <v>1.2105464404661856</v>
      </c>
      <c r="EF360" s="78">
        <f t="shared" si="37"/>
        <v>1.1049109301061553</v>
      </c>
      <c r="FR360" s="335">
        <v>42468</v>
      </c>
      <c r="FS360" s="341">
        <v>209.64</v>
      </c>
      <c r="FT360" s="341"/>
    </row>
    <row r="361" spans="132:176" x14ac:dyDescent="0.6">
      <c r="EB361" s="335">
        <v>42451</v>
      </c>
      <c r="EC361" s="62">
        <v>204.43</v>
      </c>
      <c r="ED361" s="62">
        <v>2049.8000489999999</v>
      </c>
      <c r="EE361" s="78">
        <f t="shared" si="36"/>
        <v>1.2020838860465799</v>
      </c>
      <c r="EF361" s="78">
        <f t="shared" si="37"/>
        <v>1.1112969617614799</v>
      </c>
      <c r="FR361" s="335">
        <v>42467</v>
      </c>
      <c r="FS361" s="341">
        <v>210.3</v>
      </c>
      <c r="FT361" s="341"/>
    </row>
    <row r="362" spans="132:176" x14ac:dyDescent="0.6">
      <c r="EB362" s="335">
        <v>42450</v>
      </c>
      <c r="EC362" s="62">
        <v>208.32</v>
      </c>
      <c r="ED362" s="62">
        <v>2051.6000979999999</v>
      </c>
      <c r="EE362" s="78">
        <f t="shared" si="36"/>
        <v>1.2207570811310653</v>
      </c>
      <c r="EF362" s="78">
        <f t="shared" si="37"/>
        <v>1.1121743496119458</v>
      </c>
      <c r="FR362" s="335">
        <v>42466</v>
      </c>
      <c r="FS362" s="341">
        <v>211.11</v>
      </c>
      <c r="FT362" s="341"/>
    </row>
    <row r="363" spans="132:176" x14ac:dyDescent="0.6">
      <c r="EB363" s="335">
        <v>42447</v>
      </c>
      <c r="EC363" s="62">
        <v>209.94</v>
      </c>
      <c r="ED363" s="62">
        <v>2049.580078</v>
      </c>
      <c r="EE363" s="78">
        <f t="shared" si="36"/>
        <v>1.2284735715569013</v>
      </c>
      <c r="EF363" s="78">
        <f t="shared" si="37"/>
        <v>1.1111887721164957</v>
      </c>
      <c r="FR363" s="335">
        <v>42465</v>
      </c>
      <c r="FS363" s="341">
        <v>208.08</v>
      </c>
      <c r="FT363" s="341"/>
    </row>
    <row r="364" spans="132:176" x14ac:dyDescent="0.6">
      <c r="EB364" s="335">
        <v>42446</v>
      </c>
      <c r="EC364" s="62">
        <v>209.71</v>
      </c>
      <c r="ED364" s="62">
        <v>2040.589966</v>
      </c>
      <c r="EE364" s="78">
        <f t="shared" si="36"/>
        <v>1.2273768188984682</v>
      </c>
      <c r="EF364" s="78">
        <f t="shared" si="37"/>
        <v>1.1067831285772292</v>
      </c>
      <c r="FR364" s="335">
        <v>42464</v>
      </c>
      <c r="FS364" s="341">
        <v>211.02</v>
      </c>
      <c r="FT364" s="341"/>
    </row>
    <row r="365" spans="132:176" x14ac:dyDescent="0.6">
      <c r="EB365" s="335">
        <v>42445</v>
      </c>
      <c r="EC365" s="62">
        <v>212.16</v>
      </c>
      <c r="ED365" s="62">
        <v>2027.219971</v>
      </c>
      <c r="EE365" s="78">
        <f t="shared" si="36"/>
        <v>1.2389247072845917</v>
      </c>
      <c r="EF365" s="78">
        <f t="shared" si="37"/>
        <v>1.1001878921493813</v>
      </c>
      <c r="FR365" s="335">
        <v>42461</v>
      </c>
      <c r="FS365" s="341">
        <v>212.93</v>
      </c>
      <c r="FT365" s="341">
        <f>FU17</f>
        <v>227</v>
      </c>
    </row>
    <row r="366" spans="132:176" x14ac:dyDescent="0.6">
      <c r="EB366" s="335">
        <v>42444</v>
      </c>
      <c r="EC366" s="62">
        <v>210</v>
      </c>
      <c r="ED366" s="62">
        <v>2015.9300539999999</v>
      </c>
      <c r="EE366" s="78">
        <f t="shared" si="36"/>
        <v>1.2286389929988775</v>
      </c>
      <c r="EF366" s="78">
        <f t="shared" si="37"/>
        <v>1.0945875406006762</v>
      </c>
      <c r="FR366" s="335">
        <v>42460</v>
      </c>
      <c r="FS366" s="341">
        <v>204.83</v>
      </c>
      <c r="FT366" s="341"/>
    </row>
    <row r="367" spans="132:176" x14ac:dyDescent="0.6">
      <c r="EB367" s="335">
        <v>42443</v>
      </c>
      <c r="EC367" s="62">
        <v>210.95</v>
      </c>
      <c r="ED367" s="62">
        <v>2019.6400149999999</v>
      </c>
      <c r="EE367" s="78">
        <f t="shared" si="36"/>
        <v>1.2331424298322502</v>
      </c>
      <c r="EF367" s="78">
        <f t="shared" si="37"/>
        <v>1.0964244823192231</v>
      </c>
      <c r="FR367" s="335">
        <v>42459</v>
      </c>
      <c r="FS367" s="341">
        <v>207.13</v>
      </c>
      <c r="FT367" s="341"/>
    </row>
    <row r="368" spans="132:176" x14ac:dyDescent="0.6">
      <c r="EB368" s="335">
        <v>42440</v>
      </c>
      <c r="EC368" s="62">
        <v>208.83</v>
      </c>
      <c r="ED368" s="62">
        <v>2022.1899410000001</v>
      </c>
      <c r="EE368" s="78">
        <f t="shared" si="36"/>
        <v>1.2229906317189525</v>
      </c>
      <c r="EF368" s="78">
        <f t="shared" si="37"/>
        <v>1.0976854548660151</v>
      </c>
      <c r="FR368" s="335">
        <v>42458</v>
      </c>
      <c r="FS368" s="341">
        <v>207.73</v>
      </c>
      <c r="FT368" s="341"/>
    </row>
    <row r="369" spans="132:176" x14ac:dyDescent="0.6">
      <c r="EB369" s="335">
        <v>42439</v>
      </c>
      <c r="EC369" s="62">
        <v>207.14</v>
      </c>
      <c r="ED369" s="62">
        <v>1989.5699460000001</v>
      </c>
      <c r="EE369" s="78">
        <f t="shared" si="36"/>
        <v>1.2148318984950459</v>
      </c>
      <c r="EF369" s="78">
        <f t="shared" si="37"/>
        <v>1.0812899543883456</v>
      </c>
      <c r="FR369" s="335">
        <v>42457</v>
      </c>
      <c r="FS369" s="341">
        <v>205.79</v>
      </c>
      <c r="FT369" s="341"/>
    </row>
    <row r="370" spans="132:176" x14ac:dyDescent="0.6">
      <c r="EB370" s="335">
        <v>42438</v>
      </c>
      <c r="EC370" s="62">
        <v>209.52</v>
      </c>
      <c r="ED370" s="62">
        <v>1989.26001</v>
      </c>
      <c r="EE370" s="78">
        <f t="shared" si="36"/>
        <v>1.2261911959368177</v>
      </c>
      <c r="EF370" s="78">
        <f t="shared" si="37"/>
        <v>1.0811341497180451</v>
      </c>
      <c r="FR370" s="335">
        <v>42453</v>
      </c>
      <c r="FS370" s="341">
        <v>204.6</v>
      </c>
      <c r="FT370" s="341"/>
    </row>
    <row r="371" spans="132:176" x14ac:dyDescent="0.6">
      <c r="EB371" s="335">
        <v>42437</v>
      </c>
      <c r="EC371" s="62">
        <v>210.93</v>
      </c>
      <c r="ED371" s="62">
        <v>1979.26001</v>
      </c>
      <c r="EE371" s="78">
        <f t="shared" si="36"/>
        <v>1.2328758780588487</v>
      </c>
      <c r="EF371" s="78">
        <f t="shared" si="37"/>
        <v>1.0760817564248568</v>
      </c>
      <c r="FR371" s="335">
        <v>42452</v>
      </c>
      <c r="FS371" s="341">
        <v>206.16</v>
      </c>
      <c r="FT371" s="341"/>
    </row>
    <row r="372" spans="132:176" x14ac:dyDescent="0.6">
      <c r="EB372" s="335">
        <v>42436</v>
      </c>
      <c r="EC372" s="62">
        <v>215.32</v>
      </c>
      <c r="ED372" s="62">
        <v>2001.76001</v>
      </c>
      <c r="EE372" s="78">
        <f t="shared" si="36"/>
        <v>1.2532641373937921</v>
      </c>
      <c r="EF372" s="78">
        <f t="shared" si="37"/>
        <v>1.0873218650730458</v>
      </c>
      <c r="FR372" s="335">
        <v>42451</v>
      </c>
      <c r="FS372" s="341">
        <v>204.43</v>
      </c>
      <c r="FT372" s="341"/>
    </row>
    <row r="373" spans="132:176" x14ac:dyDescent="0.6">
      <c r="EB373" s="335">
        <v>42433</v>
      </c>
      <c r="EC373" s="62">
        <v>214.69</v>
      </c>
      <c r="ED373" s="62">
        <v>1999.98999</v>
      </c>
      <c r="EE373" s="78">
        <f t="shared" si="36"/>
        <v>1.2503296737485361</v>
      </c>
      <c r="EF373" s="78">
        <f t="shared" si="37"/>
        <v>1.0864368506435487</v>
      </c>
      <c r="FR373" s="335">
        <v>42450</v>
      </c>
      <c r="FS373" s="341">
        <v>208.32</v>
      </c>
      <c r="FT373" s="341"/>
    </row>
    <row r="374" spans="132:176" x14ac:dyDescent="0.6">
      <c r="EB374" s="335">
        <v>42432</v>
      </c>
      <c r="EC374" s="62">
        <v>215.12</v>
      </c>
      <c r="ED374" s="62">
        <v>1993.400024</v>
      </c>
      <c r="EE374" s="78">
        <f t="shared" si="36"/>
        <v>1.2523285580921584</v>
      </c>
      <c r="EF374" s="78">
        <f t="shared" si="37"/>
        <v>1.083130958238282</v>
      </c>
      <c r="FR374" s="335">
        <v>42447</v>
      </c>
      <c r="FS374" s="341">
        <v>209.94</v>
      </c>
      <c r="FT374" s="341"/>
    </row>
    <row r="375" spans="132:176" x14ac:dyDescent="0.6">
      <c r="EB375" s="335">
        <v>42431</v>
      </c>
      <c r="EC375" s="62">
        <v>210.65</v>
      </c>
      <c r="ED375" s="62">
        <v>1986.4499510000001</v>
      </c>
      <c r="EE375" s="78">
        <f t="shared" si="36"/>
        <v>1.2311085248616813</v>
      </c>
      <c r="EF375" s="78">
        <f t="shared" si="37"/>
        <v>1.0796322176853166</v>
      </c>
      <c r="FR375" s="335">
        <v>42446</v>
      </c>
      <c r="FS375" s="341">
        <v>209.71</v>
      </c>
      <c r="FT375" s="341"/>
    </row>
    <row r="376" spans="132:176" x14ac:dyDescent="0.6">
      <c r="EB376" s="335">
        <v>42430</v>
      </c>
      <c r="EC376" s="62">
        <v>210.74</v>
      </c>
      <c r="ED376" s="62">
        <v>1978.349976</v>
      </c>
      <c r="EE376" s="78">
        <f t="shared" si="36"/>
        <v>1.2315355913891559</v>
      </c>
      <c r="EF376" s="78">
        <f t="shared" si="37"/>
        <v>1.0755379092473438</v>
      </c>
      <c r="FR376" s="335">
        <v>42445</v>
      </c>
      <c r="FS376" s="341">
        <v>212.16</v>
      </c>
      <c r="FT376" s="341"/>
    </row>
    <row r="377" spans="132:176" x14ac:dyDescent="0.6">
      <c r="EB377" s="335">
        <v>42429</v>
      </c>
      <c r="EC377" s="62">
        <v>207.2</v>
      </c>
      <c r="ED377" s="62">
        <v>1932.2299800000001</v>
      </c>
      <c r="EE377" s="78">
        <f t="shared" si="36"/>
        <v>1.2144506493042138</v>
      </c>
      <c r="EF377" s="78">
        <f t="shared" si="37"/>
        <v>1.051669116982771</v>
      </c>
      <c r="FR377" s="335">
        <v>42444</v>
      </c>
      <c r="FS377" s="341">
        <v>210</v>
      </c>
      <c r="FT377" s="341"/>
    </row>
    <row r="378" spans="132:176" x14ac:dyDescent="0.6">
      <c r="EB378" s="335">
        <v>42426</v>
      </c>
      <c r="EC378" s="62">
        <v>205.99</v>
      </c>
      <c r="ED378" s="62">
        <v>1948.0500489999999</v>
      </c>
      <c r="EE378" s="78">
        <f t="shared" si="36"/>
        <v>1.2085765777473421</v>
      </c>
      <c r="EF378" s="78">
        <f t="shared" si="37"/>
        <v>1.0597900936528113</v>
      </c>
      <c r="FR378" s="335">
        <v>42443</v>
      </c>
      <c r="FS378" s="341">
        <v>210.95</v>
      </c>
      <c r="FT378" s="341"/>
    </row>
    <row r="379" spans="132:176" x14ac:dyDescent="0.6">
      <c r="EB379" s="335">
        <v>42425</v>
      </c>
      <c r="EC379" s="62">
        <v>205.02</v>
      </c>
      <c r="ED379" s="62">
        <v>1951.6999510000001</v>
      </c>
      <c r="EE379" s="78">
        <f t="shared" si="36"/>
        <v>1.2038453320152185</v>
      </c>
      <c r="EF379" s="78">
        <f t="shared" si="37"/>
        <v>1.0616602079591266</v>
      </c>
      <c r="FR379" s="335">
        <v>42440</v>
      </c>
      <c r="FS379" s="341">
        <v>208.83</v>
      </c>
      <c r="FT379" s="341"/>
    </row>
    <row r="380" spans="132:176" x14ac:dyDescent="0.6">
      <c r="EB380" s="335">
        <v>42424</v>
      </c>
      <c r="EC380" s="62">
        <v>205.64</v>
      </c>
      <c r="ED380" s="62">
        <v>1929.8000489999999</v>
      </c>
      <c r="EE380" s="78">
        <f t="shared" si="36"/>
        <v>1.2068603096460295</v>
      </c>
      <c r="EF380" s="78">
        <f t="shared" si="37"/>
        <v>1.0503119327783128</v>
      </c>
      <c r="FR380" s="335">
        <v>42439</v>
      </c>
      <c r="FS380" s="341">
        <v>207.14</v>
      </c>
      <c r="FT380" s="341"/>
    </row>
    <row r="381" spans="132:176" x14ac:dyDescent="0.6">
      <c r="EB381" s="335">
        <v>42423</v>
      </c>
      <c r="EC381" s="62">
        <v>204.46</v>
      </c>
      <c r="ED381" s="62">
        <v>1921.2700199999999</v>
      </c>
      <c r="EE381" s="78">
        <f t="shared" si="36"/>
        <v>1.2010890096362479</v>
      </c>
      <c r="EF381" s="78">
        <f t="shared" si="37"/>
        <v>1.0458721461209433</v>
      </c>
      <c r="FR381" s="335">
        <v>42438</v>
      </c>
      <c r="FS381" s="341">
        <v>209.52</v>
      </c>
      <c r="FT381" s="341"/>
    </row>
    <row r="382" spans="132:176" x14ac:dyDescent="0.6">
      <c r="EB382" s="335">
        <v>42422</v>
      </c>
      <c r="EC382" s="62">
        <v>205.71</v>
      </c>
      <c r="ED382" s="62">
        <v>1945.5</v>
      </c>
      <c r="EE382" s="78">
        <f t="shared" si="36"/>
        <v>1.2071655251192093</v>
      </c>
      <c r="EF382" s="78">
        <f t="shared" si="37"/>
        <v>1.0583265177477745</v>
      </c>
      <c r="FR382" s="335">
        <v>42437</v>
      </c>
      <c r="FS382" s="341">
        <v>210.93</v>
      </c>
      <c r="FT382" s="341"/>
    </row>
    <row r="383" spans="132:176" x14ac:dyDescent="0.6">
      <c r="EB383" s="335">
        <v>42419</v>
      </c>
      <c r="EC383" s="62">
        <v>203.51</v>
      </c>
      <c r="ED383" s="62">
        <v>1917.780029</v>
      </c>
      <c r="EE383" s="78">
        <f t="shared" si="36"/>
        <v>1.1963552455260689</v>
      </c>
      <c r="EF383" s="78">
        <f t="shared" si="37"/>
        <v>1.0438723204045817</v>
      </c>
      <c r="FR383" s="335">
        <v>42436</v>
      </c>
      <c r="FS383" s="341">
        <v>215.32</v>
      </c>
      <c r="FT383" s="341"/>
    </row>
    <row r="384" spans="132:176" x14ac:dyDescent="0.6">
      <c r="EB384" s="335">
        <v>42418</v>
      </c>
      <c r="EC384" s="62">
        <v>201.06</v>
      </c>
      <c r="ED384" s="62">
        <v>1917.829956</v>
      </c>
      <c r="EE384" s="78">
        <f t="shared" si="36"/>
        <v>1.1841698282376973</v>
      </c>
      <c r="EF384" s="78">
        <f t="shared" si="37"/>
        <v>1.0438983534738033</v>
      </c>
      <c r="FR384" s="335">
        <v>42433</v>
      </c>
      <c r="FS384" s="341">
        <v>214.69</v>
      </c>
      <c r="FT384" s="341"/>
    </row>
    <row r="385" spans="132:176" x14ac:dyDescent="0.6">
      <c r="EB385" s="335">
        <v>42417</v>
      </c>
      <c r="EC385" s="62">
        <v>207.03</v>
      </c>
      <c r="ED385" s="62">
        <v>1926.8199460000001</v>
      </c>
      <c r="EE385" s="78">
        <f t="shared" si="36"/>
        <v>1.2130062287593608</v>
      </c>
      <c r="EF385" s="78">
        <f t="shared" si="37"/>
        <v>1.0485640670598926</v>
      </c>
      <c r="FR385" s="335">
        <v>42432</v>
      </c>
      <c r="FS385" s="341">
        <v>215.12</v>
      </c>
      <c r="FT385" s="341"/>
    </row>
    <row r="386" spans="132:176" x14ac:dyDescent="0.6">
      <c r="EB386" s="335">
        <v>42416</v>
      </c>
      <c r="EC386" s="62">
        <v>203.42</v>
      </c>
      <c r="ED386" s="62">
        <v>1895.579956</v>
      </c>
      <c r="EE386" s="78">
        <f t="shared" si="36"/>
        <v>1.1952596944952767</v>
      </c>
      <c r="EF386" s="78">
        <f t="shared" si="37"/>
        <v>1.032083627972574</v>
      </c>
      <c r="FR386" s="335">
        <v>42431</v>
      </c>
      <c r="FS386" s="341">
        <v>210.65</v>
      </c>
      <c r="FT386" s="341"/>
    </row>
    <row r="387" spans="132:176" x14ac:dyDescent="0.6">
      <c r="EB387" s="335">
        <v>42412</v>
      </c>
      <c r="EC387" s="62">
        <v>199.36</v>
      </c>
      <c r="ED387" s="62">
        <v>1864.780029</v>
      </c>
      <c r="EE387" s="78">
        <f t="shared" si="36"/>
        <v>1.1748945259559509</v>
      </c>
      <c r="EF387" s="78">
        <f t="shared" si="37"/>
        <v>1.0155669737179074</v>
      </c>
      <c r="FR387" s="335">
        <v>42430</v>
      </c>
      <c r="FS387" s="341">
        <v>210.74</v>
      </c>
      <c r="FT387" s="341"/>
    </row>
    <row r="388" spans="132:176" x14ac:dyDescent="0.6">
      <c r="EB388" s="335">
        <v>42411</v>
      </c>
      <c r="EC388" s="62">
        <v>191.22</v>
      </c>
      <c r="ED388" s="62">
        <v>1829.079956</v>
      </c>
      <c r="EE388" s="78">
        <f t="shared" si="36"/>
        <v>1.1323257569987288</v>
      </c>
      <c r="EF388" s="78">
        <f t="shared" si="37"/>
        <v>0.99604892428387826</v>
      </c>
      <c r="FR388" s="335">
        <v>42429</v>
      </c>
      <c r="FS388" s="341">
        <v>207.2</v>
      </c>
      <c r="FT388" s="341"/>
    </row>
    <row r="389" spans="132:176" x14ac:dyDescent="0.6">
      <c r="EB389" s="335">
        <v>42410</v>
      </c>
      <c r="EC389" s="62">
        <v>193.86</v>
      </c>
      <c r="ED389" s="62">
        <v>1851.8599850000001</v>
      </c>
      <c r="EE389" s="78">
        <f t="shared" si="36"/>
        <v>1.1459438318981408</v>
      </c>
      <c r="EF389" s="78">
        <f t="shared" si="37"/>
        <v>1.0083500859184065</v>
      </c>
      <c r="FR389" s="335">
        <v>42426</v>
      </c>
      <c r="FS389" s="341">
        <v>205.99</v>
      </c>
      <c r="FT389" s="341"/>
    </row>
    <row r="390" spans="132:176" x14ac:dyDescent="0.6">
      <c r="EB390" s="335">
        <v>42409</v>
      </c>
      <c r="EC390" s="62">
        <v>184.72</v>
      </c>
      <c r="ED390" s="62">
        <v>1852.209961</v>
      </c>
      <c r="EE390" s="78">
        <f t="shared" si="36"/>
        <v>1.0964635373983571</v>
      </c>
      <c r="EF390" s="78">
        <f t="shared" si="37"/>
        <v>1.0085390364193589</v>
      </c>
      <c r="FR390" s="335">
        <v>42425</v>
      </c>
      <c r="FS390" s="341">
        <v>205.02</v>
      </c>
      <c r="FT390" s="341"/>
    </row>
    <row r="391" spans="132:176" x14ac:dyDescent="0.6">
      <c r="EB391" s="335">
        <v>42408</v>
      </c>
      <c r="EC391" s="62">
        <v>186.67</v>
      </c>
      <c r="ED391" s="62">
        <v>1853.4399410000001</v>
      </c>
      <c r="EE391" s="78">
        <f t="shared" si="36"/>
        <v>1.1069097794297493</v>
      </c>
      <c r="EF391" s="78">
        <f t="shared" si="37"/>
        <v>1.0092026565199037</v>
      </c>
      <c r="FR391" s="335">
        <v>42424</v>
      </c>
      <c r="FS391" s="341">
        <v>205.64</v>
      </c>
      <c r="FT391" s="341"/>
    </row>
    <row r="392" spans="132:176" x14ac:dyDescent="0.6">
      <c r="EB392" s="335">
        <v>42405</v>
      </c>
      <c r="EC392" s="62">
        <v>191.53</v>
      </c>
      <c r="ED392" s="62">
        <v>1880.0500489999999</v>
      </c>
      <c r="EE392" s="78">
        <f t="shared" si="36"/>
        <v>1.1322843943725782</v>
      </c>
      <c r="EF392" s="78">
        <f t="shared" si="37"/>
        <v>1.0233565924824881</v>
      </c>
      <c r="EG392" s="78">
        <f>EE392</f>
        <v>1.1322843943725782</v>
      </c>
      <c r="EH392" s="62" t="s">
        <v>400</v>
      </c>
      <c r="FR392" s="335">
        <v>42423</v>
      </c>
      <c r="FS392" s="341">
        <v>204.46</v>
      </c>
      <c r="FT392" s="341"/>
    </row>
    <row r="393" spans="132:176" x14ac:dyDescent="0.6">
      <c r="EB393" s="335">
        <v>42404</v>
      </c>
      <c r="EC393" s="62">
        <v>198.19</v>
      </c>
      <c r="ED393" s="62">
        <v>1915.4499510000001</v>
      </c>
      <c r="EE393" s="78">
        <f t="shared" si="36"/>
        <v>1.1658885116337923</v>
      </c>
      <c r="EF393" s="78">
        <f t="shared" si="37"/>
        <v>1.041837838615554</v>
      </c>
      <c r="FR393" s="335">
        <v>42422</v>
      </c>
      <c r="FS393" s="341">
        <v>205.71</v>
      </c>
      <c r="FT393" s="341"/>
    </row>
    <row r="394" spans="132:176" x14ac:dyDescent="0.6">
      <c r="EB394" s="335">
        <v>42403</v>
      </c>
      <c r="EC394" s="62">
        <v>193.35</v>
      </c>
      <c r="ED394" s="62">
        <v>1912.530029</v>
      </c>
      <c r="EE394" s="78">
        <f t="shared" si="36"/>
        <v>1.140856186834206</v>
      </c>
      <c r="EF394" s="78">
        <f t="shared" si="37"/>
        <v>1.0403111059861443</v>
      </c>
      <c r="FR394" s="335">
        <v>42419</v>
      </c>
      <c r="FS394" s="341">
        <v>203.51</v>
      </c>
      <c r="FT394" s="341"/>
    </row>
    <row r="395" spans="132:176" x14ac:dyDescent="0.6">
      <c r="EB395" s="335">
        <v>42402</v>
      </c>
      <c r="EC395" s="62">
        <v>195.09</v>
      </c>
      <c r="ED395" s="62">
        <v>1903.030029</v>
      </c>
      <c r="EE395" s="78">
        <f t="shared" si="36"/>
        <v>1.1497751473139846</v>
      </c>
      <c r="EF395" s="78">
        <f t="shared" si="37"/>
        <v>1.0353190670507462</v>
      </c>
      <c r="FR395" s="335">
        <v>42418</v>
      </c>
      <c r="FS395" s="341">
        <v>201.06</v>
      </c>
      <c r="FT395" s="341"/>
    </row>
    <row r="396" spans="132:176" x14ac:dyDescent="0.6">
      <c r="EB396" s="335">
        <v>42401</v>
      </c>
      <c r="EC396" s="62">
        <v>194.31</v>
      </c>
      <c r="ED396" s="62">
        <v>1939.380005</v>
      </c>
      <c r="EE396" s="78">
        <f t="shared" si="36"/>
        <v>1.1457609432071449</v>
      </c>
      <c r="EF396" s="78">
        <f t="shared" si="37"/>
        <v>1.0540621580933911</v>
      </c>
      <c r="FR396" s="335">
        <v>42417</v>
      </c>
      <c r="FS396" s="341">
        <v>207.03</v>
      </c>
      <c r="FT396" s="341"/>
    </row>
    <row r="397" spans="132:176" x14ac:dyDescent="0.6">
      <c r="EB397" s="335">
        <v>42398</v>
      </c>
      <c r="EC397" s="62">
        <v>194</v>
      </c>
      <c r="ED397" s="62">
        <v>1940.23999</v>
      </c>
      <c r="EE397" s="78">
        <f t="shared" si="36"/>
        <v>1.1441630050628151</v>
      </c>
      <c r="EF397" s="78">
        <f t="shared" si="37"/>
        <v>1.0545053944994194</v>
      </c>
      <c r="FR397" s="335">
        <v>42416</v>
      </c>
      <c r="FS397" s="341">
        <v>203.42</v>
      </c>
      <c r="FT397" s="341"/>
    </row>
    <row r="398" spans="132:176" x14ac:dyDescent="0.6">
      <c r="EB398" s="335">
        <v>42397</v>
      </c>
      <c r="EC398" s="62">
        <v>190.5</v>
      </c>
      <c r="ED398" s="62">
        <v>1893.3599850000001</v>
      </c>
      <c r="EE398" s="78">
        <f t="shared" si="36"/>
        <v>1.1257903016507416</v>
      </c>
      <c r="EF398" s="78">
        <f t="shared" si="37"/>
        <v>1.0297451770175865</v>
      </c>
      <c r="FR398" s="335">
        <v>42412</v>
      </c>
      <c r="FS398" s="341">
        <v>199.36</v>
      </c>
      <c r="FT398" s="341"/>
    </row>
    <row r="399" spans="132:176" x14ac:dyDescent="0.6">
      <c r="EB399" s="335">
        <v>42396</v>
      </c>
      <c r="EC399" s="62">
        <v>189.16</v>
      </c>
      <c r="ED399" s="62">
        <v>1882.9499510000001</v>
      </c>
      <c r="EE399" s="78">
        <f t="shared" si="36"/>
        <v>1.118706351555584</v>
      </c>
      <c r="EF399" s="78">
        <f t="shared" si="37"/>
        <v>1.024216599906723</v>
      </c>
      <c r="FR399" s="335">
        <v>42411</v>
      </c>
      <c r="FS399" s="341">
        <v>191.22</v>
      </c>
      <c r="FT399" s="341"/>
    </row>
    <row r="400" spans="132:176" x14ac:dyDescent="0.6">
      <c r="EB400" s="335">
        <v>42395</v>
      </c>
      <c r="EC400" s="62">
        <v>187.29</v>
      </c>
      <c r="ED400" s="62">
        <v>1903.630005</v>
      </c>
      <c r="EE400" s="78">
        <f t="shared" si="36"/>
        <v>1.1087218355643405</v>
      </c>
      <c r="EF400" s="78">
        <f t="shared" si="37"/>
        <v>1.0350800838535417</v>
      </c>
      <c r="FR400" s="335">
        <v>42410</v>
      </c>
      <c r="FS400" s="341">
        <v>193.86</v>
      </c>
      <c r="FT400" s="341"/>
    </row>
    <row r="401" spans="132:176" x14ac:dyDescent="0.6">
      <c r="EB401" s="335">
        <v>42394</v>
      </c>
      <c r="EC401" s="62">
        <v>184.38</v>
      </c>
      <c r="ED401" s="62">
        <v>1877.079956</v>
      </c>
      <c r="EE401" s="78">
        <f t="shared" si="36"/>
        <v>1.0929392127202142</v>
      </c>
      <c r="EF401" s="78">
        <f t="shared" si="37"/>
        <v>1.0209357481713381</v>
      </c>
      <c r="FR401" s="335">
        <v>42409</v>
      </c>
      <c r="FS401" s="341">
        <v>184.72</v>
      </c>
      <c r="FT401" s="341"/>
    </row>
    <row r="402" spans="132:176" x14ac:dyDescent="0.6">
      <c r="EB402" s="335">
        <v>42391</v>
      </c>
      <c r="EC402" s="62">
        <v>183.76</v>
      </c>
      <c r="ED402" s="62">
        <v>1906.900024</v>
      </c>
      <c r="EE402" s="78">
        <f t="shared" si="36"/>
        <v>1.0895652466775498</v>
      </c>
      <c r="EF402" s="78">
        <f t="shared" si="37"/>
        <v>1.0365737300396525</v>
      </c>
      <c r="FR402" s="335">
        <v>42408</v>
      </c>
      <c r="FS402" s="341">
        <v>186.67</v>
      </c>
      <c r="FT402" s="341"/>
    </row>
    <row r="403" spans="132:176" x14ac:dyDescent="0.6">
      <c r="EB403" s="335">
        <v>42390</v>
      </c>
      <c r="EC403" s="62">
        <v>179.07</v>
      </c>
      <c r="ED403" s="62">
        <v>1868.98999</v>
      </c>
      <c r="EE403" s="78">
        <f t="shared" si="36"/>
        <v>1.0633743716007642</v>
      </c>
      <c r="EF403" s="78">
        <f t="shared" si="37"/>
        <v>1.0162900291087555</v>
      </c>
      <c r="FR403" s="335">
        <v>42405</v>
      </c>
      <c r="FS403" s="341">
        <v>191.53</v>
      </c>
      <c r="FT403" s="341"/>
    </row>
    <row r="404" spans="132:176" x14ac:dyDescent="0.6">
      <c r="EB404" s="335">
        <v>42389</v>
      </c>
      <c r="EC404" s="62">
        <v>180.25</v>
      </c>
      <c r="ED404" s="62">
        <v>1859.329956</v>
      </c>
      <c r="EE404" s="78">
        <f t="shared" si="36"/>
        <v>1.0699208348462566</v>
      </c>
      <c r="EF404" s="78">
        <f t="shared" si="37"/>
        <v>1.0110945908441122</v>
      </c>
      <c r="FR404" s="335">
        <v>42404</v>
      </c>
      <c r="FS404" s="341">
        <v>198.19</v>
      </c>
      <c r="FT404" s="341"/>
    </row>
    <row r="405" spans="132:176" x14ac:dyDescent="0.6">
      <c r="EB405" s="335">
        <v>42388</v>
      </c>
      <c r="EC405" s="62">
        <v>189.27</v>
      </c>
      <c r="ED405" s="62">
        <v>1881.329956</v>
      </c>
      <c r="EE405" s="78">
        <f t="shared" si="36"/>
        <v>1.1175776214474085</v>
      </c>
      <c r="EF405" s="78">
        <f t="shared" si="37"/>
        <v>1.0227884459968657</v>
      </c>
      <c r="FR405" s="335">
        <v>42403</v>
      </c>
      <c r="FS405" s="341">
        <v>193.35</v>
      </c>
      <c r="FT405" s="341"/>
    </row>
    <row r="406" spans="132:176" x14ac:dyDescent="0.6">
      <c r="EB406" s="335">
        <v>42384</v>
      </c>
      <c r="EC406" s="62">
        <v>188.54</v>
      </c>
      <c r="ED406" s="62">
        <v>1880.329956</v>
      </c>
      <c r="EE406" s="78">
        <f t="shared" si="36"/>
        <v>1.1137057640166244</v>
      </c>
      <c r="EF406" s="78">
        <f t="shared" si="37"/>
        <v>1.0222566244424576</v>
      </c>
      <c r="FR406" s="335">
        <v>42402</v>
      </c>
      <c r="FS406" s="341">
        <v>195.09</v>
      </c>
      <c r="FT406" s="341"/>
    </row>
    <row r="407" spans="132:176" x14ac:dyDescent="0.6">
      <c r="EB407" s="335">
        <v>42383</v>
      </c>
      <c r="EC407" s="62">
        <v>192.15</v>
      </c>
      <c r="ED407" s="62">
        <v>1921.839966</v>
      </c>
      <c r="EE407" s="78">
        <f t="shared" si="36"/>
        <v>1.1324931696892759</v>
      </c>
      <c r="EF407" s="78">
        <f t="shared" si="37"/>
        <v>1.0438557225642415</v>
      </c>
      <c r="FR407" s="335">
        <v>42401</v>
      </c>
      <c r="FS407" s="341">
        <v>194.31</v>
      </c>
      <c r="FT407" s="341"/>
    </row>
    <row r="408" spans="132:176" x14ac:dyDescent="0.6">
      <c r="EB408" s="335">
        <v>42382</v>
      </c>
      <c r="EC408" s="62">
        <v>189.36</v>
      </c>
      <c r="ED408" s="62">
        <v>1890.280029</v>
      </c>
      <c r="EE408" s="78">
        <f t="shared" si="36"/>
        <v>1.1177593293850934</v>
      </c>
      <c r="EF408" s="78">
        <f t="shared" si="37"/>
        <v>1.0271598169228451</v>
      </c>
      <c r="FR408" s="335">
        <v>42398</v>
      </c>
      <c r="FS408" s="341">
        <v>194</v>
      </c>
      <c r="FT408" s="341"/>
    </row>
    <row r="409" spans="132:176" x14ac:dyDescent="0.6">
      <c r="EB409" s="335">
        <v>42381</v>
      </c>
      <c r="EC409" s="62">
        <v>190.49</v>
      </c>
      <c r="ED409" s="62">
        <v>1938.6800539999999</v>
      </c>
      <c r="EE409" s="78">
        <f t="shared" si="36"/>
        <v>1.1236913993100237</v>
      </c>
      <c r="EF409" s="78">
        <f t="shared" si="37"/>
        <v>1.0521252695255776</v>
      </c>
      <c r="FR409" s="335">
        <v>42397</v>
      </c>
      <c r="FS409" s="341">
        <v>190.5</v>
      </c>
      <c r="FT409" s="341"/>
    </row>
    <row r="410" spans="132:176" x14ac:dyDescent="0.6">
      <c r="EB410" s="335">
        <v>42380</v>
      </c>
      <c r="EC410" s="62">
        <v>186.76</v>
      </c>
      <c r="ED410" s="62">
        <v>1923.670044</v>
      </c>
      <c r="EE410" s="78">
        <f t="shared" si="36"/>
        <v>1.1037192425312701</v>
      </c>
      <c r="EF410" s="78">
        <f t="shared" si="37"/>
        <v>1.0443224708872056</v>
      </c>
      <c r="FR410" s="335">
        <v>42396</v>
      </c>
      <c r="FS410" s="341">
        <v>189.16</v>
      </c>
      <c r="FT410" s="341"/>
    </row>
    <row r="411" spans="132:176" x14ac:dyDescent="0.6">
      <c r="EB411" s="335">
        <v>42377</v>
      </c>
      <c r="EC411" s="62">
        <v>187.5</v>
      </c>
      <c r="ED411" s="62">
        <v>1922.030029</v>
      </c>
      <c r="EE411" s="78">
        <f t="shared" si="36"/>
        <v>1.1076659091979368</v>
      </c>
      <c r="EF411" s="78">
        <f t="shared" si="37"/>
        <v>1.0434691985786282</v>
      </c>
      <c r="FR411" s="335">
        <v>42395</v>
      </c>
      <c r="FS411" s="341">
        <v>187.29</v>
      </c>
      <c r="FT411" s="341"/>
    </row>
    <row r="412" spans="132:176" x14ac:dyDescent="0.6">
      <c r="EB412" s="335">
        <v>42376</v>
      </c>
      <c r="EC412" s="62">
        <v>188.94</v>
      </c>
      <c r="ED412" s="62">
        <v>1943.089966</v>
      </c>
      <c r="EE412" s="78">
        <f t="shared" si="36"/>
        <v>1.1152873763303599</v>
      </c>
      <c r="EF412" s="78">
        <f t="shared" si="37"/>
        <v>1.0543075732131046</v>
      </c>
      <c r="FR412" s="335">
        <v>42394</v>
      </c>
      <c r="FS412" s="341">
        <v>184.38</v>
      </c>
      <c r="FT412" s="341"/>
    </row>
    <row r="413" spans="132:176" x14ac:dyDescent="0.6">
      <c r="EB413" s="335">
        <v>42375</v>
      </c>
      <c r="EC413" s="62">
        <v>187.79</v>
      </c>
      <c r="ED413" s="62">
        <v>1990.26001</v>
      </c>
      <c r="EE413" s="78">
        <f t="shared" ref="EE413:EE476" si="38">EE414+(EC413-EC414)/EC414</f>
        <v>1.1091635145698828</v>
      </c>
      <c r="EF413" s="78">
        <f t="shared" ref="EF413:EF476" si="39">EF414+(ED413-ED414)/ED414</f>
        <v>1.0780080162522028</v>
      </c>
      <c r="EG413" s="78"/>
      <c r="EH413" s="336"/>
      <c r="FR413" s="335">
        <v>42391</v>
      </c>
      <c r="FS413" s="341">
        <v>183.76</v>
      </c>
      <c r="FT413" s="341"/>
    </row>
    <row r="414" spans="132:176" x14ac:dyDescent="0.6">
      <c r="EB414" s="335">
        <v>42374</v>
      </c>
      <c r="EC414" s="62">
        <v>188.84</v>
      </c>
      <c r="ED414" s="62">
        <v>2016.709961</v>
      </c>
      <c r="EE414" s="78">
        <f t="shared" si="38"/>
        <v>1.1147237772260998</v>
      </c>
      <c r="EF414" s="78">
        <f t="shared" si="39"/>
        <v>1.0911234128692178</v>
      </c>
      <c r="FR414" s="335">
        <v>42390</v>
      </c>
      <c r="FS414" s="341">
        <v>179.07</v>
      </c>
      <c r="FT414" s="341"/>
    </row>
    <row r="415" spans="132:176" x14ac:dyDescent="0.6">
      <c r="EB415" s="335">
        <v>42373</v>
      </c>
      <c r="EC415" s="62">
        <v>190.88</v>
      </c>
      <c r="ED415" s="62">
        <v>2012.660034</v>
      </c>
      <c r="EE415" s="78">
        <f t="shared" si="38"/>
        <v>1.1254111200592933</v>
      </c>
      <c r="EF415" s="78">
        <f t="shared" si="39"/>
        <v>1.0891111867944787</v>
      </c>
      <c r="FR415" s="335">
        <v>42389</v>
      </c>
      <c r="FS415" s="341">
        <v>180.25</v>
      </c>
      <c r="FT415" s="341"/>
    </row>
    <row r="416" spans="132:176" x14ac:dyDescent="0.6">
      <c r="EB416" s="335">
        <v>42369</v>
      </c>
      <c r="EC416" s="62">
        <v>194.78</v>
      </c>
      <c r="ED416" s="62">
        <v>2043.9399410000001</v>
      </c>
      <c r="EE416" s="78">
        <f t="shared" si="38"/>
        <v>1.1454337096475469</v>
      </c>
      <c r="EF416" s="78">
        <f t="shared" si="39"/>
        <v>1.104414917776269</v>
      </c>
      <c r="FR416" s="335">
        <v>42388</v>
      </c>
      <c r="FS416" s="341">
        <v>189.27</v>
      </c>
      <c r="FT416" s="341"/>
    </row>
    <row r="417" spans="132:176" x14ac:dyDescent="0.6">
      <c r="EB417" s="335">
        <v>42368</v>
      </c>
      <c r="EC417" s="62">
        <v>195.19</v>
      </c>
      <c r="ED417" s="62">
        <v>2063.360107</v>
      </c>
      <c r="EE417" s="78">
        <f t="shared" si="38"/>
        <v>1.1475342270920881</v>
      </c>
      <c r="EF417" s="78">
        <f t="shared" si="39"/>
        <v>1.1138268308660475</v>
      </c>
      <c r="FR417" s="335">
        <v>42384</v>
      </c>
      <c r="FS417" s="341">
        <v>188.54</v>
      </c>
      <c r="FT417" s="341"/>
    </row>
    <row r="418" spans="132:176" x14ac:dyDescent="0.6">
      <c r="EB418" s="335">
        <v>42367</v>
      </c>
      <c r="EC418" s="62">
        <v>197.08</v>
      </c>
      <c r="ED418" s="62">
        <v>2078.360107</v>
      </c>
      <c r="EE418" s="78">
        <f t="shared" si="38"/>
        <v>1.1571242412995166</v>
      </c>
      <c r="EF418" s="78">
        <f t="shared" si="39"/>
        <v>1.1210440594634785</v>
      </c>
      <c r="FR418" s="335">
        <v>42383</v>
      </c>
      <c r="FS418" s="341">
        <v>192.15</v>
      </c>
      <c r="FT418" s="341"/>
    </row>
    <row r="419" spans="132:176" x14ac:dyDescent="0.6">
      <c r="EB419" s="335">
        <v>42366</v>
      </c>
      <c r="EC419" s="62">
        <v>196.39</v>
      </c>
      <c r="ED419" s="62">
        <v>2056.5</v>
      </c>
      <c r="EE419" s="78">
        <f t="shared" si="38"/>
        <v>1.1536108241194156</v>
      </c>
      <c r="EF419" s="78">
        <f t="shared" si="39"/>
        <v>1.1104142967598558</v>
      </c>
      <c r="FR419" s="335">
        <v>42382</v>
      </c>
      <c r="FS419" s="341">
        <v>189.36</v>
      </c>
      <c r="FT419" s="341"/>
    </row>
    <row r="420" spans="132:176" x14ac:dyDescent="0.6">
      <c r="EB420" s="335">
        <v>42362</v>
      </c>
      <c r="EC420" s="62">
        <v>194.83</v>
      </c>
      <c r="ED420" s="62">
        <v>2060.98999</v>
      </c>
      <c r="EE420" s="78">
        <f t="shared" si="38"/>
        <v>1.1456038436749256</v>
      </c>
      <c r="EF420" s="78">
        <f t="shared" si="39"/>
        <v>1.1125928565887659</v>
      </c>
      <c r="FR420" s="335">
        <v>42381</v>
      </c>
      <c r="FS420" s="341">
        <v>190.49</v>
      </c>
      <c r="FT420" s="341"/>
    </row>
    <row r="421" spans="132:176" x14ac:dyDescent="0.6">
      <c r="EB421" s="335">
        <v>42361</v>
      </c>
      <c r="EC421" s="62">
        <v>193.87</v>
      </c>
      <c r="ED421" s="62">
        <v>2064.290039</v>
      </c>
      <c r="EE421" s="78">
        <f t="shared" si="38"/>
        <v>1.1406520718690762</v>
      </c>
      <c r="EF421" s="78">
        <f t="shared" si="39"/>
        <v>1.1141914928935743</v>
      </c>
      <c r="FR421" s="335">
        <v>42380</v>
      </c>
      <c r="FS421" s="341">
        <v>186.76</v>
      </c>
      <c r="FT421" s="341"/>
    </row>
    <row r="422" spans="132:176" x14ac:dyDescent="0.6">
      <c r="EB422" s="335">
        <v>42360</v>
      </c>
      <c r="EC422" s="62">
        <v>194.37</v>
      </c>
      <c r="ED422" s="62">
        <v>2038.969971</v>
      </c>
      <c r="EE422" s="78">
        <f t="shared" si="38"/>
        <v>1.1432244853073641</v>
      </c>
      <c r="EF422" s="78">
        <f t="shared" si="39"/>
        <v>1.101773424770883</v>
      </c>
      <c r="FR422" s="335">
        <v>42377</v>
      </c>
      <c r="FS422" s="341">
        <v>187.5</v>
      </c>
      <c r="FT422" s="341"/>
    </row>
    <row r="423" spans="132:176" x14ac:dyDescent="0.6">
      <c r="EB423" s="335">
        <v>42359</v>
      </c>
      <c r="EC423" s="62">
        <v>191.43</v>
      </c>
      <c r="ED423" s="62">
        <v>2021.150024</v>
      </c>
      <c r="EE423" s="78">
        <f t="shared" si="38"/>
        <v>1.1278663909647846</v>
      </c>
      <c r="EF423" s="78">
        <f t="shared" si="39"/>
        <v>1.0929566883641848</v>
      </c>
      <c r="FR423" s="335">
        <v>42376</v>
      </c>
      <c r="FS423" s="341">
        <v>188.94</v>
      </c>
      <c r="FT423" s="341"/>
    </row>
    <row r="424" spans="132:176" x14ac:dyDescent="0.6">
      <c r="EB424" s="335">
        <v>42356</v>
      </c>
      <c r="EC424" s="62">
        <v>194.89</v>
      </c>
      <c r="ED424" s="62">
        <v>2005.5500489999999</v>
      </c>
      <c r="EE424" s="78">
        <f t="shared" si="38"/>
        <v>1.1456199955622497</v>
      </c>
      <c r="EF424" s="78">
        <f t="shared" si="39"/>
        <v>1.0851782861209804</v>
      </c>
      <c r="FR424" s="335">
        <v>42375</v>
      </c>
      <c r="FS424" s="341">
        <v>187.79</v>
      </c>
      <c r="FT424" s="341"/>
    </row>
    <row r="425" spans="132:176" x14ac:dyDescent="0.6">
      <c r="EB425" s="335">
        <v>42355</v>
      </c>
      <c r="EC425" s="62">
        <v>193.35</v>
      </c>
      <c r="ED425" s="62">
        <v>2041.8900149999999</v>
      </c>
      <c r="EE425" s="78">
        <f t="shared" si="38"/>
        <v>1.1376551649441995</v>
      </c>
      <c r="EF425" s="78">
        <f t="shared" si="39"/>
        <v>1.1029755062126807</v>
      </c>
      <c r="FR425" s="335">
        <v>42374</v>
      </c>
      <c r="FS425" s="341">
        <v>188.84</v>
      </c>
      <c r="FT425" s="341"/>
    </row>
    <row r="426" spans="132:176" x14ac:dyDescent="0.6">
      <c r="EB426" s="335">
        <v>42354</v>
      </c>
      <c r="EC426" s="62">
        <v>194.16</v>
      </c>
      <c r="ED426" s="62">
        <v>2073.070068</v>
      </c>
      <c r="EE426" s="78">
        <f t="shared" si="38"/>
        <v>1.1418269820022959</v>
      </c>
      <c r="EF426" s="78">
        <f t="shared" si="39"/>
        <v>1.1180160267822923</v>
      </c>
      <c r="FR426" s="335">
        <v>42373</v>
      </c>
      <c r="FS426" s="341">
        <v>190.88</v>
      </c>
      <c r="FT426" s="341">
        <f>FU16</f>
        <v>225.5</v>
      </c>
    </row>
    <row r="427" spans="132:176" x14ac:dyDescent="0.6">
      <c r="EB427" s="335">
        <v>42353</v>
      </c>
      <c r="EC427" s="62">
        <v>194.06</v>
      </c>
      <c r="ED427" s="62">
        <v>2043.410034</v>
      </c>
      <c r="EE427" s="78">
        <f t="shared" si="38"/>
        <v>1.1413116774573098</v>
      </c>
      <c r="EF427" s="78">
        <f t="shared" si="39"/>
        <v>1.1035010574386506</v>
      </c>
      <c r="FR427" s="335">
        <v>42369</v>
      </c>
      <c r="FS427" s="341">
        <v>194.78</v>
      </c>
      <c r="FT427" s="341"/>
    </row>
    <row r="428" spans="132:176" x14ac:dyDescent="0.6">
      <c r="EB428" s="335">
        <v>42352</v>
      </c>
      <c r="EC428" s="62">
        <v>191.94</v>
      </c>
      <c r="ED428" s="62">
        <v>2021.9399410000001</v>
      </c>
      <c r="EE428" s="78">
        <f t="shared" si="38"/>
        <v>1.1302665591911849</v>
      </c>
      <c r="EF428" s="78">
        <f t="shared" si="39"/>
        <v>1.0928824962417332</v>
      </c>
      <c r="FR428" s="335">
        <v>42368</v>
      </c>
      <c r="FS428" s="341">
        <v>195.19</v>
      </c>
      <c r="FT428" s="341"/>
    </row>
    <row r="429" spans="132:176" x14ac:dyDescent="0.6">
      <c r="EB429" s="335">
        <v>42349</v>
      </c>
      <c r="EC429" s="62">
        <v>190.35</v>
      </c>
      <c r="ED429" s="62">
        <v>2012.369995</v>
      </c>
      <c r="EE429" s="78">
        <f t="shared" si="38"/>
        <v>1.121913525306236</v>
      </c>
      <c r="EF429" s="78">
        <f t="shared" si="39"/>
        <v>1.0881269363676653</v>
      </c>
      <c r="FR429" s="335">
        <v>42367</v>
      </c>
      <c r="FS429" s="341">
        <v>197.08</v>
      </c>
      <c r="FT429" s="341"/>
    </row>
    <row r="430" spans="132:176" x14ac:dyDescent="0.6">
      <c r="EB430" s="335">
        <v>42348</v>
      </c>
      <c r="EC430" s="62">
        <v>189.98</v>
      </c>
      <c r="ED430" s="62">
        <v>2052.2299800000001</v>
      </c>
      <c r="EE430" s="78">
        <f t="shared" si="38"/>
        <v>1.1199659518774541</v>
      </c>
      <c r="EF430" s="78">
        <f t="shared" si="39"/>
        <v>1.1075497034982771</v>
      </c>
      <c r="FR430" s="335">
        <v>42366</v>
      </c>
      <c r="FS430" s="341">
        <v>196.39</v>
      </c>
      <c r="FT430" s="341"/>
    </row>
    <row r="431" spans="132:176" x14ac:dyDescent="0.6">
      <c r="EB431" s="335">
        <v>42347</v>
      </c>
      <c r="EC431" s="62">
        <v>190.31</v>
      </c>
      <c r="ED431" s="62">
        <v>2047.619995</v>
      </c>
      <c r="EE431" s="78">
        <f t="shared" si="38"/>
        <v>1.1216999648037322</v>
      </c>
      <c r="EF431" s="78">
        <f t="shared" si="39"/>
        <v>1.1052983165166803</v>
      </c>
      <c r="FR431" s="335">
        <v>42362</v>
      </c>
      <c r="FS431" s="341">
        <v>194.83</v>
      </c>
      <c r="FT431" s="341"/>
    </row>
    <row r="432" spans="132:176" x14ac:dyDescent="0.6">
      <c r="EB432" s="335">
        <v>42346</v>
      </c>
      <c r="EC432" s="62">
        <v>190.32</v>
      </c>
      <c r="ED432" s="62">
        <v>2063.5900879999999</v>
      </c>
      <c r="EE432" s="78">
        <f t="shared" si="38"/>
        <v>1.1217525078890622</v>
      </c>
      <c r="EF432" s="78">
        <f t="shared" si="39"/>
        <v>1.1130373016440405</v>
      </c>
      <c r="FR432" s="335">
        <v>42361</v>
      </c>
      <c r="FS432" s="341">
        <v>193.87</v>
      </c>
      <c r="FT432" s="341"/>
    </row>
    <row r="433" spans="132:176" x14ac:dyDescent="0.6">
      <c r="EB433" s="335">
        <v>42345</v>
      </c>
      <c r="EC433" s="62">
        <v>189.77</v>
      </c>
      <c r="ED433" s="62">
        <v>2077.070068</v>
      </c>
      <c r="EE433" s="78">
        <f t="shared" si="38"/>
        <v>1.1188542626448192</v>
      </c>
      <c r="EF433" s="78">
        <f t="shared" si="39"/>
        <v>1.1195272030718628</v>
      </c>
      <c r="FR433" s="335">
        <v>42360</v>
      </c>
      <c r="FS433" s="341">
        <v>194.37</v>
      </c>
      <c r="FT433" s="341"/>
    </row>
    <row r="434" spans="132:176" x14ac:dyDescent="0.6">
      <c r="EB434" s="335">
        <v>42342</v>
      </c>
      <c r="EC434" s="62">
        <v>185.68</v>
      </c>
      <c r="ED434" s="62">
        <v>2091.6899410000001</v>
      </c>
      <c r="EE434" s="78">
        <f t="shared" si="38"/>
        <v>1.0968271191721781</v>
      </c>
      <c r="EF434" s="78">
        <f t="shared" si="39"/>
        <v>1.1265167060155976</v>
      </c>
      <c r="FR434" s="335">
        <v>42359</v>
      </c>
      <c r="FS434" s="341">
        <v>191.43</v>
      </c>
      <c r="FT434" s="341"/>
    </row>
    <row r="435" spans="132:176" x14ac:dyDescent="0.6">
      <c r="EB435" s="335">
        <v>42341</v>
      </c>
      <c r="EC435" s="62">
        <v>182.7</v>
      </c>
      <c r="ED435" s="62">
        <v>2049.6201169999999</v>
      </c>
      <c r="EE435" s="78">
        <f t="shared" si="38"/>
        <v>1.0805162269992168</v>
      </c>
      <c r="EF435" s="78">
        <f t="shared" si="39"/>
        <v>1.1059910370630617</v>
      </c>
      <c r="FR435" s="335">
        <v>42356</v>
      </c>
      <c r="FS435" s="341">
        <v>194.89</v>
      </c>
      <c r="FT435" s="341"/>
    </row>
    <row r="436" spans="132:176" x14ac:dyDescent="0.6">
      <c r="EB436" s="335">
        <v>42340</v>
      </c>
      <c r="EC436" s="62">
        <v>182.12</v>
      </c>
      <c r="ED436" s="62">
        <v>2079.51001</v>
      </c>
      <c r="EE436" s="78">
        <f t="shared" si="38"/>
        <v>1.0773315136234207</v>
      </c>
      <c r="EF436" s="78">
        <f t="shared" si="39"/>
        <v>1.1203645639305759</v>
      </c>
      <c r="FR436" s="335">
        <v>42355</v>
      </c>
      <c r="FS436" s="341">
        <v>193.35</v>
      </c>
      <c r="FT436" s="341"/>
    </row>
    <row r="437" spans="132:176" x14ac:dyDescent="0.6">
      <c r="EB437" s="335">
        <v>42339</v>
      </c>
      <c r="EC437" s="62">
        <v>181.6</v>
      </c>
      <c r="ED437" s="62">
        <v>2102.6298830000001</v>
      </c>
      <c r="EE437" s="78">
        <f t="shared" si="38"/>
        <v>1.0744680775000726</v>
      </c>
      <c r="EF437" s="78">
        <f t="shared" si="39"/>
        <v>1.1313602570798682</v>
      </c>
      <c r="FR437" s="335">
        <v>42354</v>
      </c>
      <c r="FS437" s="341">
        <v>194.16</v>
      </c>
      <c r="FT437" s="341"/>
    </row>
    <row r="438" spans="132:176" x14ac:dyDescent="0.6">
      <c r="EB438" s="335">
        <v>42338</v>
      </c>
      <c r="EC438" s="62">
        <v>181.8</v>
      </c>
      <c r="ED438" s="62">
        <v>2080.4099120000001</v>
      </c>
      <c r="EE438" s="78">
        <f t="shared" si="38"/>
        <v>1.0755681875110739</v>
      </c>
      <c r="EF438" s="78">
        <f t="shared" si="39"/>
        <v>1.1206796835679689</v>
      </c>
      <c r="FR438" s="335">
        <v>42353</v>
      </c>
      <c r="FS438" s="341">
        <v>194.06</v>
      </c>
      <c r="FT438" s="341"/>
    </row>
    <row r="439" spans="132:176" x14ac:dyDescent="0.6">
      <c r="EB439" s="335">
        <v>42335</v>
      </c>
      <c r="EC439" s="62">
        <v>182.13</v>
      </c>
      <c r="ED439" s="62">
        <v>2090.110107</v>
      </c>
      <c r="EE439" s="78">
        <f t="shared" si="38"/>
        <v>1.0773800801152575</v>
      </c>
      <c r="EF439" s="78">
        <f t="shared" si="39"/>
        <v>1.1253206806941551</v>
      </c>
      <c r="FR439" s="335">
        <v>42352</v>
      </c>
      <c r="FS439" s="341">
        <v>191.94</v>
      </c>
      <c r="FT439" s="341"/>
    </row>
    <row r="440" spans="132:176" x14ac:dyDescent="0.6">
      <c r="EB440" s="335">
        <v>42333</v>
      </c>
      <c r="EC440" s="62">
        <v>182.03</v>
      </c>
      <c r="ED440" s="62">
        <v>2088.8701169999999</v>
      </c>
      <c r="EE440" s="78">
        <f t="shared" si="38"/>
        <v>1.0768307201196525</v>
      </c>
      <c r="EF440" s="78">
        <f t="shared" si="39"/>
        <v>1.124727063125543</v>
      </c>
      <c r="FR440" s="335">
        <v>42349</v>
      </c>
      <c r="FS440" s="341">
        <v>190.35</v>
      </c>
      <c r="FT440" s="341"/>
    </row>
    <row r="441" spans="132:176" x14ac:dyDescent="0.6">
      <c r="EB441" s="335">
        <v>42332</v>
      </c>
      <c r="EC441" s="62">
        <v>180.99</v>
      </c>
      <c r="ED441" s="62">
        <v>2089.139893</v>
      </c>
      <c r="EE441" s="78">
        <f t="shared" si="38"/>
        <v>1.0710845462978944</v>
      </c>
      <c r="EF441" s="78">
        <f t="shared" si="39"/>
        <v>1.124856195693881</v>
      </c>
      <c r="FR441" s="335">
        <v>42348</v>
      </c>
      <c r="FS441" s="341">
        <v>189.98</v>
      </c>
      <c r="FT441" s="341"/>
    </row>
    <row r="442" spans="132:176" x14ac:dyDescent="0.6">
      <c r="EB442" s="335">
        <v>42331</v>
      </c>
      <c r="EC442" s="62">
        <v>177.7</v>
      </c>
      <c r="ED442" s="62">
        <v>2086.5900879999999</v>
      </c>
      <c r="EE442" s="78">
        <f t="shared" si="38"/>
        <v>1.0525701962697569</v>
      </c>
      <c r="EF442" s="78">
        <f t="shared" si="39"/>
        <v>1.1236341995698391</v>
      </c>
      <c r="FR442" s="335">
        <v>42347</v>
      </c>
      <c r="FS442" s="341">
        <v>190.31</v>
      </c>
      <c r="FT442" s="341"/>
    </row>
    <row r="443" spans="132:176" x14ac:dyDescent="0.6">
      <c r="EB443" s="335">
        <v>42328</v>
      </c>
      <c r="EC443" s="62">
        <v>172.68</v>
      </c>
      <c r="ED443" s="62">
        <v>2089.169922</v>
      </c>
      <c r="EE443" s="78">
        <f t="shared" si="38"/>
        <v>1.0234990820700813</v>
      </c>
      <c r="EF443" s="78">
        <f t="shared" si="39"/>
        <v>1.1248690603501104</v>
      </c>
      <c r="FR443" s="335">
        <v>42346</v>
      </c>
      <c r="FS443" s="341">
        <v>190.32</v>
      </c>
      <c r="FT443" s="341"/>
    </row>
    <row r="444" spans="132:176" x14ac:dyDescent="0.6">
      <c r="EB444" s="335">
        <v>42327</v>
      </c>
      <c r="EC444" s="62">
        <v>172.34</v>
      </c>
      <c r="ED444" s="62">
        <v>2081.23999</v>
      </c>
      <c r="EE444" s="78">
        <f t="shared" si="38"/>
        <v>1.0215262376926877</v>
      </c>
      <c r="EF444" s="78">
        <f t="shared" si="39"/>
        <v>1.1210588644870181</v>
      </c>
      <c r="FR444" s="335">
        <v>42345</v>
      </c>
      <c r="FS444" s="341">
        <v>189.77</v>
      </c>
      <c r="FT444" s="341"/>
    </row>
    <row r="445" spans="132:176" x14ac:dyDescent="0.6">
      <c r="EB445" s="335">
        <v>42326</v>
      </c>
      <c r="EC445" s="62">
        <v>170.48</v>
      </c>
      <c r="ED445" s="62">
        <v>2083.580078</v>
      </c>
      <c r="EE445" s="78">
        <f t="shared" si="38"/>
        <v>1.0106158669747147</v>
      </c>
      <c r="EF445" s="78">
        <f t="shared" si="39"/>
        <v>1.122181973708837</v>
      </c>
      <c r="FR445" s="335">
        <v>42342</v>
      </c>
      <c r="FS445" s="341">
        <v>185.68</v>
      </c>
      <c r="FT445" s="341"/>
    </row>
    <row r="446" spans="132:176" x14ac:dyDescent="0.6">
      <c r="EB446" s="335">
        <v>42325</v>
      </c>
      <c r="EC446" s="62">
        <v>166.26</v>
      </c>
      <c r="ED446" s="62">
        <v>2050.4399410000001</v>
      </c>
      <c r="EE446" s="78">
        <f t="shared" si="38"/>
        <v>0.98523393506084478</v>
      </c>
      <c r="EF446" s="78">
        <f t="shared" si="39"/>
        <v>1.1060195217699436</v>
      </c>
      <c r="FR446" s="335">
        <v>42341</v>
      </c>
      <c r="FS446" s="341">
        <v>182.7</v>
      </c>
      <c r="FT446" s="341"/>
    </row>
    <row r="447" spans="132:176" x14ac:dyDescent="0.6">
      <c r="EB447" s="335">
        <v>42324</v>
      </c>
      <c r="EC447" s="62">
        <v>168.41</v>
      </c>
      <c r="ED447" s="62">
        <v>2053.1899410000001</v>
      </c>
      <c r="EE447" s="78">
        <f t="shared" si="38"/>
        <v>0.99800039785996597</v>
      </c>
      <c r="EF447" s="78">
        <f t="shared" si="39"/>
        <v>1.107358901018344</v>
      </c>
      <c r="FR447" s="335">
        <v>42340</v>
      </c>
      <c r="FS447" s="341">
        <v>182.12</v>
      </c>
      <c r="FT447" s="341"/>
    </row>
    <row r="448" spans="132:176" x14ac:dyDescent="0.6">
      <c r="EB448" s="335">
        <v>42321</v>
      </c>
      <c r="EC448" s="62">
        <v>168.12</v>
      </c>
      <c r="ED448" s="62">
        <v>2023.040039</v>
      </c>
      <c r="EE448" s="78">
        <f t="shared" si="38"/>
        <v>0.99627543949689201</v>
      </c>
      <c r="EF448" s="78">
        <f t="shared" si="39"/>
        <v>1.0924556359228577</v>
      </c>
      <c r="FR448" s="335">
        <v>42339</v>
      </c>
      <c r="FS448" s="341">
        <v>181.6</v>
      </c>
      <c r="FT448" s="341"/>
    </row>
    <row r="449" spans="132:176" x14ac:dyDescent="0.6">
      <c r="EB449" s="335">
        <v>42320</v>
      </c>
      <c r="EC449" s="62">
        <v>172.28</v>
      </c>
      <c r="ED449" s="62">
        <v>2045.969971</v>
      </c>
      <c r="EE449" s="78">
        <f t="shared" si="38"/>
        <v>1.020422177365478</v>
      </c>
      <c r="EF449" s="78">
        <f t="shared" si="39"/>
        <v>1.103663000803581</v>
      </c>
      <c r="FR449" s="335">
        <v>42338</v>
      </c>
      <c r="FS449" s="341">
        <v>181.8</v>
      </c>
      <c r="FT449" s="341"/>
    </row>
    <row r="450" spans="132:176" x14ac:dyDescent="0.6">
      <c r="EB450" s="335">
        <v>42319</v>
      </c>
      <c r="EC450" s="62">
        <v>174.39</v>
      </c>
      <c r="ED450" s="62">
        <v>2075</v>
      </c>
      <c r="EE450" s="78">
        <f t="shared" si="38"/>
        <v>1.0325214949869013</v>
      </c>
      <c r="EF450" s="78">
        <f t="shared" si="39"/>
        <v>1.1176533762252678</v>
      </c>
      <c r="EG450" s="78">
        <f>EE446</f>
        <v>0.98523393506084478</v>
      </c>
      <c r="EH450" s="62" t="s">
        <v>399</v>
      </c>
      <c r="FR450" s="335">
        <v>42335</v>
      </c>
      <c r="FS450" s="341">
        <v>182.13</v>
      </c>
      <c r="FT450" s="341"/>
    </row>
    <row r="451" spans="132:176" x14ac:dyDescent="0.6">
      <c r="EB451" s="335">
        <v>42318</v>
      </c>
      <c r="EC451" s="62">
        <v>175.81</v>
      </c>
      <c r="ED451" s="62">
        <v>2081.719971</v>
      </c>
      <c r="EE451" s="78">
        <f t="shared" si="38"/>
        <v>1.0405983961870606</v>
      </c>
      <c r="EF451" s="78">
        <f t="shared" si="39"/>
        <v>1.1208814621799661</v>
      </c>
      <c r="FR451" s="335">
        <v>42333</v>
      </c>
      <c r="FS451" s="341">
        <v>182.03</v>
      </c>
      <c r="FT451" s="341"/>
    </row>
    <row r="452" spans="132:176" x14ac:dyDescent="0.6">
      <c r="EB452" s="335">
        <v>42317</v>
      </c>
      <c r="EC452" s="62">
        <v>175.24</v>
      </c>
      <c r="ED452" s="62">
        <v>2078.580078</v>
      </c>
      <c r="EE452" s="78">
        <f t="shared" si="38"/>
        <v>1.0373457141509959</v>
      </c>
      <c r="EF452" s="78">
        <f t="shared" si="39"/>
        <v>1.1193708670226117</v>
      </c>
      <c r="FR452" s="335">
        <v>42332</v>
      </c>
      <c r="FS452" s="341">
        <v>180.99</v>
      </c>
      <c r="FT452" s="341"/>
    </row>
    <row r="453" spans="132:176" x14ac:dyDescent="0.6">
      <c r="EB453" s="335">
        <v>42314</v>
      </c>
      <c r="EC453" s="62">
        <v>176.95</v>
      </c>
      <c r="ED453" s="62">
        <v>2099.1999510000001</v>
      </c>
      <c r="EE453" s="78">
        <f t="shared" si="38"/>
        <v>1.0470094609721317</v>
      </c>
      <c r="EF453" s="78">
        <f t="shared" si="39"/>
        <v>1.1291935963868047</v>
      </c>
      <c r="FR453" s="335">
        <v>42331</v>
      </c>
      <c r="FS453" s="341">
        <v>177.7</v>
      </c>
      <c r="FT453" s="341"/>
    </row>
    <row r="454" spans="132:176" x14ac:dyDescent="0.6">
      <c r="EB454" s="335">
        <v>42313</v>
      </c>
      <c r="EC454" s="62">
        <v>177.73</v>
      </c>
      <c r="ED454" s="62">
        <v>2099.929932</v>
      </c>
      <c r="EE454" s="78">
        <f t="shared" si="38"/>
        <v>1.0513981404297359</v>
      </c>
      <c r="EF454" s="78">
        <f t="shared" si="39"/>
        <v>1.1295412179854476</v>
      </c>
      <c r="EG454" s="78"/>
      <c r="FR454" s="335">
        <v>42328</v>
      </c>
      <c r="FS454" s="341">
        <v>172.68</v>
      </c>
      <c r="FT454" s="341"/>
    </row>
    <row r="455" spans="132:176" x14ac:dyDescent="0.6">
      <c r="EB455" s="335">
        <v>42312</v>
      </c>
      <c r="EC455" s="62">
        <v>177.01</v>
      </c>
      <c r="ED455" s="62">
        <v>2102.3100589999999</v>
      </c>
      <c r="EE455" s="78">
        <f t="shared" si="38"/>
        <v>1.0473305736256004</v>
      </c>
      <c r="EF455" s="78">
        <f t="shared" si="39"/>
        <v>1.1306733663999076</v>
      </c>
      <c r="FR455" s="335">
        <v>42327</v>
      </c>
      <c r="FS455" s="341">
        <v>172.34</v>
      </c>
      <c r="FT455" s="341"/>
    </row>
    <row r="456" spans="132:176" x14ac:dyDescent="0.6">
      <c r="EB456" s="335">
        <v>42311</v>
      </c>
      <c r="EC456" s="62">
        <v>178.43</v>
      </c>
      <c r="ED456" s="62">
        <v>2109.790039</v>
      </c>
      <c r="EE456" s="78">
        <f t="shared" si="38"/>
        <v>1.0552888766015576</v>
      </c>
      <c r="EF456" s="78">
        <f t="shared" si="39"/>
        <v>1.1342187334088187</v>
      </c>
      <c r="FR456" s="335">
        <v>42326</v>
      </c>
      <c r="FS456" s="341">
        <v>170.48</v>
      </c>
      <c r="FT456" s="341"/>
    </row>
    <row r="457" spans="132:176" x14ac:dyDescent="0.6">
      <c r="EB457" s="335">
        <v>42310</v>
      </c>
      <c r="EC457" s="62">
        <v>180.41</v>
      </c>
      <c r="ED457" s="62">
        <v>2104.0500489999999</v>
      </c>
      <c r="EE457" s="78">
        <f t="shared" si="38"/>
        <v>1.0662638779872899</v>
      </c>
      <c r="EF457" s="78">
        <f t="shared" si="39"/>
        <v>1.1314906661735702</v>
      </c>
      <c r="FR457" s="335">
        <v>42325</v>
      </c>
      <c r="FS457" s="341">
        <v>166.26</v>
      </c>
      <c r="FT457" s="341"/>
    </row>
    <row r="458" spans="132:176" x14ac:dyDescent="0.6">
      <c r="EB458" s="335">
        <v>42307</v>
      </c>
      <c r="EC458" s="62">
        <v>177.37</v>
      </c>
      <c r="ED458" s="62">
        <v>2079.360107</v>
      </c>
      <c r="EE458" s="78">
        <f t="shared" si="38"/>
        <v>1.0491245646874083</v>
      </c>
      <c r="EF458" s="78">
        <f t="shared" si="39"/>
        <v>1.1196168488790654</v>
      </c>
      <c r="FR458" s="335">
        <v>42324</v>
      </c>
      <c r="FS458" s="341">
        <v>168.41</v>
      </c>
      <c r="FT458" s="341"/>
    </row>
    <row r="459" spans="132:176" x14ac:dyDescent="0.6">
      <c r="EB459" s="335">
        <v>42306</v>
      </c>
      <c r="EC459" s="62">
        <v>179.69</v>
      </c>
      <c r="ED459" s="62">
        <v>2089.4099120000001</v>
      </c>
      <c r="EE459" s="78">
        <f t="shared" si="38"/>
        <v>1.0620356894021949</v>
      </c>
      <c r="EF459" s="78">
        <f t="shared" si="39"/>
        <v>1.1244267260325533</v>
      </c>
      <c r="FR459" s="335">
        <v>42321</v>
      </c>
      <c r="FS459" s="341">
        <v>168.12</v>
      </c>
      <c r="FT459" s="341"/>
    </row>
    <row r="460" spans="132:176" x14ac:dyDescent="0.6">
      <c r="EB460" s="335">
        <v>42305</v>
      </c>
      <c r="EC460" s="62">
        <v>183.88</v>
      </c>
      <c r="ED460" s="62">
        <v>2090.3500979999999</v>
      </c>
      <c r="EE460" s="78">
        <f t="shared" si="38"/>
        <v>1.0848222893586883</v>
      </c>
      <c r="EF460" s="78">
        <f t="shared" si="39"/>
        <v>1.1248765004511541</v>
      </c>
      <c r="FR460" s="335">
        <v>42320</v>
      </c>
      <c r="FS460" s="341">
        <v>172.28</v>
      </c>
      <c r="FT460" s="341"/>
    </row>
    <row r="461" spans="132:176" x14ac:dyDescent="0.6">
      <c r="EB461" s="335">
        <v>42304</v>
      </c>
      <c r="EC461" s="62">
        <v>186.07</v>
      </c>
      <c r="ED461" s="62">
        <v>2065.889893</v>
      </c>
      <c r="EE461" s="78">
        <f t="shared" si="38"/>
        <v>1.0965920534259748</v>
      </c>
      <c r="EF461" s="78">
        <f t="shared" si="39"/>
        <v>1.1130364672127515</v>
      </c>
      <c r="FR461" s="335">
        <v>42319</v>
      </c>
      <c r="FS461" s="341">
        <v>174.39</v>
      </c>
      <c r="FT461" s="341"/>
    </row>
    <row r="462" spans="132:176" x14ac:dyDescent="0.6">
      <c r="EB462" s="335">
        <v>42303</v>
      </c>
      <c r="EC462" s="62">
        <v>189.15</v>
      </c>
      <c r="ED462" s="62">
        <v>2071.179932</v>
      </c>
      <c r="EE462" s="78">
        <f t="shared" si="38"/>
        <v>1.1128754264103788</v>
      </c>
      <c r="EF462" s="78">
        <f t="shared" si="39"/>
        <v>1.1155905857218527</v>
      </c>
      <c r="FR462" s="335">
        <v>42318</v>
      </c>
      <c r="FS462" s="341">
        <v>175.81</v>
      </c>
      <c r="FT462" s="341"/>
    </row>
    <row r="463" spans="132:176" x14ac:dyDescent="0.6">
      <c r="EB463" s="335">
        <v>42300</v>
      </c>
      <c r="EC463" s="62">
        <v>187.05</v>
      </c>
      <c r="ED463" s="62">
        <v>2075.1499020000001</v>
      </c>
      <c r="EE463" s="78">
        <f t="shared" si="38"/>
        <v>1.1016484817431775</v>
      </c>
      <c r="EF463" s="78">
        <f t="shared" si="39"/>
        <v>1.1175036860700125</v>
      </c>
      <c r="FR463" s="335">
        <v>42317</v>
      </c>
      <c r="FS463" s="341">
        <v>175.24</v>
      </c>
      <c r="FT463" s="341"/>
    </row>
    <row r="464" spans="132:176" x14ac:dyDescent="0.6">
      <c r="EB464" s="335">
        <v>42299</v>
      </c>
      <c r="EC464" s="62">
        <v>181.08</v>
      </c>
      <c r="ED464" s="62">
        <v>2052.51001</v>
      </c>
      <c r="EE464" s="78">
        <f t="shared" si="38"/>
        <v>1.0686796281977833</v>
      </c>
      <c r="EF464" s="78">
        <f t="shared" si="39"/>
        <v>1.1064733418136159</v>
      </c>
      <c r="FR464" s="335">
        <v>42314</v>
      </c>
      <c r="FS464" s="341">
        <v>176.95</v>
      </c>
      <c r="FT464" s="341"/>
    </row>
    <row r="465" spans="132:176" x14ac:dyDescent="0.6">
      <c r="EB465" s="335">
        <v>42298</v>
      </c>
      <c r="EC465" s="62">
        <v>183.31</v>
      </c>
      <c r="ED465" s="62">
        <v>2018.9399410000001</v>
      </c>
      <c r="EE465" s="78">
        <f t="shared" si="38"/>
        <v>1.0808448128576491</v>
      </c>
      <c r="EF465" s="78">
        <f t="shared" si="39"/>
        <v>1.0898457699288513</v>
      </c>
      <c r="FR465" s="335">
        <v>42313</v>
      </c>
      <c r="FS465" s="341">
        <v>177.73</v>
      </c>
      <c r="FT465" s="341"/>
    </row>
    <row r="466" spans="132:176" x14ac:dyDescent="0.6">
      <c r="EB466" s="335">
        <v>42297</v>
      </c>
      <c r="EC466" s="62">
        <v>190.18</v>
      </c>
      <c r="ED466" s="62">
        <v>2030.7700199999999</v>
      </c>
      <c r="EE466" s="78">
        <f t="shared" si="38"/>
        <v>1.1169684851680919</v>
      </c>
      <c r="EF466" s="78">
        <f t="shared" si="39"/>
        <v>1.0956711853542769</v>
      </c>
      <c r="FR466" s="335">
        <v>42312</v>
      </c>
      <c r="FS466" s="341">
        <v>177.01</v>
      </c>
      <c r="FT466" s="341"/>
    </row>
    <row r="467" spans="132:176" x14ac:dyDescent="0.6">
      <c r="EB467" s="335">
        <v>42296</v>
      </c>
      <c r="EC467" s="62">
        <v>190.9</v>
      </c>
      <c r="ED467" s="62">
        <v>2033.660034</v>
      </c>
      <c r="EE467" s="78">
        <f t="shared" si="38"/>
        <v>1.1207400933399096</v>
      </c>
      <c r="EF467" s="78">
        <f t="shared" si="39"/>
        <v>1.0970922753849028</v>
      </c>
      <c r="FR467" s="335">
        <v>42311</v>
      </c>
      <c r="FS467" s="341">
        <v>178.43</v>
      </c>
      <c r="FT467" s="341"/>
    </row>
    <row r="468" spans="132:176" x14ac:dyDescent="0.6">
      <c r="EB468" s="335">
        <v>42293</v>
      </c>
      <c r="EC468" s="62">
        <v>187.93</v>
      </c>
      <c r="ED468" s="62">
        <v>2033.1099850000001</v>
      </c>
      <c r="EE468" s="78">
        <f t="shared" si="38"/>
        <v>1.1049363366219829</v>
      </c>
      <c r="EF468" s="78">
        <f t="shared" si="39"/>
        <v>1.0968217297656013</v>
      </c>
      <c r="FR468" s="335">
        <v>42310</v>
      </c>
      <c r="FS468" s="341">
        <v>180.41</v>
      </c>
      <c r="FT468" s="341"/>
    </row>
    <row r="469" spans="132:176" x14ac:dyDescent="0.6">
      <c r="EB469" s="335">
        <v>42292</v>
      </c>
      <c r="EC469" s="62">
        <v>187.79</v>
      </c>
      <c r="ED469" s="62">
        <v>2023.8599850000001</v>
      </c>
      <c r="EE469" s="78">
        <f t="shared" si="38"/>
        <v>1.1041908230163595</v>
      </c>
      <c r="EF469" s="78">
        <f t="shared" si="39"/>
        <v>1.0922512554894375</v>
      </c>
      <c r="FR469" s="335">
        <v>42307</v>
      </c>
      <c r="FS469" s="341">
        <v>177.37</v>
      </c>
      <c r="FT469" s="341"/>
    </row>
    <row r="470" spans="132:176" x14ac:dyDescent="0.6">
      <c r="EB470" s="335">
        <v>42291</v>
      </c>
      <c r="EC470" s="62">
        <v>185.59</v>
      </c>
      <c r="ED470" s="62">
        <v>1994.23999</v>
      </c>
      <c r="EE470" s="78">
        <f t="shared" si="38"/>
        <v>1.092336736050467</v>
      </c>
      <c r="EF470" s="78">
        <f t="shared" si="39"/>
        <v>1.0773984819273146</v>
      </c>
      <c r="FR470" s="335">
        <v>42306</v>
      </c>
      <c r="FS470" s="341">
        <v>179.69</v>
      </c>
      <c r="FT470" s="341"/>
    </row>
    <row r="471" spans="132:176" x14ac:dyDescent="0.6">
      <c r="EB471" s="335">
        <v>42290</v>
      </c>
      <c r="EC471" s="62">
        <v>188.11</v>
      </c>
      <c r="ED471" s="62">
        <v>2003.6899410000001</v>
      </c>
      <c r="EE471" s="78">
        <f t="shared" si="38"/>
        <v>1.1057331530405261</v>
      </c>
      <c r="EF471" s="78">
        <f t="shared" si="39"/>
        <v>1.0821147560407054</v>
      </c>
      <c r="FR471" s="335">
        <v>42305</v>
      </c>
      <c r="FS471" s="341">
        <v>183.88</v>
      </c>
      <c r="FT471" s="341"/>
    </row>
    <row r="472" spans="132:176" x14ac:dyDescent="0.6">
      <c r="EB472" s="335">
        <v>42289</v>
      </c>
      <c r="EC472" s="62">
        <v>190.75</v>
      </c>
      <c r="ED472" s="62">
        <v>2017.459961</v>
      </c>
      <c r="EE472" s="78">
        <f t="shared" si="38"/>
        <v>1.1195732578898052</v>
      </c>
      <c r="EF472" s="78">
        <f t="shared" si="39"/>
        <v>1.0889401802207097</v>
      </c>
      <c r="FR472" s="335">
        <v>42304</v>
      </c>
      <c r="FS472" s="341">
        <v>186.07</v>
      </c>
      <c r="FT472" s="341"/>
    </row>
    <row r="473" spans="132:176" x14ac:dyDescent="0.6">
      <c r="EB473" s="335">
        <v>42286</v>
      </c>
      <c r="EC473" s="62">
        <v>191.92</v>
      </c>
      <c r="ED473" s="62">
        <v>2014.8900149999999</v>
      </c>
      <c r="EE473" s="78">
        <f t="shared" si="38"/>
        <v>1.1256695480106889</v>
      </c>
      <c r="EF473" s="78">
        <f t="shared" si="39"/>
        <v>1.087664703157015</v>
      </c>
      <c r="FR473" s="335">
        <v>42303</v>
      </c>
      <c r="FS473" s="341">
        <v>189.15</v>
      </c>
      <c r="FT473" s="341"/>
    </row>
    <row r="474" spans="132:176" x14ac:dyDescent="0.6">
      <c r="EB474" s="335">
        <v>42285</v>
      </c>
      <c r="EC474" s="62">
        <v>196.58</v>
      </c>
      <c r="ED474" s="62">
        <v>2013.4300539999999</v>
      </c>
      <c r="EE474" s="78">
        <f t="shared" si="38"/>
        <v>1.1493749096954993</v>
      </c>
      <c r="EF474" s="78">
        <f t="shared" si="39"/>
        <v>1.0869395917993596</v>
      </c>
      <c r="FR474" s="335">
        <v>42300</v>
      </c>
      <c r="FS474" s="341">
        <v>187.05</v>
      </c>
      <c r="FT474" s="341"/>
    </row>
    <row r="475" spans="132:176" x14ac:dyDescent="0.6">
      <c r="EB475" s="335">
        <v>42284</v>
      </c>
      <c r="EC475" s="62">
        <v>197.68</v>
      </c>
      <c r="ED475" s="62">
        <v>1995.829956</v>
      </c>
      <c r="EE475" s="78">
        <f t="shared" si="38"/>
        <v>1.1549394584611812</v>
      </c>
      <c r="EF475" s="78">
        <f t="shared" si="39"/>
        <v>1.0781211561670607</v>
      </c>
      <c r="FR475" s="335">
        <v>42299</v>
      </c>
      <c r="FS475" s="341">
        <v>181.08</v>
      </c>
      <c r="FT475" s="341"/>
    </row>
    <row r="476" spans="132:176" x14ac:dyDescent="0.6">
      <c r="EB476" s="335">
        <v>42283</v>
      </c>
      <c r="EC476" s="62">
        <v>195.85</v>
      </c>
      <c r="ED476" s="62">
        <v>1979.920044</v>
      </c>
      <c r="EE476" s="78">
        <f t="shared" si="38"/>
        <v>1.145595572834426</v>
      </c>
      <c r="EF476" s="78">
        <f t="shared" si="39"/>
        <v>1.0700855225826573</v>
      </c>
      <c r="FR476" s="335">
        <v>42298</v>
      </c>
      <c r="FS476" s="341">
        <v>183.31</v>
      </c>
      <c r="FT476" s="341"/>
    </row>
    <row r="477" spans="132:176" x14ac:dyDescent="0.6">
      <c r="EB477" s="335">
        <v>42282</v>
      </c>
      <c r="EC477" s="62">
        <v>196.22</v>
      </c>
      <c r="ED477" s="62">
        <v>1987.0500489999999</v>
      </c>
      <c r="EE477" s="78">
        <f t="shared" ref="EE477:EE540" si="40">EE478+(EC477-EC478)/EC478</f>
        <v>1.1474812114033792</v>
      </c>
      <c r="EF477" s="78">
        <f t="shared" ref="EF477:EF540" si="41">EF478+(ED477-ED478)/ED478</f>
        <v>1.073673758824411</v>
      </c>
      <c r="FR477" s="335">
        <v>42297</v>
      </c>
      <c r="FS477" s="341">
        <v>190.18</v>
      </c>
      <c r="FT477" s="341"/>
    </row>
    <row r="478" spans="132:176" x14ac:dyDescent="0.6">
      <c r="EB478" s="335">
        <v>42279</v>
      </c>
      <c r="EC478" s="62">
        <v>194.73</v>
      </c>
      <c r="ED478" s="62">
        <v>1951.3599850000001</v>
      </c>
      <c r="EE478" s="78">
        <f t="shared" si="40"/>
        <v>1.1398295912113183</v>
      </c>
      <c r="EF478" s="78">
        <f t="shared" si="41"/>
        <v>1.055383917752365</v>
      </c>
      <c r="FR478" s="335">
        <v>42296</v>
      </c>
      <c r="FS478" s="341">
        <v>190.9</v>
      </c>
      <c r="FT478" s="341"/>
    </row>
    <row r="479" spans="132:176" x14ac:dyDescent="0.6">
      <c r="EB479" s="335">
        <v>42278</v>
      </c>
      <c r="EC479" s="62">
        <v>193.02</v>
      </c>
      <c r="ED479" s="62">
        <v>1923.8199460000001</v>
      </c>
      <c r="EE479" s="78">
        <f t="shared" si="40"/>
        <v>1.1309704056346943</v>
      </c>
      <c r="EF479" s="78">
        <f t="shared" si="41"/>
        <v>1.0410686284981594</v>
      </c>
      <c r="FR479" s="335">
        <v>42293</v>
      </c>
      <c r="FS479" s="341">
        <v>187.93</v>
      </c>
      <c r="FT479" s="341"/>
    </row>
    <row r="480" spans="132:176" x14ac:dyDescent="0.6">
      <c r="EB480" s="335">
        <v>42277</v>
      </c>
      <c r="EC480" s="62">
        <v>193.41</v>
      </c>
      <c r="ED480" s="62">
        <v>1920.030029</v>
      </c>
      <c r="EE480" s="78">
        <f t="shared" si="40"/>
        <v>1.1329868473905498</v>
      </c>
      <c r="EF480" s="78">
        <f t="shared" si="41"/>
        <v>1.0390947442657477</v>
      </c>
      <c r="FR480" s="335">
        <v>42292</v>
      </c>
      <c r="FS480" s="341">
        <v>187.79</v>
      </c>
      <c r="FT480" s="341"/>
    </row>
    <row r="481" spans="132:176" x14ac:dyDescent="0.6">
      <c r="EB481" s="335">
        <v>42276</v>
      </c>
      <c r="EC481" s="62">
        <v>191.93</v>
      </c>
      <c r="ED481" s="62">
        <v>1884.089966</v>
      </c>
      <c r="EE481" s="78">
        <f t="shared" si="40"/>
        <v>1.1252757027023823</v>
      </c>
      <c r="EF481" s="78">
        <f t="shared" si="41"/>
        <v>1.0200191886136456</v>
      </c>
      <c r="FR481" s="335">
        <v>42291</v>
      </c>
      <c r="FS481" s="341">
        <v>185.59</v>
      </c>
      <c r="FT481" s="341"/>
    </row>
    <row r="482" spans="132:176" x14ac:dyDescent="0.6">
      <c r="EB482" s="335">
        <v>42275</v>
      </c>
      <c r="EC482" s="62">
        <v>189.27</v>
      </c>
      <c r="ED482" s="62">
        <v>1881.7700199999999</v>
      </c>
      <c r="EE482" s="78">
        <f t="shared" si="40"/>
        <v>1.1112217057667877</v>
      </c>
      <c r="EF482" s="78">
        <f t="shared" si="41"/>
        <v>1.0187863355150506</v>
      </c>
      <c r="FR482" s="335">
        <v>42290</v>
      </c>
      <c r="FS482" s="341">
        <v>188.11</v>
      </c>
      <c r="FT482" s="341"/>
    </row>
    <row r="483" spans="132:176" x14ac:dyDescent="0.6">
      <c r="EB483" s="335">
        <v>42272</v>
      </c>
      <c r="EC483" s="62">
        <v>190.71</v>
      </c>
      <c r="ED483" s="62">
        <v>1931.339966</v>
      </c>
      <c r="EE483" s="78">
        <f t="shared" si="40"/>
        <v>1.1187724372438996</v>
      </c>
      <c r="EF483" s="78">
        <f t="shared" si="41"/>
        <v>1.0444524258319534</v>
      </c>
      <c r="FR483" s="335">
        <v>42289</v>
      </c>
      <c r="FS483" s="341">
        <v>190.75</v>
      </c>
      <c r="FT483" s="341"/>
    </row>
    <row r="484" spans="132:176" x14ac:dyDescent="0.6">
      <c r="EB484" s="335">
        <v>42271</v>
      </c>
      <c r="EC484" s="62">
        <v>189.95</v>
      </c>
      <c r="ED484" s="62">
        <v>1932.23999</v>
      </c>
      <c r="EE484" s="78">
        <f t="shared" si="40"/>
        <v>1.1147713843352394</v>
      </c>
      <c r="EF484" s="78">
        <f t="shared" si="41"/>
        <v>1.044918218903548</v>
      </c>
      <c r="FR484" s="335">
        <v>42286</v>
      </c>
      <c r="FS484" s="341">
        <v>191.92</v>
      </c>
      <c r="FT484" s="341"/>
    </row>
    <row r="485" spans="132:176" x14ac:dyDescent="0.6">
      <c r="EB485" s="335">
        <v>42270</v>
      </c>
      <c r="EC485" s="62">
        <v>188.02</v>
      </c>
      <c r="ED485" s="62">
        <v>1938.76001</v>
      </c>
      <c r="EE485" s="78">
        <f t="shared" si="40"/>
        <v>1.1045065188953926</v>
      </c>
      <c r="EF485" s="78">
        <f t="shared" si="41"/>
        <v>1.0482812034742892</v>
      </c>
      <c r="FR485" s="335">
        <v>42285</v>
      </c>
      <c r="FS485" s="341">
        <v>196.58</v>
      </c>
      <c r="FT485" s="341"/>
    </row>
    <row r="486" spans="132:176" x14ac:dyDescent="0.6">
      <c r="EB486" s="335">
        <v>42269</v>
      </c>
      <c r="EC486" s="62">
        <v>186.57</v>
      </c>
      <c r="ED486" s="62">
        <v>1942.73999</v>
      </c>
      <c r="EE486" s="78">
        <f t="shared" si="40"/>
        <v>1.0967346370279969</v>
      </c>
      <c r="EF486" s="78">
        <f t="shared" si="41"/>
        <v>1.0503298461235817</v>
      </c>
      <c r="FR486" s="335">
        <v>42284</v>
      </c>
      <c r="FS486" s="341">
        <v>197.68</v>
      </c>
      <c r="FT486" s="341"/>
    </row>
    <row r="487" spans="132:176" x14ac:dyDescent="0.6">
      <c r="EB487" s="335">
        <v>42268</v>
      </c>
      <c r="EC487" s="62">
        <v>186.04</v>
      </c>
      <c r="ED487" s="62">
        <v>1966.969971</v>
      </c>
      <c r="EE487" s="78">
        <f t="shared" si="40"/>
        <v>1.093885787318257</v>
      </c>
      <c r="EF487" s="78">
        <f t="shared" si="41"/>
        <v>1.0626482756660935</v>
      </c>
      <c r="FR487" s="335">
        <v>42283</v>
      </c>
      <c r="FS487" s="341">
        <v>195.85</v>
      </c>
      <c r="FT487" s="341"/>
    </row>
    <row r="488" spans="132:176" x14ac:dyDescent="0.6">
      <c r="EB488" s="335">
        <v>42265</v>
      </c>
      <c r="EC488" s="62">
        <v>184.49</v>
      </c>
      <c r="ED488" s="62">
        <v>1958.030029</v>
      </c>
      <c r="EE488" s="78">
        <f t="shared" si="40"/>
        <v>1.0854842479394291</v>
      </c>
      <c r="EF488" s="78">
        <f t="shared" si="41"/>
        <v>1.0580824917569644</v>
      </c>
      <c r="FR488" s="335">
        <v>42282</v>
      </c>
      <c r="FS488" s="341">
        <v>196.22</v>
      </c>
      <c r="FT488" s="341"/>
    </row>
    <row r="489" spans="132:176" x14ac:dyDescent="0.6">
      <c r="EB489" s="335">
        <v>42264</v>
      </c>
      <c r="EC489" s="62">
        <v>185.28</v>
      </c>
      <c r="ED489" s="62">
        <v>1990.1999510000001</v>
      </c>
      <c r="EE489" s="78">
        <f t="shared" si="40"/>
        <v>1.0897480648651632</v>
      </c>
      <c r="EF489" s="78">
        <f t="shared" si="41"/>
        <v>1.0742466575654481</v>
      </c>
      <c r="FR489" s="335">
        <v>42279</v>
      </c>
      <c r="FS489" s="341">
        <v>194.73</v>
      </c>
      <c r="FT489" s="341"/>
    </row>
    <row r="490" spans="132:176" x14ac:dyDescent="0.6">
      <c r="EB490" s="335">
        <v>42263</v>
      </c>
      <c r="EC490" s="62">
        <v>183.75</v>
      </c>
      <c r="ED490" s="62">
        <v>1995.3100589999999</v>
      </c>
      <c r="EE490" s="78">
        <f t="shared" si="40"/>
        <v>1.0814215342529183</v>
      </c>
      <c r="EF490" s="78">
        <f t="shared" si="41"/>
        <v>1.0768077171746804</v>
      </c>
      <c r="FR490" s="335">
        <v>42278</v>
      </c>
      <c r="FS490" s="341">
        <v>193.02</v>
      </c>
      <c r="FT490" s="341">
        <f>FU15</f>
        <v>214</v>
      </c>
    </row>
    <row r="491" spans="132:176" x14ac:dyDescent="0.6">
      <c r="EB491" s="335">
        <v>42262</v>
      </c>
      <c r="EC491" s="62">
        <v>184.08</v>
      </c>
      <c r="ED491" s="62">
        <v>1978.089966</v>
      </c>
      <c r="EE491" s="78">
        <f t="shared" si="40"/>
        <v>1.0832142330795156</v>
      </c>
      <c r="EF491" s="78">
        <f t="shared" si="41"/>
        <v>1.0681023027112415</v>
      </c>
      <c r="FR491" s="335">
        <v>42277</v>
      </c>
      <c r="FS491" s="341">
        <v>193.41</v>
      </c>
      <c r="FT491" s="341"/>
    </row>
    <row r="492" spans="132:176" x14ac:dyDescent="0.6">
      <c r="EB492" s="335">
        <v>42261</v>
      </c>
      <c r="EC492" s="62">
        <v>183.41</v>
      </c>
      <c r="ED492" s="62">
        <v>1953.030029</v>
      </c>
      <c r="EE492" s="78">
        <f t="shared" si="40"/>
        <v>1.0795612152506076</v>
      </c>
      <c r="EF492" s="78">
        <f t="shared" si="41"/>
        <v>1.0552709910427613</v>
      </c>
      <c r="FR492" s="335">
        <v>42276</v>
      </c>
      <c r="FS492" s="341">
        <v>191.93</v>
      </c>
      <c r="FT492" s="341"/>
    </row>
    <row r="493" spans="132:176" x14ac:dyDescent="0.6">
      <c r="EB493" s="335">
        <v>42258</v>
      </c>
      <c r="EC493" s="62">
        <v>182.62</v>
      </c>
      <c r="ED493" s="62">
        <v>1961.0500489999999</v>
      </c>
      <c r="EE493" s="78">
        <f t="shared" si="40"/>
        <v>1.0752352925696307</v>
      </c>
      <c r="EF493" s="78">
        <f t="shared" si="41"/>
        <v>1.0593606469921797</v>
      </c>
      <c r="FR493" s="335">
        <v>42275</v>
      </c>
      <c r="FS493" s="341">
        <v>189.27</v>
      </c>
      <c r="FT493" s="341"/>
    </row>
    <row r="494" spans="132:176" x14ac:dyDescent="0.6">
      <c r="EB494" s="335">
        <v>42257</v>
      </c>
      <c r="EC494" s="62">
        <v>179.86</v>
      </c>
      <c r="ED494" s="62">
        <v>1952.290039</v>
      </c>
      <c r="EE494" s="78">
        <f t="shared" si="40"/>
        <v>1.0598900240274312</v>
      </c>
      <c r="EF494" s="78">
        <f t="shared" si="41"/>
        <v>1.054873603661012</v>
      </c>
      <c r="FR494" s="335">
        <v>42272</v>
      </c>
      <c r="FS494" s="341">
        <v>190.71</v>
      </c>
      <c r="FT494" s="341"/>
    </row>
    <row r="495" spans="132:176" x14ac:dyDescent="0.6">
      <c r="EB495" s="335">
        <v>42256</v>
      </c>
      <c r="EC495" s="62">
        <v>179.19</v>
      </c>
      <c r="ED495" s="62">
        <v>1942.040039</v>
      </c>
      <c r="EE495" s="78">
        <f t="shared" si="40"/>
        <v>1.056150976089488</v>
      </c>
      <c r="EF495" s="78">
        <f t="shared" si="41"/>
        <v>1.0495956486270479</v>
      </c>
      <c r="FR495" s="335">
        <v>42271</v>
      </c>
      <c r="FS495" s="341">
        <v>189.95</v>
      </c>
      <c r="FT495" s="341"/>
    </row>
    <row r="496" spans="132:176" x14ac:dyDescent="0.6">
      <c r="EB496" s="335">
        <v>42255</v>
      </c>
      <c r="EC496" s="62">
        <v>181.45</v>
      </c>
      <c r="ED496" s="62">
        <v>1969.410034</v>
      </c>
      <c r="EE496" s="78">
        <f t="shared" si="40"/>
        <v>1.0686061979136821</v>
      </c>
      <c r="EF496" s="78">
        <f t="shared" si="41"/>
        <v>1.063493209077885</v>
      </c>
      <c r="FR496" s="335">
        <v>42270</v>
      </c>
      <c r="FS496" s="341">
        <v>188.02</v>
      </c>
      <c r="FT496" s="341"/>
    </row>
    <row r="497" spans="132:176" x14ac:dyDescent="0.6">
      <c r="EB497" s="335">
        <v>42251</v>
      </c>
      <c r="EC497" s="62">
        <v>178.3</v>
      </c>
      <c r="ED497" s="62">
        <v>1921.219971</v>
      </c>
      <c r="EE497" s="78">
        <f t="shared" si="40"/>
        <v>1.0509393442961836</v>
      </c>
      <c r="EF497" s="78">
        <f t="shared" si="41"/>
        <v>1.0384101557433327</v>
      </c>
      <c r="FR497" s="335">
        <v>42269</v>
      </c>
      <c r="FS497" s="341">
        <v>186.57</v>
      </c>
      <c r="FT497" s="341"/>
    </row>
    <row r="498" spans="132:176" x14ac:dyDescent="0.6">
      <c r="EB498" s="335">
        <v>42250</v>
      </c>
      <c r="EC498" s="62">
        <v>178.66</v>
      </c>
      <c r="ED498" s="62">
        <v>1951.130005</v>
      </c>
      <c r="EE498" s="78">
        <f t="shared" si="40"/>
        <v>1.052954344855906</v>
      </c>
      <c r="EF498" s="78">
        <f t="shared" si="41"/>
        <v>1.0537397513742501</v>
      </c>
      <c r="FR498" s="335">
        <v>42268</v>
      </c>
      <c r="FS498" s="341">
        <v>186.04</v>
      </c>
      <c r="FT498" s="341"/>
    </row>
    <row r="499" spans="132:176" x14ac:dyDescent="0.6">
      <c r="EB499" s="335">
        <v>42249</v>
      </c>
      <c r="EC499" s="62">
        <v>176.59</v>
      </c>
      <c r="ED499" s="62">
        <v>1948.8599850000001</v>
      </c>
      <c r="EE499" s="78">
        <f t="shared" si="40"/>
        <v>1.0412322767886315</v>
      </c>
      <c r="EF499" s="78">
        <f t="shared" si="41"/>
        <v>1.0525749575884102</v>
      </c>
      <c r="FR499" s="335">
        <v>42265</v>
      </c>
      <c r="FS499" s="341">
        <v>184.49</v>
      </c>
      <c r="FT499" s="341"/>
    </row>
    <row r="500" spans="132:176" x14ac:dyDescent="0.6">
      <c r="EB500" s="335">
        <v>42248</v>
      </c>
      <c r="EC500" s="62">
        <v>175.69</v>
      </c>
      <c r="ED500" s="62">
        <v>1913.849976</v>
      </c>
      <c r="EE500" s="78">
        <f t="shared" si="40"/>
        <v>1.0361096175593072</v>
      </c>
      <c r="EF500" s="78">
        <f t="shared" si="41"/>
        <v>1.034281982987981</v>
      </c>
      <c r="FR500" s="335">
        <v>42264</v>
      </c>
      <c r="FS500" s="341">
        <v>185.28</v>
      </c>
      <c r="FT500" s="341"/>
    </row>
    <row r="501" spans="132:176" x14ac:dyDescent="0.6">
      <c r="EB501" s="335">
        <v>42247</v>
      </c>
      <c r="EC501" s="62">
        <v>178.3</v>
      </c>
      <c r="ED501" s="62">
        <v>1972.1800539999999</v>
      </c>
      <c r="EE501" s="78">
        <f t="shared" si="40"/>
        <v>1.0507478676995203</v>
      </c>
      <c r="EF501" s="78">
        <f t="shared" si="41"/>
        <v>1.0638584295612512</v>
      </c>
      <c r="FR501" s="335">
        <v>42263</v>
      </c>
      <c r="FS501" s="341">
        <v>183.75</v>
      </c>
      <c r="FT501" s="341"/>
    </row>
    <row r="502" spans="132:176" x14ac:dyDescent="0.6">
      <c r="EB502" s="335">
        <v>42244</v>
      </c>
      <c r="EC502" s="62">
        <v>180.56</v>
      </c>
      <c r="ED502" s="62">
        <v>1988.869995</v>
      </c>
      <c r="EE502" s="78">
        <f t="shared" si="40"/>
        <v>1.0632644826751516</v>
      </c>
      <c r="EF502" s="78">
        <f t="shared" si="41"/>
        <v>1.0722500997267013</v>
      </c>
      <c r="FR502" s="335">
        <v>42262</v>
      </c>
      <c r="FS502" s="341">
        <v>184.08</v>
      </c>
      <c r="FT502" s="341"/>
    </row>
    <row r="503" spans="132:176" x14ac:dyDescent="0.6">
      <c r="EB503" s="335">
        <v>42243</v>
      </c>
      <c r="EC503" s="62">
        <v>180.5</v>
      </c>
      <c r="ED503" s="62">
        <v>1987.660034</v>
      </c>
      <c r="EE503" s="78">
        <f t="shared" si="40"/>
        <v>1.0629320727028524</v>
      </c>
      <c r="EF503" s="78">
        <f t="shared" si="41"/>
        <v>1.0716413633335038</v>
      </c>
      <c r="FR503" s="335">
        <v>42261</v>
      </c>
      <c r="FS503" s="341">
        <v>183.41</v>
      </c>
      <c r="FT503" s="341"/>
    </row>
    <row r="504" spans="132:176" x14ac:dyDescent="0.6">
      <c r="EB504" s="335">
        <v>42242</v>
      </c>
      <c r="EC504" s="62">
        <v>177.2</v>
      </c>
      <c r="ED504" s="62">
        <v>1940.51001</v>
      </c>
      <c r="EE504" s="78">
        <f t="shared" si="40"/>
        <v>1.0443090478721526</v>
      </c>
      <c r="EF504" s="78">
        <f t="shared" si="41"/>
        <v>1.0473436149286914</v>
      </c>
      <c r="FR504" s="335">
        <v>42258</v>
      </c>
      <c r="FS504" s="341">
        <v>182.62</v>
      </c>
      <c r="FT504" s="341"/>
    </row>
    <row r="505" spans="132:176" x14ac:dyDescent="0.6">
      <c r="EB505" s="335">
        <v>42241</v>
      </c>
      <c r="EC505" s="62">
        <v>175.41</v>
      </c>
      <c r="ED505" s="62">
        <v>1867.6099850000001</v>
      </c>
      <c r="EE505" s="78">
        <f t="shared" si="40"/>
        <v>1.034104384512025</v>
      </c>
      <c r="EF505" s="78">
        <f t="shared" si="41"/>
        <v>1.0083097558331051</v>
      </c>
      <c r="FR505" s="335">
        <v>42257</v>
      </c>
      <c r="FS505" s="341">
        <v>179.86</v>
      </c>
      <c r="FT505" s="341"/>
    </row>
    <row r="506" spans="132:176" x14ac:dyDescent="0.6">
      <c r="EB506" s="335">
        <v>42240</v>
      </c>
      <c r="EC506" s="62">
        <v>177.86</v>
      </c>
      <c r="ED506" s="62">
        <v>1893.209961</v>
      </c>
      <c r="EE506" s="78">
        <f t="shared" si="40"/>
        <v>1.0478792636304328</v>
      </c>
      <c r="EF506" s="78">
        <f t="shared" si="41"/>
        <v>1.0218317510303403</v>
      </c>
      <c r="FR506" s="335">
        <v>42256</v>
      </c>
      <c r="FS506" s="341">
        <v>179.19</v>
      </c>
      <c r="FT506" s="341"/>
    </row>
    <row r="507" spans="132:176" x14ac:dyDescent="0.6">
      <c r="EB507" s="335">
        <v>42237</v>
      </c>
      <c r="EC507" s="62">
        <v>185.52</v>
      </c>
      <c r="ED507" s="62">
        <v>1970.8900149999999</v>
      </c>
      <c r="EE507" s="78">
        <f t="shared" si="40"/>
        <v>1.0891686124876989</v>
      </c>
      <c r="EF507" s="78">
        <f t="shared" si="41"/>
        <v>1.0612454440364414</v>
      </c>
      <c r="FR507" s="335">
        <v>42255</v>
      </c>
      <c r="FS507" s="341">
        <v>181.45</v>
      </c>
      <c r="FT507" s="341"/>
    </row>
    <row r="508" spans="132:176" x14ac:dyDescent="0.6">
      <c r="EB508" s="335">
        <v>42236</v>
      </c>
      <c r="EC508" s="62">
        <v>187.85</v>
      </c>
      <c r="ED508" s="62">
        <v>2035.7299800000001</v>
      </c>
      <c r="EE508" s="78">
        <f t="shared" si="40"/>
        <v>1.1015721259292746</v>
      </c>
      <c r="EF508" s="78">
        <f t="shared" si="41"/>
        <v>1.0930964093594555</v>
      </c>
      <c r="FR508" s="335">
        <v>42251</v>
      </c>
      <c r="FS508" s="341">
        <v>178.3</v>
      </c>
      <c r="FT508" s="341"/>
    </row>
    <row r="509" spans="132:176" x14ac:dyDescent="0.6">
      <c r="EB509" s="335">
        <v>42235</v>
      </c>
      <c r="EC509" s="62">
        <v>191</v>
      </c>
      <c r="ED509" s="62">
        <v>2079.610107</v>
      </c>
      <c r="EE509" s="78">
        <f t="shared" si="40"/>
        <v>1.1180642725261332</v>
      </c>
      <c r="EF509" s="78">
        <f t="shared" si="41"/>
        <v>1.1141965794597539</v>
      </c>
      <c r="FR509" s="335">
        <v>42250</v>
      </c>
      <c r="FS509" s="341">
        <v>178.66</v>
      </c>
      <c r="FT509" s="341"/>
    </row>
    <row r="510" spans="132:176" x14ac:dyDescent="0.6">
      <c r="EB510" s="335">
        <v>42234</v>
      </c>
      <c r="EC510" s="62">
        <v>191.5</v>
      </c>
      <c r="ED510" s="62">
        <v>2096.919922</v>
      </c>
      <c r="EE510" s="78">
        <f t="shared" si="40"/>
        <v>1.1206752385835743</v>
      </c>
      <c r="EF510" s="78">
        <f t="shared" si="41"/>
        <v>1.1224514559661922</v>
      </c>
      <c r="EG510" s="78"/>
      <c r="EH510" s="336"/>
      <c r="FR510" s="335">
        <v>42249</v>
      </c>
      <c r="FS510" s="341">
        <v>176.59</v>
      </c>
      <c r="FT510" s="341"/>
    </row>
    <row r="511" spans="132:176" x14ac:dyDescent="0.6">
      <c r="EB511" s="335">
        <v>42233</v>
      </c>
      <c r="EC511" s="62">
        <v>198.53</v>
      </c>
      <c r="ED511" s="62">
        <v>2102.4399410000001</v>
      </c>
      <c r="EE511" s="78">
        <f t="shared" si="40"/>
        <v>1.1560855040346396</v>
      </c>
      <c r="EF511" s="78">
        <f t="shared" si="41"/>
        <v>1.1250769859004146</v>
      </c>
      <c r="FR511" s="335">
        <v>42248</v>
      </c>
      <c r="FS511" s="341">
        <v>175.69</v>
      </c>
      <c r="FT511" s="341"/>
    </row>
    <row r="512" spans="132:176" x14ac:dyDescent="0.6">
      <c r="EB512" s="335">
        <v>42230</v>
      </c>
      <c r="EC512" s="62">
        <v>195.6</v>
      </c>
      <c r="ED512" s="62">
        <v>2091.540039</v>
      </c>
      <c r="EE512" s="78">
        <f t="shared" si="40"/>
        <v>1.14110595393239</v>
      </c>
      <c r="EF512" s="78">
        <f t="shared" si="41"/>
        <v>1.1198655618794757</v>
      </c>
      <c r="FR512" s="335">
        <v>42247</v>
      </c>
      <c r="FS512" s="341">
        <v>178.3</v>
      </c>
      <c r="FT512" s="341"/>
    </row>
    <row r="513" spans="132:176" x14ac:dyDescent="0.6">
      <c r="EB513" s="335">
        <v>42229</v>
      </c>
      <c r="EC513" s="62">
        <v>196.12</v>
      </c>
      <c r="ED513" s="62">
        <v>2083.389893</v>
      </c>
      <c r="EE513" s="78">
        <f t="shared" si="40"/>
        <v>1.1437573918275563</v>
      </c>
      <c r="EF513" s="78">
        <f t="shared" si="41"/>
        <v>1.1159535980039748</v>
      </c>
      <c r="FR513" s="335">
        <v>42244</v>
      </c>
      <c r="FS513" s="341">
        <v>180.56</v>
      </c>
      <c r="FT513" s="341"/>
    </row>
    <row r="514" spans="132:176" x14ac:dyDescent="0.6">
      <c r="EB514" s="335">
        <v>42228</v>
      </c>
      <c r="EC514" s="62">
        <v>197.73</v>
      </c>
      <c r="ED514" s="62">
        <v>2086.0500489999999</v>
      </c>
      <c r="EE514" s="78">
        <f t="shared" si="40"/>
        <v>1.1518998082539964</v>
      </c>
      <c r="EF514" s="78">
        <f t="shared" si="41"/>
        <v>1.1172288099775682</v>
      </c>
      <c r="FR514" s="335">
        <v>42243</v>
      </c>
      <c r="FS514" s="341">
        <v>180.5</v>
      </c>
      <c r="FT514" s="341"/>
    </row>
    <row r="515" spans="132:176" x14ac:dyDescent="0.6">
      <c r="EB515" s="335">
        <v>42227</v>
      </c>
      <c r="EC515" s="62">
        <v>201.66</v>
      </c>
      <c r="ED515" s="62">
        <v>2084.070068</v>
      </c>
      <c r="EE515" s="78">
        <f t="shared" si="40"/>
        <v>1.1713880557993699</v>
      </c>
      <c r="EF515" s="78">
        <f t="shared" si="41"/>
        <v>1.116278755067994</v>
      </c>
      <c r="FR515" s="335">
        <v>42242</v>
      </c>
      <c r="FS515" s="341">
        <v>177.2</v>
      </c>
      <c r="FT515" s="341"/>
    </row>
    <row r="516" spans="132:176" x14ac:dyDescent="0.6">
      <c r="EB516" s="335">
        <v>42226</v>
      </c>
      <c r="EC516" s="62">
        <v>202.14</v>
      </c>
      <c r="ED516" s="62">
        <v>2104.179932</v>
      </c>
      <c r="EE516" s="78">
        <f t="shared" si="40"/>
        <v>1.1737626476663927</v>
      </c>
      <c r="EF516" s="78">
        <f t="shared" si="41"/>
        <v>1.1258358579060987</v>
      </c>
      <c r="FR516" s="335">
        <v>42241</v>
      </c>
      <c r="FS516" s="341">
        <v>175.41</v>
      </c>
      <c r="FT516" s="341"/>
    </row>
    <row r="517" spans="132:176" x14ac:dyDescent="0.6">
      <c r="EB517" s="335">
        <v>42223</v>
      </c>
      <c r="EC517" s="62">
        <v>202.05</v>
      </c>
      <c r="ED517" s="62">
        <v>2077.570068</v>
      </c>
      <c r="EE517" s="78">
        <f t="shared" si="40"/>
        <v>1.1733172133679519</v>
      </c>
      <c r="EF517" s="78">
        <f t="shared" si="41"/>
        <v>1.1130276910914814</v>
      </c>
      <c r="FR517" s="335">
        <v>42240</v>
      </c>
      <c r="FS517" s="341">
        <v>177.86</v>
      </c>
      <c r="FT517" s="341"/>
    </row>
    <row r="518" spans="132:176" x14ac:dyDescent="0.6">
      <c r="EB518" s="335">
        <v>42222</v>
      </c>
      <c r="EC518" s="62">
        <v>200.7</v>
      </c>
      <c r="ED518" s="62">
        <v>2083.5600589999999</v>
      </c>
      <c r="EE518" s="78">
        <f t="shared" si="40"/>
        <v>1.1665907559688486</v>
      </c>
      <c r="EF518" s="78">
        <f t="shared" si="41"/>
        <v>1.1159025739028148</v>
      </c>
      <c r="FR518" s="335">
        <v>42237</v>
      </c>
      <c r="FS518" s="341">
        <v>185.52</v>
      </c>
      <c r="FT518" s="341"/>
    </row>
    <row r="519" spans="132:176" x14ac:dyDescent="0.6">
      <c r="EB519" s="335">
        <v>42221</v>
      </c>
      <c r="EC519" s="62">
        <v>202.52</v>
      </c>
      <c r="ED519" s="62">
        <v>2099.8400879999999</v>
      </c>
      <c r="EE519" s="78">
        <f t="shared" si="40"/>
        <v>1.1755775227079364</v>
      </c>
      <c r="EF519" s="78">
        <f t="shared" si="41"/>
        <v>1.1236555590434623</v>
      </c>
      <c r="FR519" s="335">
        <v>42236</v>
      </c>
      <c r="FS519" s="341">
        <v>187.85</v>
      </c>
      <c r="FT519" s="341"/>
    </row>
    <row r="520" spans="132:176" x14ac:dyDescent="0.6">
      <c r="EB520" s="335">
        <v>42220</v>
      </c>
      <c r="EC520" s="62">
        <v>202</v>
      </c>
      <c r="ED520" s="62">
        <v>2093.320068</v>
      </c>
      <c r="EE520" s="78">
        <f t="shared" si="40"/>
        <v>1.1730032652821938</v>
      </c>
      <c r="EF520" s="78">
        <f t="shared" si="41"/>
        <v>1.1205408800702514</v>
      </c>
      <c r="FR520" s="335">
        <v>42235</v>
      </c>
      <c r="FS520" s="341">
        <v>191</v>
      </c>
      <c r="FT520" s="341"/>
    </row>
    <row r="521" spans="132:176" x14ac:dyDescent="0.6">
      <c r="EB521" s="335">
        <v>42219</v>
      </c>
      <c r="EC521" s="62">
        <v>202.5</v>
      </c>
      <c r="ED521" s="62">
        <v>2098.040039</v>
      </c>
      <c r="EE521" s="78">
        <f t="shared" si="40"/>
        <v>1.1754724010846629</v>
      </c>
      <c r="EF521" s="78">
        <f t="shared" si="41"/>
        <v>1.1227905849911592</v>
      </c>
      <c r="FR521" s="335">
        <v>42234</v>
      </c>
      <c r="FS521" s="341">
        <v>191.5</v>
      </c>
      <c r="FT521" s="341"/>
    </row>
    <row r="522" spans="132:176" x14ac:dyDescent="0.6">
      <c r="EB522" s="335">
        <v>42216</v>
      </c>
      <c r="EC522" s="62">
        <v>204.12</v>
      </c>
      <c r="ED522" s="62">
        <v>2103.8400879999999</v>
      </c>
      <c r="EE522" s="78">
        <f t="shared" si="40"/>
        <v>1.1834089090211708</v>
      </c>
      <c r="EF522" s="78">
        <f t="shared" si="41"/>
        <v>1.1255474718064085</v>
      </c>
      <c r="FR522" s="335">
        <v>42233</v>
      </c>
      <c r="FS522" s="341">
        <v>198.53</v>
      </c>
      <c r="FT522" s="341"/>
    </row>
    <row r="523" spans="132:176" x14ac:dyDescent="0.6">
      <c r="EB523" s="335">
        <v>42215</v>
      </c>
      <c r="EC523" s="62">
        <v>204.48</v>
      </c>
      <c r="ED523" s="62">
        <v>2108.6298830000001</v>
      </c>
      <c r="EE523" s="78">
        <f t="shared" si="40"/>
        <v>1.1851694724014523</v>
      </c>
      <c r="EF523" s="78">
        <f t="shared" si="41"/>
        <v>1.1278189918292518</v>
      </c>
      <c r="FR523" s="335">
        <v>42230</v>
      </c>
      <c r="FS523" s="341">
        <v>195.6</v>
      </c>
      <c r="FT523" s="341"/>
    </row>
    <row r="524" spans="132:176" x14ac:dyDescent="0.6">
      <c r="EB524" s="335">
        <v>42214</v>
      </c>
      <c r="EC524" s="62">
        <v>202.27</v>
      </c>
      <c r="ED524" s="62">
        <v>2108.570068</v>
      </c>
      <c r="EE524" s="78">
        <f t="shared" si="40"/>
        <v>1.1742434823881038</v>
      </c>
      <c r="EF524" s="78">
        <f t="shared" si="41"/>
        <v>1.1277906242635218</v>
      </c>
      <c r="EG524" s="78">
        <f>EE524</f>
        <v>1.1742434823881038</v>
      </c>
      <c r="EH524" s="62" t="s">
        <v>416</v>
      </c>
      <c r="FR524" s="335">
        <v>42229</v>
      </c>
      <c r="FS524" s="341">
        <v>196.12</v>
      </c>
      <c r="FT524" s="341"/>
    </row>
    <row r="525" spans="132:176" x14ac:dyDescent="0.6">
      <c r="EB525" s="335">
        <v>42213</v>
      </c>
      <c r="EC525" s="62">
        <v>186.99</v>
      </c>
      <c r="ED525" s="62">
        <v>2093.25</v>
      </c>
      <c r="EE525" s="78">
        <f t="shared" si="40"/>
        <v>1.0925278826234106</v>
      </c>
      <c r="EF525" s="78">
        <f t="shared" si="41"/>
        <v>1.1204718290885547</v>
      </c>
      <c r="FR525" s="335">
        <v>42228</v>
      </c>
      <c r="FS525" s="341">
        <v>197.73</v>
      </c>
      <c r="FT525" s="341"/>
    </row>
    <row r="526" spans="132:176" x14ac:dyDescent="0.6">
      <c r="EB526" s="335">
        <v>42212</v>
      </c>
      <c r="EC526" s="62">
        <v>184.01</v>
      </c>
      <c r="ED526" s="62">
        <v>2067.639893</v>
      </c>
      <c r="EE526" s="78">
        <f t="shared" si="40"/>
        <v>1.0763331106001508</v>
      </c>
      <c r="EF526" s="78">
        <f t="shared" si="41"/>
        <v>1.1080856746683856</v>
      </c>
      <c r="FR526" s="335">
        <v>42227</v>
      </c>
      <c r="FS526" s="341">
        <v>201.66</v>
      </c>
      <c r="FT526" s="341"/>
    </row>
    <row r="527" spans="132:176" x14ac:dyDescent="0.6">
      <c r="EB527" s="335">
        <v>42209</v>
      </c>
      <c r="EC527" s="62">
        <v>183.21</v>
      </c>
      <c r="ED527" s="62">
        <v>2079.6499020000001</v>
      </c>
      <c r="EE527" s="78">
        <f t="shared" si="40"/>
        <v>1.0719665367231792</v>
      </c>
      <c r="EF527" s="78">
        <f t="shared" si="41"/>
        <v>1.1138606894862404</v>
      </c>
      <c r="FR527" s="335">
        <v>42226</v>
      </c>
      <c r="FS527" s="341">
        <v>202.14</v>
      </c>
      <c r="FT527" s="341"/>
    </row>
    <row r="528" spans="132:176" x14ac:dyDescent="0.6">
      <c r="EB528" s="335">
        <v>42208</v>
      </c>
      <c r="EC528" s="62">
        <v>184.62</v>
      </c>
      <c r="ED528" s="62">
        <v>2102.1499020000001</v>
      </c>
      <c r="EE528" s="78">
        <f t="shared" si="40"/>
        <v>1.0796038457904524</v>
      </c>
      <c r="EF528" s="78">
        <f t="shared" si="41"/>
        <v>1.1245640175308262</v>
      </c>
      <c r="FR528" s="335">
        <v>42223</v>
      </c>
      <c r="FS528" s="341">
        <v>202.05</v>
      </c>
      <c r="FT528" s="341"/>
    </row>
    <row r="529" spans="132:176" x14ac:dyDescent="0.6">
      <c r="EB529" s="335">
        <v>42207</v>
      </c>
      <c r="EC529" s="62">
        <v>183.91</v>
      </c>
      <c r="ED529" s="62">
        <v>2114.1499020000001</v>
      </c>
      <c r="EE529" s="78">
        <f t="shared" si="40"/>
        <v>1.0757432618091571</v>
      </c>
      <c r="EF529" s="78">
        <f t="shared" si="41"/>
        <v>1.1302400578100174</v>
      </c>
      <c r="FR529" s="335">
        <v>42222</v>
      </c>
      <c r="FS529" s="341">
        <v>200.7</v>
      </c>
      <c r="FT529" s="341"/>
    </row>
    <row r="530" spans="132:176" x14ac:dyDescent="0.6">
      <c r="EB530" s="335">
        <v>42206</v>
      </c>
      <c r="EC530" s="62">
        <v>181.44</v>
      </c>
      <c r="ED530" s="62">
        <v>2119.209961</v>
      </c>
      <c r="EE530" s="78">
        <f t="shared" si="40"/>
        <v>1.0621299461125082</v>
      </c>
      <c r="EF530" s="78">
        <f t="shared" si="41"/>
        <v>1.1326277678968519</v>
      </c>
      <c r="FR530" s="335">
        <v>42221</v>
      </c>
      <c r="FS530" s="341">
        <v>202.52</v>
      </c>
      <c r="FT530" s="341"/>
    </row>
    <row r="531" spans="132:176" x14ac:dyDescent="0.6">
      <c r="EB531" s="335">
        <v>42205</v>
      </c>
      <c r="EC531" s="62">
        <v>182.27</v>
      </c>
      <c r="ED531" s="62">
        <v>2128.280029</v>
      </c>
      <c r="EE531" s="78">
        <f t="shared" si="40"/>
        <v>1.0666836302075322</v>
      </c>
      <c r="EF531" s="78">
        <f t="shared" si="41"/>
        <v>1.1368894570901964</v>
      </c>
      <c r="FR531" s="335">
        <v>42220</v>
      </c>
      <c r="FS531" s="341">
        <v>202</v>
      </c>
      <c r="FT531" s="341"/>
    </row>
    <row r="532" spans="132:176" x14ac:dyDescent="0.6">
      <c r="EB532" s="335">
        <v>42202</v>
      </c>
      <c r="EC532" s="62">
        <v>181.09</v>
      </c>
      <c r="ED532" s="62">
        <v>2126.639893</v>
      </c>
      <c r="EE532" s="78">
        <f t="shared" si="40"/>
        <v>1.0601675332391738</v>
      </c>
      <c r="EF532" s="78">
        <f t="shared" si="41"/>
        <v>1.1361182235563017</v>
      </c>
      <c r="FR532" s="335">
        <v>42219</v>
      </c>
      <c r="FS532" s="341">
        <v>202.5</v>
      </c>
      <c r="FT532" s="341"/>
    </row>
    <row r="533" spans="132:176" x14ac:dyDescent="0.6">
      <c r="EB533" s="335">
        <v>42201</v>
      </c>
      <c r="EC533" s="62">
        <v>181.32</v>
      </c>
      <c r="ED533" s="62">
        <v>2124.290039</v>
      </c>
      <c r="EE533" s="78">
        <f t="shared" si="40"/>
        <v>1.0614360088623813</v>
      </c>
      <c r="EF533" s="78">
        <f t="shared" si="41"/>
        <v>1.1350120403342092</v>
      </c>
      <c r="FR533" s="335">
        <v>42216</v>
      </c>
      <c r="FS533" s="341">
        <v>204.12</v>
      </c>
      <c r="FT533" s="341"/>
    </row>
    <row r="534" spans="132:176" x14ac:dyDescent="0.6">
      <c r="EB534" s="335">
        <v>42200</v>
      </c>
      <c r="EC534" s="62">
        <v>181.09</v>
      </c>
      <c r="ED534" s="62">
        <v>2107.3999020000001</v>
      </c>
      <c r="EE534" s="78">
        <f t="shared" si="40"/>
        <v>1.0601659221651589</v>
      </c>
      <c r="EF534" s="78">
        <f t="shared" si="41"/>
        <v>1.1269973597868814</v>
      </c>
      <c r="FR534" s="335">
        <v>42215</v>
      </c>
      <c r="FS534" s="341">
        <v>204.48</v>
      </c>
      <c r="FT534" s="341"/>
    </row>
    <row r="535" spans="132:176" x14ac:dyDescent="0.6">
      <c r="EB535" s="335">
        <v>42199</v>
      </c>
      <c r="EC535" s="62">
        <v>180.5</v>
      </c>
      <c r="ED535" s="62">
        <v>2108.9499510000001</v>
      </c>
      <c r="EE535" s="78">
        <f t="shared" si="40"/>
        <v>1.0568972241042172</v>
      </c>
      <c r="EF535" s="78">
        <f t="shared" si="41"/>
        <v>1.1277323459344972</v>
      </c>
      <c r="FR535" s="335">
        <v>42214</v>
      </c>
      <c r="FS535" s="341">
        <v>202.27</v>
      </c>
      <c r="FT535" s="341"/>
    </row>
    <row r="536" spans="132:176" x14ac:dyDescent="0.6">
      <c r="EB536" s="335">
        <v>42198</v>
      </c>
      <c r="EC536" s="62">
        <v>182.86</v>
      </c>
      <c r="ED536" s="62">
        <v>2099.6000979999999</v>
      </c>
      <c r="EE536" s="78">
        <f t="shared" si="40"/>
        <v>1.069803272447212</v>
      </c>
      <c r="EF536" s="78">
        <f t="shared" si="41"/>
        <v>1.1232791869691749</v>
      </c>
      <c r="FR536" s="335">
        <v>42213</v>
      </c>
      <c r="FS536" s="341">
        <v>186.99</v>
      </c>
      <c r="FT536" s="341"/>
    </row>
    <row r="537" spans="132:176" x14ac:dyDescent="0.6">
      <c r="EB537" s="335">
        <v>42195</v>
      </c>
      <c r="EC537" s="62">
        <v>179.25</v>
      </c>
      <c r="ED537" s="62">
        <v>2076.6201169999999</v>
      </c>
      <c r="EE537" s="78">
        <f t="shared" si="40"/>
        <v>1.049663802433265</v>
      </c>
      <c r="EF537" s="78">
        <f t="shared" si="41"/>
        <v>1.1122131374727471</v>
      </c>
      <c r="FR537" s="335">
        <v>42212</v>
      </c>
      <c r="FS537" s="341">
        <v>184.01</v>
      </c>
      <c r="FT537" s="341"/>
    </row>
    <row r="538" spans="132:176" x14ac:dyDescent="0.6">
      <c r="EB538" s="335">
        <v>42194</v>
      </c>
      <c r="EC538" s="62">
        <v>177.14</v>
      </c>
      <c r="ED538" s="62">
        <v>2051.3100589999999</v>
      </c>
      <c r="EE538" s="78">
        <f t="shared" si="40"/>
        <v>1.0377523199899996</v>
      </c>
      <c r="EF538" s="78">
        <f t="shared" si="41"/>
        <v>1.0998746526644883</v>
      </c>
      <c r="FR538" s="335">
        <v>42209</v>
      </c>
      <c r="FS538" s="341">
        <v>183.21</v>
      </c>
      <c r="FT538" s="341"/>
    </row>
    <row r="539" spans="132:176" x14ac:dyDescent="0.6">
      <c r="EB539" s="335">
        <v>42193</v>
      </c>
      <c r="EC539" s="62">
        <v>174.73</v>
      </c>
      <c r="ED539" s="62">
        <v>2046.6800539999999</v>
      </c>
      <c r="EE539" s="78">
        <f t="shared" si="40"/>
        <v>1.0239596112393559</v>
      </c>
      <c r="EF539" s="78">
        <f t="shared" si="41"/>
        <v>1.0976124500349413</v>
      </c>
      <c r="FR539" s="335">
        <v>42208</v>
      </c>
      <c r="FS539" s="341">
        <v>184.62</v>
      </c>
      <c r="FT539" s="341"/>
    </row>
    <row r="540" spans="132:176" x14ac:dyDescent="0.6">
      <c r="EB540" s="335">
        <v>42192</v>
      </c>
      <c r="EC540" s="62">
        <v>175.56</v>
      </c>
      <c r="ED540" s="62">
        <v>2081.3400879999999</v>
      </c>
      <c r="EE540" s="78">
        <f t="shared" si="40"/>
        <v>1.0286873396512948</v>
      </c>
      <c r="EF540" s="78">
        <f t="shared" si="41"/>
        <v>1.1142651990017407</v>
      </c>
      <c r="FR540" s="335">
        <v>42207</v>
      </c>
      <c r="FS540" s="341">
        <v>183.91</v>
      </c>
      <c r="FT540" s="341"/>
    </row>
    <row r="541" spans="132:176" x14ac:dyDescent="0.6">
      <c r="EB541" s="335">
        <v>42191</v>
      </c>
      <c r="EC541" s="62">
        <v>174.86</v>
      </c>
      <c r="ED541" s="62">
        <v>2068.76001</v>
      </c>
      <c r="EE541" s="78">
        <f t="shared" ref="EE541:EE604" si="42">EE542+(EC541-EC542)/EC542</f>
        <v>1.0246841370892452</v>
      </c>
      <c r="EF541" s="78">
        <f t="shared" ref="EF541:EF604" si="43">EF542+(ED541-ED542)/ED542</f>
        <v>1.1081842239542774</v>
      </c>
      <c r="FR541" s="335">
        <v>42206</v>
      </c>
      <c r="FS541" s="341">
        <v>181.44</v>
      </c>
      <c r="FT541" s="341"/>
    </row>
    <row r="542" spans="132:176" x14ac:dyDescent="0.6">
      <c r="EB542" s="335">
        <v>42187</v>
      </c>
      <c r="EC542" s="62">
        <v>174.95</v>
      </c>
      <c r="ED542" s="62">
        <v>2076.780029</v>
      </c>
      <c r="EE542" s="78">
        <f t="shared" si="42"/>
        <v>1.0251985697843009</v>
      </c>
      <c r="EF542" s="78">
        <f t="shared" si="43"/>
        <v>1.1120459805621075</v>
      </c>
      <c r="FR542" s="335">
        <v>42205</v>
      </c>
      <c r="FS542" s="341">
        <v>182.27</v>
      </c>
      <c r="FT542" s="341"/>
    </row>
    <row r="543" spans="132:176" x14ac:dyDescent="0.6">
      <c r="EB543" s="335">
        <v>42186</v>
      </c>
      <c r="EC543" s="62">
        <v>174.51</v>
      </c>
      <c r="ED543" s="62">
        <v>2077.419922</v>
      </c>
      <c r="EE543" s="78">
        <f t="shared" si="42"/>
        <v>1.0226772243026667</v>
      </c>
      <c r="EF543" s="78">
        <f t="shared" si="43"/>
        <v>1.1123540035059638</v>
      </c>
      <c r="FR543" s="335">
        <v>42202</v>
      </c>
      <c r="FS543" s="341">
        <v>181.09</v>
      </c>
      <c r="FT543" s="341"/>
    </row>
    <row r="544" spans="132:176" x14ac:dyDescent="0.6">
      <c r="EB544" s="335">
        <v>42185</v>
      </c>
      <c r="EC544" s="62">
        <v>174.77</v>
      </c>
      <c r="ED544" s="62">
        <v>2063.110107</v>
      </c>
      <c r="EE544" s="78">
        <f t="shared" si="42"/>
        <v>1.0241648938111638</v>
      </c>
      <c r="EF544" s="78">
        <f t="shared" si="43"/>
        <v>1.1054179631310717</v>
      </c>
      <c r="FR544" s="335">
        <v>42201</v>
      </c>
      <c r="FS544" s="341">
        <v>181.32</v>
      </c>
      <c r="FT544" s="341"/>
    </row>
    <row r="545" spans="132:176" x14ac:dyDescent="0.6">
      <c r="EB545" s="335">
        <v>42184</v>
      </c>
      <c r="EC545" s="62">
        <v>172.25</v>
      </c>
      <c r="ED545" s="62">
        <v>2057.639893</v>
      </c>
      <c r="EE545" s="78">
        <f t="shared" si="42"/>
        <v>1.0095349954076804</v>
      </c>
      <c r="EF545" s="78">
        <f t="shared" si="43"/>
        <v>1.1027594736555277</v>
      </c>
      <c r="FR545" s="335">
        <v>42200</v>
      </c>
      <c r="FS545" s="341">
        <v>181.09</v>
      </c>
      <c r="FT545" s="341"/>
    </row>
    <row r="546" spans="132:176" x14ac:dyDescent="0.6">
      <c r="EB546" s="335">
        <v>42181</v>
      </c>
      <c r="EC546" s="62">
        <v>175.87</v>
      </c>
      <c r="ED546" s="62">
        <v>2101.48999</v>
      </c>
      <c r="EE546" s="78">
        <f t="shared" si="42"/>
        <v>1.0301183808628462</v>
      </c>
      <c r="EF546" s="78">
        <f t="shared" si="43"/>
        <v>1.123625667265139</v>
      </c>
      <c r="FR546" s="335">
        <v>42199</v>
      </c>
      <c r="FS546" s="341">
        <v>180.5</v>
      </c>
      <c r="FT546" s="341"/>
    </row>
    <row r="547" spans="132:176" x14ac:dyDescent="0.6">
      <c r="EB547" s="335">
        <v>42180</v>
      </c>
      <c r="EC547" s="62">
        <v>176.89</v>
      </c>
      <c r="ED547" s="62">
        <v>2102.3100589999999</v>
      </c>
      <c r="EE547" s="78">
        <f t="shared" si="42"/>
        <v>1.0358846763006888</v>
      </c>
      <c r="EF547" s="78">
        <f t="shared" si="43"/>
        <v>1.124015747213855</v>
      </c>
      <c r="FR547" s="335">
        <v>42198</v>
      </c>
      <c r="FS547" s="341">
        <v>182.86</v>
      </c>
      <c r="FT547" s="341"/>
    </row>
    <row r="548" spans="132:176" x14ac:dyDescent="0.6">
      <c r="EB548" s="335">
        <v>42179</v>
      </c>
      <c r="EC548" s="62">
        <v>178.14</v>
      </c>
      <c r="ED548" s="62">
        <v>2108.580078</v>
      </c>
      <c r="EE548" s="78">
        <f t="shared" si="42"/>
        <v>1.0429016292590363</v>
      </c>
      <c r="EF548" s="78">
        <f t="shared" si="43"/>
        <v>1.12698932126277</v>
      </c>
      <c r="FR548" s="335">
        <v>42195</v>
      </c>
      <c r="FS548" s="341">
        <v>179.25</v>
      </c>
      <c r="FT548" s="341"/>
    </row>
    <row r="549" spans="132:176" x14ac:dyDescent="0.6">
      <c r="EB549" s="335">
        <v>42178</v>
      </c>
      <c r="EC549" s="62">
        <v>179.91</v>
      </c>
      <c r="ED549" s="62">
        <v>2124.1999510000001</v>
      </c>
      <c r="EE549" s="78">
        <f t="shared" si="42"/>
        <v>1.0527398817185996</v>
      </c>
      <c r="EF549" s="78">
        <f t="shared" si="43"/>
        <v>1.1343426182029412</v>
      </c>
      <c r="FR549" s="335">
        <v>42194</v>
      </c>
      <c r="FS549" s="341">
        <v>177.14</v>
      </c>
      <c r="FT549" s="341"/>
    </row>
    <row r="550" spans="132:176" x14ac:dyDescent="0.6">
      <c r="EB550" s="335">
        <v>42177</v>
      </c>
      <c r="EC550" s="62">
        <v>182.73</v>
      </c>
      <c r="ED550" s="62">
        <v>2122.8500979999999</v>
      </c>
      <c r="EE550" s="78">
        <f t="shared" si="42"/>
        <v>1.0681724872020997</v>
      </c>
      <c r="EF550" s="78">
        <f t="shared" si="43"/>
        <v>1.1337067499420255</v>
      </c>
      <c r="FR550" s="335">
        <v>42193</v>
      </c>
      <c r="FS550" s="341">
        <v>174.73</v>
      </c>
      <c r="FT550" s="341"/>
    </row>
    <row r="551" spans="132:176" x14ac:dyDescent="0.6">
      <c r="EB551" s="335">
        <v>42174</v>
      </c>
      <c r="EC551" s="62">
        <v>181.64</v>
      </c>
      <c r="ED551" s="62">
        <v>2109.98999</v>
      </c>
      <c r="EE551" s="78">
        <f t="shared" si="42"/>
        <v>1.0621716063388538</v>
      </c>
      <c r="EF551" s="78">
        <f t="shared" si="43"/>
        <v>1.1276118831128232</v>
      </c>
      <c r="FR551" s="335">
        <v>42192</v>
      </c>
      <c r="FS551" s="341">
        <v>175.56</v>
      </c>
      <c r="FT551" s="341"/>
    </row>
    <row r="552" spans="132:176" x14ac:dyDescent="0.6">
      <c r="EB552" s="335">
        <v>42173</v>
      </c>
      <c r="EC552" s="62">
        <v>182.04</v>
      </c>
      <c r="ED552" s="62">
        <v>2121.23999</v>
      </c>
      <c r="EE552" s="78">
        <f t="shared" si="42"/>
        <v>1.0643689256093438</v>
      </c>
      <c r="EF552" s="78">
        <f t="shared" si="43"/>
        <v>1.132915384863231</v>
      </c>
      <c r="FR552" s="335">
        <v>42191</v>
      </c>
      <c r="FS552" s="341">
        <v>174.86</v>
      </c>
      <c r="FT552" s="341"/>
    </row>
    <row r="553" spans="132:176" x14ac:dyDescent="0.6">
      <c r="EB553" s="335">
        <v>42172</v>
      </c>
      <c r="EC553" s="62">
        <v>182.61</v>
      </c>
      <c r="ED553" s="62">
        <v>2100.4399410000001</v>
      </c>
      <c r="EE553" s="78">
        <f t="shared" si="42"/>
        <v>1.0674903318850133</v>
      </c>
      <c r="EF553" s="78">
        <f t="shared" si="43"/>
        <v>1.1230126742005795</v>
      </c>
      <c r="FR553" s="335">
        <v>42187</v>
      </c>
      <c r="FS553" s="341">
        <v>174.95</v>
      </c>
    </row>
    <row r="554" spans="132:176" x14ac:dyDescent="0.6">
      <c r="EB554" s="335">
        <v>42171</v>
      </c>
      <c r="EC554" s="62">
        <v>182.38</v>
      </c>
      <c r="ED554" s="62">
        <v>2096.290039</v>
      </c>
      <c r="EE554" s="78">
        <f t="shared" si="42"/>
        <v>1.0662292286938737</v>
      </c>
      <c r="EF554" s="78">
        <f t="shared" si="43"/>
        <v>1.1210330330618086</v>
      </c>
      <c r="FR554" s="335">
        <v>42186</v>
      </c>
      <c r="FS554" s="341">
        <v>174.51</v>
      </c>
      <c r="FT554" s="341">
        <f>FU14</f>
        <v>212.5</v>
      </c>
    </row>
    <row r="555" spans="132:176" x14ac:dyDescent="0.6">
      <c r="EB555" s="335">
        <v>42170</v>
      </c>
      <c r="EC555" s="62">
        <v>183.74</v>
      </c>
      <c r="ED555" s="62">
        <v>2084.429932</v>
      </c>
      <c r="EE555" s="78">
        <f t="shared" si="42"/>
        <v>1.0736309920551452</v>
      </c>
      <c r="EF555" s="78">
        <f t="shared" si="43"/>
        <v>1.1153431766565034</v>
      </c>
      <c r="EG555" s="78" t="s">
        <v>119</v>
      </c>
      <c r="FR555" s="335">
        <v>42185</v>
      </c>
      <c r="FS555" s="341">
        <v>174.77</v>
      </c>
      <c r="FT555" s="341"/>
    </row>
    <row r="556" spans="132:176" x14ac:dyDescent="0.6">
      <c r="EB556" s="335">
        <v>42167</v>
      </c>
      <c r="EC556" s="62">
        <v>184.45</v>
      </c>
      <c r="ED556" s="62">
        <v>2094.110107</v>
      </c>
      <c r="EE556" s="78">
        <f t="shared" si="42"/>
        <v>1.0774802737032882</v>
      </c>
      <c r="EF556" s="78">
        <f t="shared" si="43"/>
        <v>1.1199657487780179</v>
      </c>
      <c r="FR556" s="335">
        <v>42184</v>
      </c>
      <c r="FS556" s="341">
        <v>172.25</v>
      </c>
      <c r="FT556" s="341"/>
    </row>
    <row r="557" spans="132:176" x14ac:dyDescent="0.6">
      <c r="EB557" s="335">
        <v>42166</v>
      </c>
      <c r="EC557" s="62">
        <v>184.84</v>
      </c>
      <c r="ED557" s="62">
        <v>2108.860107</v>
      </c>
      <c r="EE557" s="78">
        <f t="shared" si="42"/>
        <v>1.0795902066182419</v>
      </c>
      <c r="EF557" s="78">
        <f t="shared" si="43"/>
        <v>1.1269600486611822</v>
      </c>
      <c r="FR557" s="335">
        <v>42181</v>
      </c>
      <c r="FS557" s="341">
        <v>175.87</v>
      </c>
      <c r="FT557" s="341"/>
    </row>
    <row r="558" spans="132:176" x14ac:dyDescent="0.6">
      <c r="EB558" s="335">
        <v>42165</v>
      </c>
      <c r="EC558" s="62">
        <v>183.04</v>
      </c>
      <c r="ED558" s="62">
        <v>2105.1999510000001</v>
      </c>
      <c r="EE558" s="78">
        <f t="shared" si="42"/>
        <v>1.0697562905343259</v>
      </c>
      <c r="EF558" s="78">
        <f t="shared" si="43"/>
        <v>1.1252214223619268</v>
      </c>
      <c r="FR558" s="335">
        <v>42180</v>
      </c>
      <c r="FS558" s="341">
        <v>176.89</v>
      </c>
      <c r="FT558" s="341"/>
    </row>
    <row r="559" spans="132:176" x14ac:dyDescent="0.6">
      <c r="EB559" s="335">
        <v>42164</v>
      </c>
      <c r="EC559" s="62">
        <v>181.79</v>
      </c>
      <c r="ED559" s="62">
        <v>2080.1499020000001</v>
      </c>
      <c r="EE559" s="78">
        <f t="shared" si="42"/>
        <v>1.0628802247441285</v>
      </c>
      <c r="EF559" s="78">
        <f t="shared" si="43"/>
        <v>1.113178997450186</v>
      </c>
      <c r="FR559" s="335">
        <v>42179</v>
      </c>
      <c r="FS559" s="341">
        <v>178.14</v>
      </c>
      <c r="FT559" s="341"/>
    </row>
    <row r="560" spans="132:176" x14ac:dyDescent="0.6">
      <c r="EB560" s="335">
        <v>42163</v>
      </c>
      <c r="EC560" s="62">
        <v>182.38</v>
      </c>
      <c r="ED560" s="62">
        <v>2079.280029</v>
      </c>
      <c r="EE560" s="78">
        <f t="shared" si="42"/>
        <v>1.0661152285822686</v>
      </c>
      <c r="EF560" s="78">
        <f t="shared" si="43"/>
        <v>1.1127606444684481</v>
      </c>
      <c r="FR560" s="335">
        <v>42178</v>
      </c>
      <c r="FS560" s="341">
        <v>179.91</v>
      </c>
      <c r="FT560" s="341"/>
    </row>
    <row r="561" spans="132:176" x14ac:dyDescent="0.6">
      <c r="EB561" s="335">
        <v>42160</v>
      </c>
      <c r="EC561" s="62">
        <v>183.63</v>
      </c>
      <c r="ED561" s="62">
        <v>2092.830078</v>
      </c>
      <c r="EE561" s="78">
        <f t="shared" si="42"/>
        <v>1.0729223951672493</v>
      </c>
      <c r="EF561" s="78">
        <f t="shared" si="43"/>
        <v>1.1192351543402428</v>
      </c>
      <c r="FR561" s="335">
        <v>42177</v>
      </c>
      <c r="FS561" s="341">
        <v>182.73</v>
      </c>
      <c r="FT561" s="341"/>
    </row>
    <row r="562" spans="132:176" x14ac:dyDescent="0.6">
      <c r="EB562" s="335">
        <v>42159</v>
      </c>
      <c r="EC562" s="62">
        <v>182.01</v>
      </c>
      <c r="ED562" s="62">
        <v>2095.8400879999999</v>
      </c>
      <c r="EE562" s="78">
        <f t="shared" si="42"/>
        <v>1.0640217853106479</v>
      </c>
      <c r="EF562" s="78">
        <f t="shared" si="43"/>
        <v>1.120671337385521</v>
      </c>
      <c r="FR562" s="335">
        <v>42174</v>
      </c>
      <c r="FS562" s="341">
        <v>181.64</v>
      </c>
      <c r="FT562" s="341"/>
    </row>
    <row r="563" spans="132:176" x14ac:dyDescent="0.6">
      <c r="EB563" s="335">
        <v>42158</v>
      </c>
      <c r="EC563" s="62">
        <v>181.78</v>
      </c>
      <c r="ED563" s="62">
        <v>2114.070068</v>
      </c>
      <c r="EE563" s="78">
        <f t="shared" si="42"/>
        <v>1.0627565196048498</v>
      </c>
      <c r="EF563" s="78">
        <f t="shared" si="43"/>
        <v>1.1292945047421481</v>
      </c>
      <c r="FR563" s="335">
        <v>42173</v>
      </c>
      <c r="FS563" s="341">
        <v>182.04</v>
      </c>
      <c r="FT563" s="341"/>
    </row>
    <row r="564" spans="132:176" x14ac:dyDescent="0.6">
      <c r="EB564" s="335">
        <v>42157</v>
      </c>
      <c r="EC564" s="62">
        <v>181.85</v>
      </c>
      <c r="ED564" s="62">
        <v>2109.6000979999999</v>
      </c>
      <c r="EE564" s="78">
        <f t="shared" si="42"/>
        <v>1.0631414522416385</v>
      </c>
      <c r="EF564" s="78">
        <f t="shared" si="43"/>
        <v>1.1271756339645833</v>
      </c>
      <c r="FR564" s="335">
        <v>42172</v>
      </c>
      <c r="FS564" s="341">
        <v>182.61</v>
      </c>
      <c r="FT564" s="341"/>
    </row>
    <row r="565" spans="132:176" x14ac:dyDescent="0.6">
      <c r="EB565" s="335">
        <v>42156</v>
      </c>
      <c r="EC565" s="62">
        <v>181.315</v>
      </c>
      <c r="ED565" s="62">
        <v>2111.7299800000001</v>
      </c>
      <c r="EE565" s="78">
        <f t="shared" si="42"/>
        <v>1.0601907862735718</v>
      </c>
      <c r="EF565" s="78">
        <f t="shared" si="43"/>
        <v>1.1281842297699998</v>
      </c>
      <c r="FR565" s="335">
        <v>42171</v>
      </c>
      <c r="FS565" s="341">
        <v>182.38</v>
      </c>
      <c r="FT565" s="341"/>
    </row>
    <row r="566" spans="132:176" x14ac:dyDescent="0.6">
      <c r="EB566" s="335">
        <v>42153</v>
      </c>
      <c r="EC566" s="62">
        <v>182</v>
      </c>
      <c r="ED566" s="62">
        <v>2107.389893</v>
      </c>
      <c r="EE566" s="78">
        <f t="shared" si="42"/>
        <v>1.0639545225373082</v>
      </c>
      <c r="EF566" s="78">
        <f t="shared" si="43"/>
        <v>1.1261247689106608</v>
      </c>
      <c r="FR566" s="335">
        <v>42170</v>
      </c>
      <c r="FS566" s="341">
        <v>183.74</v>
      </c>
      <c r="FT566" s="341"/>
    </row>
    <row r="567" spans="132:176" x14ac:dyDescent="0.6">
      <c r="EB567" s="335">
        <v>42152</v>
      </c>
      <c r="EC567" s="62">
        <v>183.29</v>
      </c>
      <c r="ED567" s="62">
        <v>2120.790039</v>
      </c>
      <c r="EE567" s="78">
        <f t="shared" si="42"/>
        <v>1.0709925497073665</v>
      </c>
      <c r="EF567" s="78">
        <f t="shared" si="43"/>
        <v>1.1324432378555256</v>
      </c>
      <c r="FR567" s="335">
        <v>42167</v>
      </c>
      <c r="FS567" s="341">
        <v>184.45</v>
      </c>
      <c r="FT567" s="341"/>
    </row>
    <row r="568" spans="132:176" x14ac:dyDescent="0.6">
      <c r="EB568" s="335">
        <v>42151</v>
      </c>
      <c r="EC568" s="62">
        <v>183.21</v>
      </c>
      <c r="ED568" s="62">
        <v>2123.4799800000001</v>
      </c>
      <c r="EE568" s="78">
        <f t="shared" si="42"/>
        <v>1.0705558923196694</v>
      </c>
      <c r="EF568" s="78">
        <f t="shared" si="43"/>
        <v>1.1337099985621653</v>
      </c>
      <c r="FR568" s="335">
        <v>42166</v>
      </c>
      <c r="FS568" s="341">
        <v>184.84</v>
      </c>
      <c r="FT568" s="341"/>
    </row>
    <row r="569" spans="132:176" x14ac:dyDescent="0.6">
      <c r="EB569" s="335">
        <v>42150</v>
      </c>
      <c r="EC569" s="62">
        <v>184.44</v>
      </c>
      <c r="ED569" s="62">
        <v>2104.1999510000001</v>
      </c>
      <c r="EE569" s="78">
        <f t="shared" si="42"/>
        <v>1.0772247277132934</v>
      </c>
      <c r="EF569" s="78">
        <f t="shared" si="43"/>
        <v>1.1245473574401381</v>
      </c>
      <c r="FR569" s="335">
        <v>42165</v>
      </c>
      <c r="FS569" s="341">
        <v>183.04</v>
      </c>
      <c r="FT569" s="341"/>
    </row>
    <row r="570" spans="132:176" x14ac:dyDescent="0.6">
      <c r="EB570" s="335">
        <v>42146</v>
      </c>
      <c r="EC570" s="62">
        <v>185.21</v>
      </c>
      <c r="ED570" s="62">
        <v>2126.0600589999999</v>
      </c>
      <c r="EE570" s="78">
        <f t="shared" si="42"/>
        <v>1.0813821706159445</v>
      </c>
      <c r="EF570" s="78">
        <f t="shared" si="43"/>
        <v>1.1348293379079344</v>
      </c>
      <c r="FR570" s="335">
        <v>42164</v>
      </c>
      <c r="FS570" s="341">
        <v>181.79</v>
      </c>
      <c r="FT570" s="341"/>
    </row>
    <row r="571" spans="132:176" x14ac:dyDescent="0.6">
      <c r="EB571" s="335">
        <v>42145</v>
      </c>
      <c r="EC571" s="62">
        <v>185.71</v>
      </c>
      <c r="ED571" s="62">
        <v>2130.820068</v>
      </c>
      <c r="EE571" s="78">
        <f t="shared" si="42"/>
        <v>1.0840745404398635</v>
      </c>
      <c r="EF571" s="78">
        <f t="shared" si="43"/>
        <v>1.1370632238523575</v>
      </c>
      <c r="FR571" s="335">
        <v>42163</v>
      </c>
      <c r="FS571" s="341">
        <v>182.38</v>
      </c>
      <c r="FT571" s="341"/>
    </row>
    <row r="572" spans="132:176" x14ac:dyDescent="0.6">
      <c r="EB572" s="335">
        <v>42144</v>
      </c>
      <c r="EC572" s="62">
        <v>186.14</v>
      </c>
      <c r="ED572" s="62">
        <v>2125.8500979999999</v>
      </c>
      <c r="EE572" s="78">
        <f t="shared" si="42"/>
        <v>1.0863846296200503</v>
      </c>
      <c r="EF572" s="78">
        <f t="shared" si="43"/>
        <v>1.1347253496980716</v>
      </c>
      <c r="FR572" s="335">
        <v>42160</v>
      </c>
      <c r="FS572" s="341">
        <v>183.63</v>
      </c>
      <c r="FT572" s="341"/>
    </row>
    <row r="573" spans="132:176" x14ac:dyDescent="0.6">
      <c r="EB573" s="335">
        <v>42143</v>
      </c>
      <c r="EC573" s="62">
        <v>186.8</v>
      </c>
      <c r="ED573" s="62">
        <v>2127.830078</v>
      </c>
      <c r="EE573" s="78">
        <f t="shared" si="42"/>
        <v>1.0899178201982089</v>
      </c>
      <c r="EF573" s="78">
        <f t="shared" si="43"/>
        <v>1.1356558657296247</v>
      </c>
      <c r="FR573" s="335">
        <v>42159</v>
      </c>
      <c r="FS573" s="341">
        <v>182.01</v>
      </c>
      <c r="FT573" s="341"/>
    </row>
    <row r="574" spans="132:176" x14ac:dyDescent="0.6">
      <c r="EB574" s="335">
        <v>42142</v>
      </c>
      <c r="EC574" s="62">
        <v>183.2</v>
      </c>
      <c r="ED574" s="62">
        <v>2129.1999510000001</v>
      </c>
      <c r="EE574" s="78">
        <f t="shared" si="42"/>
        <v>1.0702671651763747</v>
      </c>
      <c r="EF574" s="78">
        <f t="shared" si="43"/>
        <v>1.1362992402512879</v>
      </c>
      <c r="FR574" s="335">
        <v>42158</v>
      </c>
      <c r="FS574" s="341">
        <v>181.78</v>
      </c>
      <c r="FT574" s="341"/>
    </row>
    <row r="575" spans="132:176" x14ac:dyDescent="0.6">
      <c r="EB575" s="335">
        <v>42139</v>
      </c>
      <c r="EC575" s="62">
        <v>183.32</v>
      </c>
      <c r="ED575" s="62">
        <v>2122.7299800000001</v>
      </c>
      <c r="EE575" s="78">
        <f t="shared" si="42"/>
        <v>1.0709217582376882</v>
      </c>
      <c r="EF575" s="78">
        <f t="shared" si="43"/>
        <v>1.1332512920614763</v>
      </c>
      <c r="FR575" s="335">
        <v>42157</v>
      </c>
      <c r="FS575" s="341">
        <v>181.85</v>
      </c>
      <c r="FT575" s="341"/>
    </row>
    <row r="576" spans="132:176" x14ac:dyDescent="0.6">
      <c r="EB576" s="335">
        <v>42138</v>
      </c>
      <c r="EC576" s="62">
        <v>183.5</v>
      </c>
      <c r="ED576" s="62">
        <v>2121.1000979999999</v>
      </c>
      <c r="EE576" s="78">
        <f t="shared" si="42"/>
        <v>1.071902684668206</v>
      </c>
      <c r="EF576" s="78">
        <f t="shared" si="43"/>
        <v>1.1324828785379764</v>
      </c>
      <c r="FR576" s="335">
        <v>42156</v>
      </c>
      <c r="FS576" s="341">
        <v>181.315</v>
      </c>
      <c r="FT576" s="341"/>
    </row>
    <row r="577" spans="132:176" x14ac:dyDescent="0.6">
      <c r="EB577" s="335">
        <v>42137</v>
      </c>
      <c r="EC577" s="62">
        <v>182.04</v>
      </c>
      <c r="ED577" s="62">
        <v>2098.4799800000001</v>
      </c>
      <c r="EE577" s="78">
        <f t="shared" si="42"/>
        <v>1.0638824693309175</v>
      </c>
      <c r="EF577" s="78">
        <f t="shared" si="43"/>
        <v>1.1217035915228104</v>
      </c>
      <c r="FR577" s="335">
        <v>42153</v>
      </c>
      <c r="FS577" s="341">
        <v>182</v>
      </c>
      <c r="FT577" s="341"/>
    </row>
    <row r="578" spans="132:176" x14ac:dyDescent="0.6">
      <c r="EB578" s="335">
        <v>42136</v>
      </c>
      <c r="EC578" s="62">
        <v>183.11</v>
      </c>
      <c r="ED578" s="62">
        <v>2099.1201169999999</v>
      </c>
      <c r="EE578" s="78">
        <f t="shared" si="42"/>
        <v>1.0697259513908814</v>
      </c>
      <c r="EF578" s="78">
        <f t="shared" si="43"/>
        <v>1.1220085464393088</v>
      </c>
      <c r="FR578" s="335">
        <v>42152</v>
      </c>
      <c r="FS578" s="341">
        <v>183.29</v>
      </c>
      <c r="FT578" s="341"/>
    </row>
    <row r="579" spans="132:176" x14ac:dyDescent="0.6">
      <c r="EB579" s="335">
        <v>42135</v>
      </c>
      <c r="EC579" s="62">
        <v>182.87</v>
      </c>
      <c r="ED579" s="62">
        <v>2105.330078</v>
      </c>
      <c r="EE579" s="78">
        <f t="shared" si="42"/>
        <v>1.0684135436695492</v>
      </c>
      <c r="EF579" s="78">
        <f t="shared" si="43"/>
        <v>1.1249581841540273</v>
      </c>
      <c r="FR579" s="335">
        <v>42151</v>
      </c>
      <c r="FS579" s="341">
        <v>183.21</v>
      </c>
      <c r="FT579" s="341"/>
    </row>
    <row r="580" spans="132:176" x14ac:dyDescent="0.6">
      <c r="EB580" s="335">
        <v>42132</v>
      </c>
      <c r="EC580" s="62">
        <v>184.36</v>
      </c>
      <c r="ED580" s="62">
        <v>2116.1000979999999</v>
      </c>
      <c r="EE580" s="78">
        <f t="shared" si="42"/>
        <v>1.0764955571214911</v>
      </c>
      <c r="EF580" s="78">
        <f t="shared" si="43"/>
        <v>1.1300477449031521</v>
      </c>
      <c r="FR580" s="335">
        <v>42150</v>
      </c>
      <c r="FS580" s="341">
        <v>184.44</v>
      </c>
      <c r="FT580" s="341"/>
    </row>
    <row r="581" spans="132:176" x14ac:dyDescent="0.6">
      <c r="EB581" s="335">
        <v>42131</v>
      </c>
      <c r="EC581" s="62">
        <v>183.13</v>
      </c>
      <c r="ED581" s="62">
        <v>2088</v>
      </c>
      <c r="EE581" s="78">
        <f t="shared" si="42"/>
        <v>1.0697790169587651</v>
      </c>
      <c r="EF581" s="78">
        <f t="shared" si="43"/>
        <v>1.116589843562156</v>
      </c>
      <c r="FR581" s="335">
        <v>42146</v>
      </c>
      <c r="FS581" s="341">
        <v>185.21</v>
      </c>
      <c r="FT581" s="341"/>
    </row>
    <row r="582" spans="132:176" x14ac:dyDescent="0.6">
      <c r="EB582" s="335">
        <v>42130</v>
      </c>
      <c r="EC582" s="62">
        <v>182.24</v>
      </c>
      <c r="ED582" s="62">
        <v>2080.1499020000001</v>
      </c>
      <c r="EE582" s="78">
        <f t="shared" si="42"/>
        <v>1.0648953470729003</v>
      </c>
      <c r="EF582" s="78">
        <f t="shared" si="43"/>
        <v>1.1128160299574479</v>
      </c>
      <c r="FR582" s="335">
        <v>42145</v>
      </c>
      <c r="FS582" s="341">
        <v>185.71</v>
      </c>
      <c r="FT582" s="341"/>
    </row>
    <row r="583" spans="132:176" x14ac:dyDescent="0.6">
      <c r="EB583" s="335">
        <v>42129</v>
      </c>
      <c r="EC583" s="62">
        <v>182.83</v>
      </c>
      <c r="ED583" s="62">
        <v>2089.459961</v>
      </c>
      <c r="EE583" s="78">
        <f t="shared" si="42"/>
        <v>1.0681223885868751</v>
      </c>
      <c r="EF583" s="78">
        <f t="shared" si="43"/>
        <v>1.1172717549647575</v>
      </c>
      <c r="EG583" s="78">
        <f>EE583</f>
        <v>1.0681223885868751</v>
      </c>
      <c r="EH583" s="336" t="s">
        <v>397</v>
      </c>
      <c r="FR583" s="335">
        <v>42144</v>
      </c>
      <c r="FS583" s="341">
        <v>186.14</v>
      </c>
      <c r="FT583" s="341"/>
    </row>
    <row r="584" spans="132:176" x14ac:dyDescent="0.6">
      <c r="EB584" s="335">
        <v>42128</v>
      </c>
      <c r="EC584" s="62">
        <v>183.02</v>
      </c>
      <c r="ED584" s="62">
        <v>2114.48999</v>
      </c>
      <c r="EE584" s="78">
        <f t="shared" si="42"/>
        <v>1.0691605264953004</v>
      </c>
      <c r="EF584" s="78">
        <f t="shared" si="43"/>
        <v>1.1291091385032817</v>
      </c>
      <c r="FR584" s="335">
        <v>42143</v>
      </c>
      <c r="FS584" s="341">
        <v>186.8</v>
      </c>
      <c r="FT584" s="341"/>
    </row>
    <row r="585" spans="132:176" x14ac:dyDescent="0.6">
      <c r="EB585" s="335">
        <v>42125</v>
      </c>
      <c r="EC585" s="62">
        <v>183.19</v>
      </c>
      <c r="ED585" s="62">
        <v>2108.290039</v>
      </c>
      <c r="EE585" s="78">
        <f t="shared" si="42"/>
        <v>1.0700885247484802</v>
      </c>
      <c r="EF585" s="78">
        <f t="shared" si="43"/>
        <v>1.126168389894072</v>
      </c>
      <c r="FR585" s="335">
        <v>42142</v>
      </c>
      <c r="FS585" s="341">
        <v>183.2</v>
      </c>
      <c r="FT585" s="341"/>
    </row>
    <row r="586" spans="132:176" x14ac:dyDescent="0.6">
      <c r="EB586" s="335">
        <v>42124</v>
      </c>
      <c r="EC586" s="62">
        <v>182.48</v>
      </c>
      <c r="ED586" s="62">
        <v>2085.51001</v>
      </c>
      <c r="EE586" s="78">
        <f t="shared" si="42"/>
        <v>1.0661976873964416</v>
      </c>
      <c r="EF586" s="78">
        <f t="shared" si="43"/>
        <v>1.1152453883784859</v>
      </c>
      <c r="FR586" s="335">
        <v>42139</v>
      </c>
      <c r="FS586" s="341">
        <v>183.32</v>
      </c>
      <c r="FT586" s="341"/>
    </row>
    <row r="587" spans="132:176" x14ac:dyDescent="0.6">
      <c r="EB587" s="335">
        <v>42123</v>
      </c>
      <c r="EC587" s="62">
        <v>184.39</v>
      </c>
      <c r="ED587" s="62">
        <v>2106.8500979999999</v>
      </c>
      <c r="EE587" s="78">
        <f t="shared" si="42"/>
        <v>1.0765561667065995</v>
      </c>
      <c r="EF587" s="78">
        <f t="shared" si="43"/>
        <v>1.1253742950435863</v>
      </c>
      <c r="FR587" s="335">
        <v>42138</v>
      </c>
      <c r="FS587" s="341">
        <v>183.5</v>
      </c>
      <c r="FT587" s="341"/>
    </row>
    <row r="588" spans="132:176" x14ac:dyDescent="0.6">
      <c r="EB588" s="335">
        <v>42122</v>
      </c>
      <c r="EC588" s="62">
        <v>185.57</v>
      </c>
      <c r="ED588" s="62">
        <v>2114.76001</v>
      </c>
      <c r="EE588" s="78">
        <f t="shared" si="42"/>
        <v>1.0829149531483735</v>
      </c>
      <c r="EF588" s="78">
        <f t="shared" si="43"/>
        <v>1.1291146305722499</v>
      </c>
      <c r="FR588" s="335">
        <v>42137</v>
      </c>
      <c r="FS588" s="341">
        <v>182.04</v>
      </c>
      <c r="FT588" s="341"/>
    </row>
    <row r="589" spans="132:176" x14ac:dyDescent="0.6">
      <c r="EB589" s="335">
        <v>42121</v>
      </c>
      <c r="EC589" s="62">
        <v>184.8</v>
      </c>
      <c r="ED589" s="62">
        <v>2108.919922</v>
      </c>
      <c r="EE589" s="78">
        <f t="shared" si="42"/>
        <v>1.0787482864817068</v>
      </c>
      <c r="EF589" s="78">
        <f t="shared" si="43"/>
        <v>1.1263453988251946</v>
      </c>
      <c r="FR589" s="335">
        <v>42136</v>
      </c>
      <c r="FS589" s="341">
        <v>183.11</v>
      </c>
      <c r="FT589" s="341"/>
    </row>
    <row r="590" spans="132:176" x14ac:dyDescent="0.6">
      <c r="EB590" s="335">
        <v>42118</v>
      </c>
      <c r="EC590" s="62">
        <v>184.36</v>
      </c>
      <c r="ED590" s="62">
        <v>2117.6899410000001</v>
      </c>
      <c r="EE590" s="78">
        <f t="shared" si="42"/>
        <v>1.0763616516368382</v>
      </c>
      <c r="EF590" s="78">
        <f t="shared" si="43"/>
        <v>1.1304867128250424</v>
      </c>
      <c r="FR590" s="335">
        <v>42135</v>
      </c>
      <c r="FS590" s="341">
        <v>182.87</v>
      </c>
      <c r="FT590" s="341"/>
    </row>
    <row r="591" spans="132:176" x14ac:dyDescent="0.6">
      <c r="EB591" s="335">
        <v>42117</v>
      </c>
      <c r="EC591" s="62">
        <v>182.69</v>
      </c>
      <c r="ED591" s="62">
        <v>2112.929932</v>
      </c>
      <c r="EE591" s="78">
        <f t="shared" si="42"/>
        <v>1.0672204835378727</v>
      </c>
      <c r="EF591" s="78">
        <f t="shared" si="43"/>
        <v>1.1282339126124512</v>
      </c>
      <c r="FR591" s="335">
        <v>42132</v>
      </c>
      <c r="FS591" s="341">
        <v>184.36</v>
      </c>
      <c r="FT591" s="341"/>
    </row>
    <row r="592" spans="132:176" x14ac:dyDescent="0.6">
      <c r="EB592" s="335">
        <v>42116</v>
      </c>
      <c r="EC592" s="62">
        <v>181.59</v>
      </c>
      <c r="ED592" s="62">
        <v>2107.959961</v>
      </c>
      <c r="EE592" s="78">
        <f t="shared" si="42"/>
        <v>1.0611628812469978</v>
      </c>
      <c r="EF592" s="78">
        <f t="shared" si="43"/>
        <v>1.1258761965780146</v>
      </c>
      <c r="FR592" s="335">
        <v>42131</v>
      </c>
      <c r="FS592" s="341">
        <v>183.13</v>
      </c>
      <c r="FT592" s="341"/>
    </row>
    <row r="593" spans="132:176" x14ac:dyDescent="0.6">
      <c r="EB593" s="335">
        <v>42115</v>
      </c>
      <c r="EC593" s="62">
        <v>183.85</v>
      </c>
      <c r="ED593" s="62">
        <v>2097.290039</v>
      </c>
      <c r="EE593" s="78">
        <f t="shared" si="42"/>
        <v>1.0734555111082977</v>
      </c>
      <c r="EF593" s="78">
        <f t="shared" si="43"/>
        <v>1.1207887161620549</v>
      </c>
      <c r="FR593" s="335">
        <v>42130</v>
      </c>
      <c r="FS593" s="341">
        <v>182.24</v>
      </c>
      <c r="FT593" s="341"/>
    </row>
    <row r="594" spans="132:176" x14ac:dyDescent="0.6">
      <c r="EB594" s="335">
        <v>42114</v>
      </c>
      <c r="EC594" s="62">
        <v>182</v>
      </c>
      <c r="ED594" s="62">
        <v>2100.3999020000001</v>
      </c>
      <c r="EE594" s="78">
        <f t="shared" si="42"/>
        <v>1.0632906759434626</v>
      </c>
      <c r="EF594" s="78">
        <f t="shared" si="43"/>
        <v>1.1222693213539705</v>
      </c>
      <c r="FR594" s="335">
        <v>42129</v>
      </c>
      <c r="FS594" s="341">
        <v>182.83</v>
      </c>
      <c r="FT594" s="341"/>
    </row>
    <row r="595" spans="132:176" x14ac:dyDescent="0.6">
      <c r="EB595" s="335">
        <v>42111</v>
      </c>
      <c r="EC595" s="62">
        <v>182.77</v>
      </c>
      <c r="ED595" s="62">
        <v>2081.179932</v>
      </c>
      <c r="EE595" s="78">
        <f t="shared" si="42"/>
        <v>1.0675036211751747</v>
      </c>
      <c r="EF595" s="78">
        <f t="shared" si="43"/>
        <v>1.1130341900207898</v>
      </c>
      <c r="FR595" s="335">
        <v>42128</v>
      </c>
      <c r="FS595" s="341">
        <v>183.02</v>
      </c>
      <c r="FT595" s="341"/>
    </row>
    <row r="596" spans="132:176" x14ac:dyDescent="0.6">
      <c r="EB596" s="335">
        <v>42110</v>
      </c>
      <c r="EC596" s="62">
        <v>182.89</v>
      </c>
      <c r="ED596" s="62">
        <v>2104.98999</v>
      </c>
      <c r="EE596" s="78">
        <f t="shared" si="42"/>
        <v>1.0681597532764378</v>
      </c>
      <c r="EF596" s="78">
        <f t="shared" si="43"/>
        <v>1.124345435258588</v>
      </c>
      <c r="EG596" s="78">
        <f>EE596</f>
        <v>1.0681597532764378</v>
      </c>
      <c r="EH596" s="62" t="s">
        <v>398</v>
      </c>
      <c r="FR596" s="335">
        <v>42125</v>
      </c>
      <c r="FS596" s="341">
        <v>183.19</v>
      </c>
      <c r="FT596" s="341"/>
    </row>
    <row r="597" spans="132:176" x14ac:dyDescent="0.6">
      <c r="EB597" s="335">
        <v>42109</v>
      </c>
      <c r="EC597" s="62">
        <v>163.92</v>
      </c>
      <c r="ED597" s="62">
        <v>2106.6298830000001</v>
      </c>
      <c r="EE597" s="78">
        <f t="shared" si="42"/>
        <v>0.95243256928424647</v>
      </c>
      <c r="EF597" s="78">
        <f t="shared" si="43"/>
        <v>1.125123879072204</v>
      </c>
      <c r="EG597" s="78"/>
      <c r="FR597" s="335">
        <v>42124</v>
      </c>
      <c r="FS597" s="341">
        <v>182.48</v>
      </c>
      <c r="FT597" s="341"/>
    </row>
    <row r="598" spans="132:176" x14ac:dyDescent="0.6">
      <c r="EB598" s="335">
        <v>42108</v>
      </c>
      <c r="EC598" s="62">
        <v>162.52000000000001</v>
      </c>
      <c r="ED598" s="62">
        <v>2095.8400879999999</v>
      </c>
      <c r="EE598" s="78">
        <f t="shared" si="42"/>
        <v>0.94381824489340238</v>
      </c>
      <c r="EF598" s="78">
        <f t="shared" si="43"/>
        <v>1.1199756833382934</v>
      </c>
      <c r="FR598" s="335">
        <v>42123</v>
      </c>
      <c r="FS598" s="341">
        <v>184.39</v>
      </c>
      <c r="FT598" s="341"/>
    </row>
    <row r="599" spans="132:176" x14ac:dyDescent="0.6">
      <c r="EB599" s="335">
        <v>42107</v>
      </c>
      <c r="EC599" s="62">
        <v>165.3</v>
      </c>
      <c r="ED599" s="62">
        <v>2092.429932</v>
      </c>
      <c r="EE599" s="78">
        <f t="shared" si="42"/>
        <v>0.96063615172945804</v>
      </c>
      <c r="EF599" s="78">
        <f t="shared" si="43"/>
        <v>1.1183459245837242</v>
      </c>
      <c r="FR599" s="335">
        <v>42122</v>
      </c>
      <c r="FS599" s="341">
        <v>185.57</v>
      </c>
      <c r="FT599" s="341"/>
    </row>
    <row r="600" spans="132:176" x14ac:dyDescent="0.6">
      <c r="EB600" s="335">
        <v>42104</v>
      </c>
      <c r="EC600" s="62">
        <v>166.3</v>
      </c>
      <c r="ED600" s="62">
        <v>2102.0600589999999</v>
      </c>
      <c r="EE600" s="78">
        <f t="shared" si="42"/>
        <v>0.96664938083348695</v>
      </c>
      <c r="EF600" s="78">
        <f t="shared" si="43"/>
        <v>1.1229272051987895</v>
      </c>
      <c r="FR600" s="335">
        <v>42121</v>
      </c>
      <c r="FS600" s="341">
        <v>184.8</v>
      </c>
      <c r="FT600" s="341"/>
    </row>
    <row r="601" spans="132:176" x14ac:dyDescent="0.6">
      <c r="EB601" s="335">
        <v>42103</v>
      </c>
      <c r="EC601" s="62">
        <v>164.46</v>
      </c>
      <c r="ED601" s="62">
        <v>2091.179932</v>
      </c>
      <c r="EE601" s="78">
        <f t="shared" si="42"/>
        <v>0.95546124998100002</v>
      </c>
      <c r="EF601" s="78">
        <f t="shared" si="43"/>
        <v>1.1177243401399257</v>
      </c>
      <c r="FR601" s="335">
        <v>42118</v>
      </c>
      <c r="FS601" s="341">
        <v>184.36</v>
      </c>
      <c r="FT601" s="341"/>
    </row>
    <row r="602" spans="132:176" x14ac:dyDescent="0.6">
      <c r="EB602" s="335">
        <v>42102</v>
      </c>
      <c r="EC602" s="62">
        <v>165.97</v>
      </c>
      <c r="ED602" s="62">
        <v>2081.8999020000001</v>
      </c>
      <c r="EE602" s="78">
        <f t="shared" si="42"/>
        <v>0.96455927974541522</v>
      </c>
      <c r="EF602" s="78">
        <f t="shared" si="43"/>
        <v>1.1132668587830723</v>
      </c>
      <c r="FR602" s="335">
        <v>42117</v>
      </c>
      <c r="FS602" s="341">
        <v>182.69</v>
      </c>
      <c r="FT602" s="341"/>
    </row>
    <row r="603" spans="132:176" x14ac:dyDescent="0.6">
      <c r="EB603" s="335">
        <v>42101</v>
      </c>
      <c r="EC603" s="62">
        <v>164.92</v>
      </c>
      <c r="ED603" s="62">
        <v>2076.330078</v>
      </c>
      <c r="EE603" s="78">
        <f t="shared" si="42"/>
        <v>0.95819255648565282</v>
      </c>
      <c r="EF603" s="78">
        <f t="shared" si="43"/>
        <v>1.1105843257604975</v>
      </c>
      <c r="FR603" s="335">
        <v>42116</v>
      </c>
      <c r="FS603" s="341">
        <v>181.59</v>
      </c>
      <c r="FT603" s="341"/>
    </row>
    <row r="604" spans="132:176" x14ac:dyDescent="0.6">
      <c r="EB604" s="335">
        <v>42100</v>
      </c>
      <c r="EC604" s="62">
        <v>164.69</v>
      </c>
      <c r="ED604" s="62">
        <v>2080.6201169999999</v>
      </c>
      <c r="EE604" s="78">
        <f t="shared" si="42"/>
        <v>0.95679599324562614</v>
      </c>
      <c r="EF604" s="78">
        <f t="shared" si="43"/>
        <v>1.1126462297885069</v>
      </c>
      <c r="FR604" s="335">
        <v>42115</v>
      </c>
      <c r="FS604" s="341">
        <v>183.85</v>
      </c>
      <c r="FT604" s="341"/>
    </row>
    <row r="605" spans="132:176" x14ac:dyDescent="0.6">
      <c r="EB605" s="335">
        <v>42096</v>
      </c>
      <c r="EC605" s="62">
        <v>166.04</v>
      </c>
      <c r="ED605" s="62">
        <v>2066.959961</v>
      </c>
      <c r="EE605" s="78">
        <f t="shared" ref="EE605:EE668" si="44">EE606+(EC605-EC606)/EC606</f>
        <v>0.96492656419238587</v>
      </c>
      <c r="EF605" s="78">
        <f t="shared" ref="EF605:EF668" si="45">EF606+(ED605-ED606)/ED606</f>
        <v>1.1060374147859215</v>
      </c>
      <c r="FR605" s="335">
        <v>42114</v>
      </c>
      <c r="FS605" s="341">
        <v>182</v>
      </c>
      <c r="FT605" s="341"/>
    </row>
    <row r="606" spans="132:176" x14ac:dyDescent="0.6">
      <c r="EB606" s="335">
        <v>42095</v>
      </c>
      <c r="EC606" s="62">
        <v>164.49</v>
      </c>
      <c r="ED606" s="62">
        <v>2059.6899410000001</v>
      </c>
      <c r="EE606" s="78">
        <f t="shared" si="44"/>
        <v>0.95550349896045694</v>
      </c>
      <c r="EF606" s="78">
        <f t="shared" si="45"/>
        <v>1.1025077475989904</v>
      </c>
      <c r="FR606" s="335">
        <v>42111</v>
      </c>
      <c r="FS606" s="341">
        <v>182.77</v>
      </c>
      <c r="FT606" s="341"/>
    </row>
    <row r="607" spans="132:176" x14ac:dyDescent="0.6">
      <c r="EB607" s="335">
        <v>42094</v>
      </c>
      <c r="EC607" s="62">
        <v>159.995</v>
      </c>
      <c r="ED607" s="62">
        <v>2067.889893</v>
      </c>
      <c r="EE607" s="78">
        <f t="shared" si="44"/>
        <v>0.92740887100333325</v>
      </c>
      <c r="EF607" s="78">
        <f t="shared" si="45"/>
        <v>1.106473119269773</v>
      </c>
      <c r="FR607" s="335">
        <v>42110</v>
      </c>
      <c r="FS607" s="341">
        <v>182.89</v>
      </c>
      <c r="FT607" s="341"/>
    </row>
    <row r="608" spans="132:176" x14ac:dyDescent="0.6">
      <c r="EB608" s="335">
        <v>42093</v>
      </c>
      <c r="EC608" s="62">
        <v>159.53</v>
      </c>
      <c r="ED608" s="62">
        <v>2086.23999</v>
      </c>
      <c r="EE608" s="78">
        <f t="shared" si="44"/>
        <v>0.92449405874231649</v>
      </c>
      <c r="EF608" s="78">
        <f t="shared" si="45"/>
        <v>1.1152688940070792</v>
      </c>
      <c r="FR608" s="335">
        <v>42109</v>
      </c>
      <c r="FS608" s="341">
        <v>163.92</v>
      </c>
      <c r="FT608" s="341"/>
    </row>
    <row r="609" spans="132:176" x14ac:dyDescent="0.6">
      <c r="EB609" s="335">
        <v>42090</v>
      </c>
      <c r="EC609" s="62">
        <v>159.22</v>
      </c>
      <c r="ED609" s="62">
        <v>2061.0200199999999</v>
      </c>
      <c r="EE609" s="78">
        <f t="shared" si="44"/>
        <v>0.92254706715834467</v>
      </c>
      <c r="EF609" s="78">
        <f t="shared" si="45"/>
        <v>1.1030322491636195</v>
      </c>
      <c r="FR609" s="335">
        <v>42108</v>
      </c>
      <c r="FS609" s="341">
        <v>162.52000000000001</v>
      </c>
      <c r="FT609" s="341"/>
    </row>
    <row r="610" spans="132:176" x14ac:dyDescent="0.6">
      <c r="EB610" s="335">
        <v>42089</v>
      </c>
      <c r="EC610" s="62">
        <v>157.27000000000001</v>
      </c>
      <c r="ED610" s="62">
        <v>2056.1499020000001</v>
      </c>
      <c r="EE610" s="78">
        <f t="shared" si="44"/>
        <v>0.91014800821512609</v>
      </c>
      <c r="EF610" s="78">
        <f t="shared" si="45"/>
        <v>1.1006636874185529</v>
      </c>
      <c r="FR610" s="335">
        <v>42107</v>
      </c>
      <c r="FS610" s="341">
        <v>165.3</v>
      </c>
      <c r="FT610" s="341"/>
    </row>
    <row r="611" spans="132:176" x14ac:dyDescent="0.6">
      <c r="EB611" s="335">
        <v>42088</v>
      </c>
      <c r="EC611" s="62">
        <v>157.41999999999999</v>
      </c>
      <c r="ED611" s="62">
        <v>2061.0500489999999</v>
      </c>
      <c r="EE611" s="78">
        <f t="shared" si="44"/>
        <v>0.91110087316240074</v>
      </c>
      <c r="EF611" s="78">
        <f t="shared" si="45"/>
        <v>1.103041187665273</v>
      </c>
      <c r="FR611" s="335">
        <v>42104</v>
      </c>
      <c r="FS611" s="341">
        <v>166.3</v>
      </c>
      <c r="FT611" s="341"/>
    </row>
    <row r="612" spans="132:176" x14ac:dyDescent="0.6">
      <c r="EB612" s="335">
        <v>42087</v>
      </c>
      <c r="EC612" s="62">
        <v>159.47499999999999</v>
      </c>
      <c r="ED612" s="62">
        <v>2091.5</v>
      </c>
      <c r="EE612" s="78">
        <f t="shared" si="44"/>
        <v>0.92398690545586371</v>
      </c>
      <c r="EF612" s="78">
        <f t="shared" si="45"/>
        <v>1.117600093235438</v>
      </c>
      <c r="FR612" s="335">
        <v>42103</v>
      </c>
      <c r="FS612" s="341">
        <v>164.46</v>
      </c>
      <c r="FT612" s="341"/>
    </row>
    <row r="613" spans="132:176" x14ac:dyDescent="0.6">
      <c r="EB613" s="335">
        <v>42086</v>
      </c>
      <c r="EC613" s="62">
        <v>160.54</v>
      </c>
      <c r="ED613" s="62">
        <v>2104.419922</v>
      </c>
      <c r="EE613" s="78">
        <f t="shared" si="44"/>
        <v>0.93062076617593348</v>
      </c>
      <c r="EF613" s="78">
        <f t="shared" si="45"/>
        <v>1.1237395152514209</v>
      </c>
      <c r="FR613" s="335">
        <v>42102</v>
      </c>
      <c r="FS613" s="341">
        <v>165.97</v>
      </c>
      <c r="FT613" s="341"/>
    </row>
    <row r="614" spans="132:176" x14ac:dyDescent="0.6">
      <c r="EB614" s="335">
        <v>42083</v>
      </c>
      <c r="EC614" s="62">
        <v>161.66999999999999</v>
      </c>
      <c r="ED614" s="62">
        <v>2108.1000979999999</v>
      </c>
      <c r="EE614" s="78">
        <f t="shared" si="44"/>
        <v>0.93761031278321993</v>
      </c>
      <c r="EF614" s="78">
        <f t="shared" si="45"/>
        <v>1.1254852463974379</v>
      </c>
      <c r="FR614" s="335">
        <v>42101</v>
      </c>
      <c r="FS614" s="341">
        <v>164.92</v>
      </c>
      <c r="FT614" s="341"/>
    </row>
    <row r="615" spans="132:176" x14ac:dyDescent="0.6">
      <c r="EB615" s="335">
        <v>42082</v>
      </c>
      <c r="EC615" s="62">
        <v>160.91999999999999</v>
      </c>
      <c r="ED615" s="62">
        <v>2089.2700199999999</v>
      </c>
      <c r="EE615" s="78">
        <f t="shared" si="44"/>
        <v>0.9329496118137941</v>
      </c>
      <c r="EF615" s="78">
        <f t="shared" si="45"/>
        <v>1.116472491789491</v>
      </c>
      <c r="FR615" s="335">
        <v>42100</v>
      </c>
      <c r="FS615" s="341">
        <v>164.69</v>
      </c>
      <c r="FT615" s="341"/>
    </row>
    <row r="616" spans="132:176" x14ac:dyDescent="0.6">
      <c r="EB616" s="335">
        <v>42081</v>
      </c>
      <c r="EC616" s="62">
        <v>161.56</v>
      </c>
      <c r="ED616" s="62">
        <v>2099.5</v>
      </c>
      <c r="EE616" s="78">
        <f t="shared" si="44"/>
        <v>0.93691098839215514</v>
      </c>
      <c r="EF616" s="78">
        <f t="shared" si="45"/>
        <v>1.1213450709750115</v>
      </c>
      <c r="EG616" s="78"/>
      <c r="FR616" s="335">
        <v>42096</v>
      </c>
      <c r="FS616" s="341">
        <v>166.04</v>
      </c>
      <c r="FT616" s="341"/>
    </row>
    <row r="617" spans="132:176" x14ac:dyDescent="0.6">
      <c r="EB617" s="335">
        <v>42080</v>
      </c>
      <c r="EC617" s="62">
        <v>163.67500000000001</v>
      </c>
      <c r="ED617" s="62">
        <v>2074.280029</v>
      </c>
      <c r="EE617" s="78">
        <f t="shared" si="44"/>
        <v>0.94983293737642283</v>
      </c>
      <c r="EF617" s="78">
        <f t="shared" si="45"/>
        <v>1.1091866494275802</v>
      </c>
      <c r="FR617" s="335">
        <v>42095</v>
      </c>
      <c r="FS617" s="341">
        <v>164.49</v>
      </c>
      <c r="FT617" s="341">
        <f>FU13</f>
        <v>205.83333333333334</v>
      </c>
    </row>
    <row r="618" spans="132:176" x14ac:dyDescent="0.6">
      <c r="EB618" s="335">
        <v>42079</v>
      </c>
      <c r="EC618" s="62">
        <v>164.08</v>
      </c>
      <c r="ED618" s="62">
        <v>2081.1899410000001</v>
      </c>
      <c r="EE618" s="78">
        <f t="shared" si="44"/>
        <v>0.95230124551879236</v>
      </c>
      <c r="EF618" s="78">
        <f t="shared" si="45"/>
        <v>1.1125068230762574</v>
      </c>
      <c r="FR618" s="335">
        <v>42094</v>
      </c>
      <c r="FS618" s="341">
        <v>159.995</v>
      </c>
      <c r="FT618" s="341"/>
    </row>
    <row r="619" spans="132:176" x14ac:dyDescent="0.6">
      <c r="EB619" s="335">
        <v>42076</v>
      </c>
      <c r="EC619" s="62">
        <v>163.44999999999999</v>
      </c>
      <c r="ED619" s="62">
        <v>2053.3999020000001</v>
      </c>
      <c r="EE619" s="78">
        <f t="shared" si="44"/>
        <v>0.94844685579716481</v>
      </c>
      <c r="EF619" s="78">
        <f t="shared" si="45"/>
        <v>1.098973151932642</v>
      </c>
      <c r="FR619" s="335">
        <v>42093</v>
      </c>
      <c r="FS619" s="341">
        <v>159.53</v>
      </c>
      <c r="FT619" s="341"/>
    </row>
    <row r="620" spans="132:176" x14ac:dyDescent="0.6">
      <c r="EB620" s="335">
        <v>42075</v>
      </c>
      <c r="EC620" s="62">
        <v>163.76</v>
      </c>
      <c r="ED620" s="62">
        <v>2065.9499510000001</v>
      </c>
      <c r="EE620" s="78">
        <f t="shared" si="44"/>
        <v>0.95033986996423858</v>
      </c>
      <c r="EF620" s="78">
        <f t="shared" si="45"/>
        <v>1.1050478629845362</v>
      </c>
      <c r="FR620" s="335">
        <v>42090</v>
      </c>
      <c r="FS620" s="341">
        <v>159.22</v>
      </c>
      <c r="FT620" s="341"/>
    </row>
    <row r="621" spans="132:176" x14ac:dyDescent="0.6">
      <c r="EB621" s="335">
        <v>42074</v>
      </c>
      <c r="EC621" s="62">
        <v>158.59</v>
      </c>
      <c r="ED621" s="62">
        <v>2040.23999</v>
      </c>
      <c r="EE621" s="78">
        <f t="shared" si="44"/>
        <v>0.91774008435354437</v>
      </c>
      <c r="EF621" s="78">
        <f t="shared" si="45"/>
        <v>1.0924464233862465</v>
      </c>
      <c r="FR621" s="335">
        <v>42089</v>
      </c>
      <c r="FS621" s="341">
        <v>157.27000000000001</v>
      </c>
      <c r="FT621" s="341"/>
    </row>
    <row r="622" spans="132:176" x14ac:dyDescent="0.6">
      <c r="EB622" s="335">
        <v>42073</v>
      </c>
      <c r="EC622" s="62">
        <v>157.15</v>
      </c>
      <c r="ED622" s="62">
        <v>2044.160034</v>
      </c>
      <c r="EE622" s="78">
        <f t="shared" si="44"/>
        <v>0.90857686449990138</v>
      </c>
      <c r="EF622" s="78">
        <f t="shared" si="45"/>
        <v>1.0943641029880384</v>
      </c>
      <c r="FR622" s="335">
        <v>42088</v>
      </c>
      <c r="FS622" s="341">
        <v>157.41999999999999</v>
      </c>
      <c r="FT622" s="341"/>
    </row>
    <row r="623" spans="132:176" x14ac:dyDescent="0.6">
      <c r="EB623" s="335">
        <v>42072</v>
      </c>
      <c r="EC623" s="62">
        <v>159</v>
      </c>
      <c r="ED623" s="62">
        <v>2079.429932</v>
      </c>
      <c r="EE623" s="78">
        <f t="shared" si="44"/>
        <v>0.92021208462568749</v>
      </c>
      <c r="EF623" s="78">
        <f t="shared" si="45"/>
        <v>1.1113254333301854</v>
      </c>
      <c r="FR623" s="335">
        <v>42087</v>
      </c>
      <c r="FS623" s="341">
        <v>159.47499999999999</v>
      </c>
      <c r="FT623" s="341"/>
    </row>
    <row r="624" spans="132:176" x14ac:dyDescent="0.6">
      <c r="EB624" s="335">
        <v>42069</v>
      </c>
      <c r="EC624" s="62">
        <v>159.41999999999999</v>
      </c>
      <c r="ED624" s="62">
        <v>2071.26001</v>
      </c>
      <c r="EE624" s="78">
        <f t="shared" si="44"/>
        <v>0.92284663487032426</v>
      </c>
      <c r="EF624" s="78">
        <f t="shared" si="45"/>
        <v>1.1073810120790841</v>
      </c>
      <c r="FR624" s="335">
        <v>42086</v>
      </c>
      <c r="FS624" s="341">
        <v>160.54</v>
      </c>
      <c r="FT624" s="341"/>
    </row>
    <row r="625" spans="132:176" x14ac:dyDescent="0.6">
      <c r="EB625" s="335">
        <v>42068</v>
      </c>
      <c r="EC625" s="62">
        <v>161.54</v>
      </c>
      <c r="ED625" s="62">
        <v>2101.040039</v>
      </c>
      <c r="EE625" s="78">
        <f t="shared" si="44"/>
        <v>0.93597031940666209</v>
      </c>
      <c r="EF625" s="78">
        <f t="shared" si="45"/>
        <v>1.1215549585280884</v>
      </c>
      <c r="FR625" s="335">
        <v>42083</v>
      </c>
      <c r="FS625" s="341">
        <v>161.66999999999999</v>
      </c>
      <c r="FT625" s="341"/>
    </row>
    <row r="626" spans="132:176" x14ac:dyDescent="0.6">
      <c r="EB626" s="335">
        <v>42067</v>
      </c>
      <c r="EC626" s="62">
        <v>161.52000000000001</v>
      </c>
      <c r="ED626" s="62">
        <v>2098.530029</v>
      </c>
      <c r="EE626" s="78">
        <f t="shared" si="44"/>
        <v>0.93584649573157552</v>
      </c>
      <c r="EF626" s="78">
        <f t="shared" si="45"/>
        <v>1.1203588784313951</v>
      </c>
      <c r="FR626" s="335">
        <v>42082</v>
      </c>
      <c r="FS626" s="341">
        <v>160.91999999999999</v>
      </c>
      <c r="FT626" s="341"/>
    </row>
    <row r="627" spans="132:176" x14ac:dyDescent="0.6">
      <c r="EB627" s="335">
        <v>42066</v>
      </c>
      <c r="EC627" s="62">
        <v>162.78</v>
      </c>
      <c r="ED627" s="62">
        <v>2107.780029</v>
      </c>
      <c r="EE627" s="78">
        <f t="shared" si="44"/>
        <v>0.94358700439357324</v>
      </c>
      <c r="EF627" s="78">
        <f t="shared" si="45"/>
        <v>1.1247473819150289</v>
      </c>
      <c r="FR627" s="335">
        <v>42081</v>
      </c>
      <c r="FS627" s="341">
        <v>161.56</v>
      </c>
      <c r="FT627" s="341"/>
    </row>
    <row r="628" spans="132:176" x14ac:dyDescent="0.6">
      <c r="EB628" s="335">
        <v>42065</v>
      </c>
      <c r="EC628" s="62">
        <v>163.19999999999999</v>
      </c>
      <c r="ED628" s="62">
        <v>2117.389893</v>
      </c>
      <c r="EE628" s="78">
        <f t="shared" si="44"/>
        <v>0.94616053380533782</v>
      </c>
      <c r="EF628" s="78">
        <f t="shared" si="45"/>
        <v>1.1292859244063149</v>
      </c>
      <c r="FR628" s="335">
        <v>42080</v>
      </c>
      <c r="FS628" s="341">
        <v>163.67500000000001</v>
      </c>
      <c r="FT628" s="341"/>
    </row>
    <row r="629" spans="132:176" x14ac:dyDescent="0.6">
      <c r="EB629" s="335">
        <v>42062</v>
      </c>
      <c r="EC629" s="62">
        <v>161.43</v>
      </c>
      <c r="ED629" s="62">
        <v>2104.5</v>
      </c>
      <c r="EE629" s="78">
        <f t="shared" si="44"/>
        <v>0.93519602906644184</v>
      </c>
      <c r="EF629" s="78">
        <f t="shared" si="45"/>
        <v>1.1231610049480112</v>
      </c>
      <c r="FR629" s="335">
        <v>42079</v>
      </c>
      <c r="FS629" s="341">
        <v>164.08</v>
      </c>
      <c r="FT629" s="341"/>
    </row>
    <row r="630" spans="132:176" x14ac:dyDescent="0.6">
      <c r="EB630" s="335">
        <v>42061</v>
      </c>
      <c r="EC630" s="62">
        <v>161.54</v>
      </c>
      <c r="ED630" s="62">
        <v>2110.73999</v>
      </c>
      <c r="EE630" s="78">
        <f t="shared" si="44"/>
        <v>0.93587697496219513</v>
      </c>
      <c r="EF630" s="78">
        <f t="shared" si="45"/>
        <v>1.1261173093860581</v>
      </c>
      <c r="FR630" s="335">
        <v>42076</v>
      </c>
      <c r="FS630" s="341">
        <v>163.44999999999999</v>
      </c>
      <c r="FT630" s="341"/>
    </row>
    <row r="631" spans="132:176" x14ac:dyDescent="0.6">
      <c r="EB631" s="335">
        <v>42060</v>
      </c>
      <c r="EC631" s="62">
        <v>158.97999999999999</v>
      </c>
      <c r="ED631" s="62">
        <v>2113.860107</v>
      </c>
      <c r="EE631" s="78">
        <f t="shared" si="44"/>
        <v>0.91977432054025521</v>
      </c>
      <c r="EF631" s="78">
        <f t="shared" si="45"/>
        <v>1.127593337525133</v>
      </c>
      <c r="FR631" s="335">
        <v>42075</v>
      </c>
      <c r="FS631" s="341">
        <v>163.76</v>
      </c>
      <c r="FT631" s="341"/>
    </row>
    <row r="632" spans="132:176" x14ac:dyDescent="0.6">
      <c r="EB632" s="335">
        <v>42059</v>
      </c>
      <c r="EC632" s="62">
        <v>159.63</v>
      </c>
      <c r="ED632" s="62">
        <v>2115.4799800000001</v>
      </c>
      <c r="EE632" s="78">
        <f t="shared" si="44"/>
        <v>0.92384623684671396</v>
      </c>
      <c r="EF632" s="78">
        <f t="shared" si="45"/>
        <v>1.1283590611506529</v>
      </c>
      <c r="FR632" s="335">
        <v>42074</v>
      </c>
      <c r="FS632" s="341">
        <v>158.59</v>
      </c>
      <c r="FT632" s="341"/>
    </row>
    <row r="633" spans="132:176" x14ac:dyDescent="0.6">
      <c r="EB633" s="335">
        <v>42058</v>
      </c>
      <c r="EC633" s="62">
        <v>158.13</v>
      </c>
      <c r="ED633" s="62">
        <v>2109.6599120000001</v>
      </c>
      <c r="EE633" s="78">
        <f t="shared" si="44"/>
        <v>0.91436037078714272</v>
      </c>
      <c r="EF633" s="78">
        <f t="shared" si="45"/>
        <v>1.1256002904279905</v>
      </c>
      <c r="FR633" s="335">
        <v>42073</v>
      </c>
      <c r="FS633" s="341">
        <v>157.15</v>
      </c>
      <c r="FT633" s="341"/>
    </row>
    <row r="634" spans="132:176" x14ac:dyDescent="0.6">
      <c r="EB634" s="335">
        <v>42055</v>
      </c>
      <c r="EC634" s="62">
        <v>157.47999999999999</v>
      </c>
      <c r="ED634" s="62">
        <v>2110.3000489999999</v>
      </c>
      <c r="EE634" s="78">
        <f t="shared" si="44"/>
        <v>0.91023286253212621</v>
      </c>
      <c r="EF634" s="78">
        <f t="shared" si="45"/>
        <v>1.1259036297565865</v>
      </c>
      <c r="FR634" s="335">
        <v>42072</v>
      </c>
      <c r="FS634" s="341">
        <v>159</v>
      </c>
      <c r="FT634" s="341"/>
    </row>
    <row r="635" spans="132:176" x14ac:dyDescent="0.6">
      <c r="EB635" s="335">
        <v>42054</v>
      </c>
      <c r="EC635" s="62">
        <v>158.97999999999999</v>
      </c>
      <c r="ED635" s="62">
        <v>2097.4499510000001</v>
      </c>
      <c r="EE635" s="78">
        <f t="shared" si="44"/>
        <v>0.91966801160748157</v>
      </c>
      <c r="EF635" s="78">
        <f t="shared" si="45"/>
        <v>1.1197770959654592</v>
      </c>
      <c r="FR635" s="335">
        <v>42069</v>
      </c>
      <c r="FS635" s="341">
        <v>159.41999999999999</v>
      </c>
      <c r="FT635" s="341"/>
    </row>
    <row r="636" spans="132:176" x14ac:dyDescent="0.6">
      <c r="EB636" s="335">
        <v>42053</v>
      </c>
      <c r="EC636" s="62">
        <v>155.27000000000001</v>
      </c>
      <c r="ED636" s="62">
        <v>2099.679932</v>
      </c>
      <c r="EE636" s="78">
        <f t="shared" si="44"/>
        <v>0.89577414930310872</v>
      </c>
      <c r="EF636" s="78">
        <f t="shared" si="45"/>
        <v>1.1208391535514817</v>
      </c>
      <c r="FR636" s="335">
        <v>42068</v>
      </c>
      <c r="FS636" s="341">
        <v>161.54</v>
      </c>
      <c r="FT636" s="341"/>
    </row>
    <row r="637" spans="132:176" x14ac:dyDescent="0.6">
      <c r="EB637" s="335">
        <v>42052</v>
      </c>
      <c r="EC637" s="62">
        <v>153.68</v>
      </c>
      <c r="ED637" s="62">
        <v>2100.3400879999999</v>
      </c>
      <c r="EE637" s="78">
        <f t="shared" si="44"/>
        <v>0.88542797543533147</v>
      </c>
      <c r="EF637" s="78">
        <f t="shared" si="45"/>
        <v>1.1211534626501707</v>
      </c>
      <c r="FR637" s="335">
        <v>42067</v>
      </c>
      <c r="FS637" s="341">
        <v>161.52000000000001</v>
      </c>
      <c r="FT637" s="341"/>
    </row>
    <row r="638" spans="132:176" x14ac:dyDescent="0.6">
      <c r="EB638" s="335">
        <v>42048</v>
      </c>
      <c r="EC638" s="62">
        <v>155.02000000000001</v>
      </c>
      <c r="ED638" s="62">
        <v>2096.98999</v>
      </c>
      <c r="EE638" s="78">
        <f t="shared" si="44"/>
        <v>0.89407202136488895</v>
      </c>
      <c r="EF638" s="78">
        <f t="shared" si="45"/>
        <v>1.1195558880236938</v>
      </c>
      <c r="FR638" s="335">
        <v>42066</v>
      </c>
      <c r="FS638" s="341">
        <v>162.78</v>
      </c>
      <c r="FT638" s="341"/>
    </row>
    <row r="639" spans="132:176" x14ac:dyDescent="0.6">
      <c r="EB639" s="335">
        <v>42047</v>
      </c>
      <c r="EC639" s="62">
        <v>157.33000000000001</v>
      </c>
      <c r="ED639" s="62">
        <v>2088.4799800000001</v>
      </c>
      <c r="EE639" s="78">
        <f t="shared" si="44"/>
        <v>0.90875453582494103</v>
      </c>
      <c r="EF639" s="78">
        <f t="shared" si="45"/>
        <v>1.1154811494188257</v>
      </c>
      <c r="EG639" s="78"/>
      <c r="FR639" s="335">
        <v>42065</v>
      </c>
      <c r="FS639" s="341">
        <v>163.19999999999999</v>
      </c>
      <c r="FT639" s="341"/>
    </row>
    <row r="640" spans="132:176" x14ac:dyDescent="0.6">
      <c r="EB640" s="335">
        <v>42046</v>
      </c>
      <c r="EC640" s="62">
        <v>176.48</v>
      </c>
      <c r="ED640" s="62">
        <v>2068.530029</v>
      </c>
      <c r="EE640" s="78">
        <f t="shared" si="44"/>
        <v>1.0172654152447052</v>
      </c>
      <c r="EF640" s="78">
        <f t="shared" si="45"/>
        <v>1.1058366430687561</v>
      </c>
      <c r="EG640" s="78">
        <f>EE640</f>
        <v>1.0172654152447052</v>
      </c>
      <c r="EH640" s="62" t="s">
        <v>396</v>
      </c>
      <c r="FR640" s="335">
        <v>42062</v>
      </c>
      <c r="FS640" s="341">
        <v>161.43</v>
      </c>
      <c r="FT640" s="341"/>
    </row>
    <row r="641" spans="132:176" x14ac:dyDescent="0.6">
      <c r="EB641" s="335">
        <v>42045</v>
      </c>
      <c r="EC641" s="62">
        <v>176.62</v>
      </c>
      <c r="ED641" s="62">
        <v>2068.5900879999999</v>
      </c>
      <c r="EE641" s="78">
        <f t="shared" si="44"/>
        <v>1.0180580774573651</v>
      </c>
      <c r="EF641" s="78">
        <f t="shared" si="45"/>
        <v>1.1058656768538198</v>
      </c>
      <c r="FR641" s="335">
        <v>42061</v>
      </c>
      <c r="FS641" s="341">
        <v>161.54</v>
      </c>
      <c r="FT641" s="341"/>
    </row>
    <row r="642" spans="132:176" x14ac:dyDescent="0.6">
      <c r="EB642" s="335">
        <v>42044</v>
      </c>
      <c r="EC642" s="62">
        <v>173.76</v>
      </c>
      <c r="ED642" s="62">
        <v>2046.73999</v>
      </c>
      <c r="EE642" s="78">
        <f t="shared" si="44"/>
        <v>1.0015985931111404</v>
      </c>
      <c r="EF642" s="78">
        <f t="shared" si="45"/>
        <v>1.0951901156654151</v>
      </c>
      <c r="FR642" s="335">
        <v>42060</v>
      </c>
      <c r="FS642" s="341">
        <v>158.97999999999999</v>
      </c>
      <c r="FT642" s="341"/>
    </row>
    <row r="643" spans="132:176" x14ac:dyDescent="0.6">
      <c r="EB643" s="335">
        <v>42041</v>
      </c>
      <c r="EC643" s="62">
        <v>172.88</v>
      </c>
      <c r="ED643" s="62">
        <v>2055.469971</v>
      </c>
      <c r="EE643" s="78">
        <f t="shared" si="44"/>
        <v>0.99650835710928942</v>
      </c>
      <c r="EF643" s="78">
        <f t="shared" si="45"/>
        <v>1.0994373102842461</v>
      </c>
      <c r="FR643" s="335">
        <v>42059</v>
      </c>
      <c r="FS643" s="341">
        <v>159.63</v>
      </c>
      <c r="FT643" s="341"/>
    </row>
    <row r="644" spans="132:176" x14ac:dyDescent="0.6">
      <c r="EB644" s="335">
        <v>42040</v>
      </c>
      <c r="EC644" s="62">
        <v>172.4</v>
      </c>
      <c r="ED644" s="62">
        <v>2062.5200199999999</v>
      </c>
      <c r="EE644" s="78">
        <f t="shared" si="44"/>
        <v>0.99372413437147045</v>
      </c>
      <c r="EF644" s="78">
        <f t="shared" si="45"/>
        <v>1.1028554826809436</v>
      </c>
      <c r="FR644" s="335">
        <v>42058</v>
      </c>
      <c r="FS644" s="341">
        <v>158.13</v>
      </c>
      <c r="FT644" s="341"/>
    </row>
    <row r="645" spans="132:176" x14ac:dyDescent="0.6">
      <c r="EB645" s="335">
        <v>42039</v>
      </c>
      <c r="EC645" s="62">
        <v>171.78</v>
      </c>
      <c r="ED645" s="62">
        <v>2041.51001</v>
      </c>
      <c r="EE645" s="78">
        <f t="shared" si="44"/>
        <v>0.990114866703523</v>
      </c>
      <c r="EF645" s="78">
        <f t="shared" si="45"/>
        <v>1.0925640758805431</v>
      </c>
      <c r="FR645" s="335">
        <v>42055</v>
      </c>
      <c r="FS645" s="341">
        <v>157.47999999999999</v>
      </c>
      <c r="FT645" s="341"/>
    </row>
    <row r="646" spans="132:176" x14ac:dyDescent="0.6">
      <c r="EB646" s="335">
        <v>42038</v>
      </c>
      <c r="EC646" s="62">
        <v>172.71</v>
      </c>
      <c r="ED646" s="62">
        <v>2050.030029</v>
      </c>
      <c r="EE646" s="78">
        <f t="shared" si="44"/>
        <v>0.99549961570473899</v>
      </c>
      <c r="EF646" s="78">
        <f t="shared" si="45"/>
        <v>1.0967201218308338</v>
      </c>
      <c r="FR646" s="335">
        <v>42054</v>
      </c>
      <c r="FS646" s="341">
        <v>158.97999999999999</v>
      </c>
      <c r="FT646" s="341"/>
    </row>
    <row r="647" spans="132:176" x14ac:dyDescent="0.6">
      <c r="EB647" s="335">
        <v>42037</v>
      </c>
      <c r="EC647" s="62">
        <v>172.85</v>
      </c>
      <c r="ED647" s="62">
        <v>2020.849976</v>
      </c>
      <c r="EE647" s="78">
        <f t="shared" si="44"/>
        <v>0.99630956652915315</v>
      </c>
      <c r="EF647" s="78">
        <f t="shared" si="45"/>
        <v>1.0822806268922942</v>
      </c>
      <c r="FR647" s="335">
        <v>42053</v>
      </c>
      <c r="FS647" s="341">
        <v>155.27000000000001</v>
      </c>
      <c r="FT647" s="341"/>
    </row>
    <row r="648" spans="132:176" x14ac:dyDescent="0.6">
      <c r="EB648" s="335">
        <v>42034</v>
      </c>
      <c r="EC648" s="62">
        <v>171.86</v>
      </c>
      <c r="ED648" s="62">
        <v>1994.98999</v>
      </c>
      <c r="EE648" s="78">
        <f t="shared" si="44"/>
        <v>0.99054906379436913</v>
      </c>
      <c r="EF648" s="78">
        <f t="shared" si="45"/>
        <v>1.0693181628550688</v>
      </c>
      <c r="FR648" s="335">
        <v>42052</v>
      </c>
      <c r="FS648" s="341">
        <v>153.68</v>
      </c>
      <c r="FT648" s="341"/>
    </row>
    <row r="649" spans="132:176" x14ac:dyDescent="0.6">
      <c r="EB649" s="335">
        <v>42033</v>
      </c>
      <c r="EC649" s="62">
        <v>173.32</v>
      </c>
      <c r="ED649" s="62">
        <v>2021.25</v>
      </c>
      <c r="EE649" s="78">
        <f t="shared" si="44"/>
        <v>0.99897278869628459</v>
      </c>
      <c r="EF649" s="78">
        <f t="shared" si="45"/>
        <v>1.0823101282230341</v>
      </c>
      <c r="FR649" s="335">
        <v>42048</v>
      </c>
      <c r="FS649" s="341">
        <v>155.02000000000001</v>
      </c>
      <c r="FT649" s="341"/>
    </row>
    <row r="650" spans="132:176" x14ac:dyDescent="0.6">
      <c r="EB650" s="335">
        <v>42032</v>
      </c>
      <c r="EC650" s="62">
        <v>171.12</v>
      </c>
      <c r="ED650" s="62">
        <v>2002.160034</v>
      </c>
      <c r="EE650" s="78">
        <f t="shared" si="44"/>
        <v>0.98611631370797237</v>
      </c>
      <c r="EF650" s="78">
        <f t="shared" si="45"/>
        <v>1.0727754428453316</v>
      </c>
      <c r="FR650" s="335">
        <v>42047</v>
      </c>
      <c r="FS650" s="341">
        <v>157.33000000000001</v>
      </c>
      <c r="FT650" s="341"/>
    </row>
    <row r="651" spans="132:176" x14ac:dyDescent="0.6">
      <c r="EB651" s="335">
        <v>42031</v>
      </c>
      <c r="EC651" s="62">
        <v>171.22</v>
      </c>
      <c r="ED651" s="62">
        <v>2029.5500489999999</v>
      </c>
      <c r="EE651" s="78">
        <f t="shared" si="44"/>
        <v>0.98670035762807518</v>
      </c>
      <c r="EF651" s="78">
        <f t="shared" si="45"/>
        <v>1.0862710523837589</v>
      </c>
      <c r="FR651" s="335">
        <v>42046</v>
      </c>
      <c r="FS651" s="341">
        <v>176.48</v>
      </c>
      <c r="FT651" s="341"/>
    </row>
    <row r="652" spans="132:176" x14ac:dyDescent="0.6">
      <c r="EB652" s="335">
        <v>42030</v>
      </c>
      <c r="EC652" s="62">
        <v>170.09</v>
      </c>
      <c r="ED652" s="62">
        <v>2057.0900879999999</v>
      </c>
      <c r="EE652" s="78">
        <f t="shared" si="44"/>
        <v>0.9800568159736569</v>
      </c>
      <c r="EF652" s="78">
        <f t="shared" si="45"/>
        <v>1.0996589147630753</v>
      </c>
      <c r="FR652" s="335">
        <v>42045</v>
      </c>
      <c r="FS652" s="341">
        <v>176.62</v>
      </c>
      <c r="FT652" s="341"/>
    </row>
    <row r="653" spans="132:176" x14ac:dyDescent="0.6">
      <c r="EB653" s="335">
        <v>42027</v>
      </c>
      <c r="EC653" s="62">
        <v>170.35</v>
      </c>
      <c r="ED653" s="62">
        <v>2051.820068</v>
      </c>
      <c r="EE653" s="78">
        <f t="shared" si="44"/>
        <v>0.98158308541891659</v>
      </c>
      <c r="EF653" s="78">
        <f t="shared" si="45"/>
        <v>1.0970904536771395</v>
      </c>
      <c r="FR653" s="335">
        <v>42044</v>
      </c>
      <c r="FS653" s="341">
        <v>173.76</v>
      </c>
      <c r="FT653" s="341"/>
    </row>
    <row r="654" spans="132:176" x14ac:dyDescent="0.6">
      <c r="EB654" s="335">
        <v>42026</v>
      </c>
      <c r="EC654" s="62">
        <v>171.08</v>
      </c>
      <c r="ED654" s="62">
        <v>2063.1499020000001</v>
      </c>
      <c r="EE654" s="78">
        <f t="shared" si="44"/>
        <v>0.98585009500507526</v>
      </c>
      <c r="EF654" s="78">
        <f t="shared" si="45"/>
        <v>1.1025819761249351</v>
      </c>
      <c r="FR654" s="335">
        <v>42041</v>
      </c>
      <c r="FS654" s="341">
        <v>172.88</v>
      </c>
      <c r="FT654" s="341"/>
    </row>
    <row r="655" spans="132:176" x14ac:dyDescent="0.6">
      <c r="EB655" s="335">
        <v>42025</v>
      </c>
      <c r="EC655" s="62">
        <v>170.05</v>
      </c>
      <c r="ED655" s="62">
        <v>2032.119995</v>
      </c>
      <c r="EE655" s="78">
        <f t="shared" si="44"/>
        <v>0.97979305295861829</v>
      </c>
      <c r="EF655" s="78">
        <f t="shared" si="45"/>
        <v>1.0873122543189646</v>
      </c>
      <c r="FR655" s="335">
        <v>42040</v>
      </c>
      <c r="FS655" s="341">
        <v>172.4</v>
      </c>
      <c r="FT655" s="341"/>
    </row>
    <row r="656" spans="132:176" x14ac:dyDescent="0.6">
      <c r="EB656" s="335">
        <v>42024</v>
      </c>
      <c r="EC656" s="62">
        <v>168.37</v>
      </c>
      <c r="ED656" s="62">
        <v>2022.5500489999999</v>
      </c>
      <c r="EE656" s="78">
        <f t="shared" si="44"/>
        <v>0.96981502836991484</v>
      </c>
      <c r="EF656" s="78">
        <f t="shared" si="45"/>
        <v>1.0825806304935213</v>
      </c>
      <c r="FR656" s="335">
        <v>42039</v>
      </c>
      <c r="FS656" s="341">
        <v>171.78</v>
      </c>
      <c r="FT656" s="341"/>
    </row>
    <row r="657" spans="132:176" x14ac:dyDescent="0.6">
      <c r="EB657" s="335">
        <v>42020</v>
      </c>
      <c r="EC657" s="62">
        <v>171.39500000000001</v>
      </c>
      <c r="ED657" s="62">
        <v>2019.420044</v>
      </c>
      <c r="EE657" s="78">
        <f t="shared" si="44"/>
        <v>0.98746431802247181</v>
      </c>
      <c r="EF657" s="78">
        <f t="shared" si="45"/>
        <v>1.0810306780656944</v>
      </c>
      <c r="FR657" s="335">
        <v>42038</v>
      </c>
      <c r="FS657" s="341">
        <v>172.71</v>
      </c>
      <c r="FT657" s="341"/>
    </row>
    <row r="658" spans="132:176" x14ac:dyDescent="0.6">
      <c r="EB658" s="335">
        <v>42019</v>
      </c>
      <c r="EC658" s="62">
        <v>171.22</v>
      </c>
      <c r="ED658" s="62">
        <v>1992.670044</v>
      </c>
      <c r="EE658" s="78">
        <f t="shared" si="44"/>
        <v>0.98644224116229184</v>
      </c>
      <c r="EF658" s="78">
        <f t="shared" si="45"/>
        <v>1.0676064786702424</v>
      </c>
      <c r="FR658" s="335">
        <v>42037</v>
      </c>
      <c r="FS658" s="341">
        <v>172.85</v>
      </c>
      <c r="FT658" s="341"/>
    </row>
    <row r="659" spans="132:176" x14ac:dyDescent="0.6">
      <c r="EB659" s="335">
        <v>42018</v>
      </c>
      <c r="EC659" s="62">
        <v>175.23</v>
      </c>
      <c r="ED659" s="62">
        <v>2011.2700199999999</v>
      </c>
      <c r="EE659" s="78">
        <f t="shared" si="44"/>
        <v>1.0093264504871791</v>
      </c>
      <c r="EF659" s="78">
        <f t="shared" si="45"/>
        <v>1.0768543547957961</v>
      </c>
      <c r="FR659" s="335">
        <v>42034</v>
      </c>
      <c r="FS659" s="341">
        <v>171.86</v>
      </c>
      <c r="FT659" s="341"/>
    </row>
    <row r="660" spans="132:176" x14ac:dyDescent="0.6">
      <c r="EB660" s="335">
        <v>42017</v>
      </c>
      <c r="EC660" s="62">
        <v>176.52</v>
      </c>
      <c r="ED660" s="62">
        <v>2023.030029</v>
      </c>
      <c r="EE660" s="78">
        <f t="shared" si="44"/>
        <v>1.0166344042601227</v>
      </c>
      <c r="EF660" s="78">
        <f t="shared" si="45"/>
        <v>1.0826674217455798</v>
      </c>
      <c r="FR660" s="335">
        <v>42033</v>
      </c>
      <c r="FS660" s="341">
        <v>173.32</v>
      </c>
      <c r="FT660" s="341"/>
    </row>
    <row r="661" spans="132:176" x14ac:dyDescent="0.6">
      <c r="EB661" s="335">
        <v>42016</v>
      </c>
      <c r="EC661" s="62">
        <v>175.8</v>
      </c>
      <c r="ED661" s="62">
        <v>2028.26001</v>
      </c>
      <c r="EE661" s="78">
        <f t="shared" si="44"/>
        <v>1.012538841120191</v>
      </c>
      <c r="EF661" s="78">
        <f t="shared" si="45"/>
        <v>1.0852459772435015</v>
      </c>
      <c r="FR661" s="335">
        <v>42032</v>
      </c>
      <c r="FS661" s="341">
        <v>171.12</v>
      </c>
      <c r="FT661" s="341"/>
    </row>
    <row r="662" spans="132:176" x14ac:dyDescent="0.6">
      <c r="EB662" s="335">
        <v>42013</v>
      </c>
      <c r="EC662" s="62">
        <v>175.64</v>
      </c>
      <c r="ED662" s="62">
        <v>2044.8100589999999</v>
      </c>
      <c r="EE662" s="78">
        <f t="shared" si="44"/>
        <v>1.0116278868956405</v>
      </c>
      <c r="EF662" s="78">
        <f t="shared" si="45"/>
        <v>1.0933396624868603</v>
      </c>
      <c r="FR662" s="335">
        <v>42031</v>
      </c>
      <c r="FS662" s="341">
        <v>171.22</v>
      </c>
      <c r="FT662" s="341"/>
    </row>
    <row r="663" spans="132:176" x14ac:dyDescent="0.6">
      <c r="EB663" s="335">
        <v>42012</v>
      </c>
      <c r="EC663" s="62">
        <v>174.23</v>
      </c>
      <c r="ED663" s="62">
        <v>2062.139893</v>
      </c>
      <c r="EE663" s="78">
        <f t="shared" si="44"/>
        <v>1.0035351359342677</v>
      </c>
      <c r="EF663" s="78">
        <f t="shared" si="45"/>
        <v>1.1017434735274336</v>
      </c>
      <c r="FR663" s="335">
        <v>42030</v>
      </c>
      <c r="FS663" s="341">
        <v>170.09</v>
      </c>
      <c r="FT663" s="341"/>
    </row>
    <row r="664" spans="132:176" x14ac:dyDescent="0.6">
      <c r="EB664" s="335">
        <v>42011</v>
      </c>
      <c r="EC664" s="62">
        <v>172.87</v>
      </c>
      <c r="ED664" s="62">
        <v>2025.900024</v>
      </c>
      <c r="EE664" s="78">
        <f t="shared" si="44"/>
        <v>0.99566795250163054</v>
      </c>
      <c r="EF664" s="78">
        <f t="shared" si="45"/>
        <v>1.083855192481636</v>
      </c>
      <c r="FR664" s="335">
        <v>42027</v>
      </c>
      <c r="FS664" s="341">
        <v>170.35</v>
      </c>
      <c r="FT664" s="341"/>
    </row>
    <row r="665" spans="132:176" x14ac:dyDescent="0.6">
      <c r="EB665" s="335">
        <v>42010</v>
      </c>
      <c r="EC665" s="62">
        <v>169.39</v>
      </c>
      <c r="ED665" s="62">
        <v>2002.6099850000001</v>
      </c>
      <c r="EE665" s="78">
        <f t="shared" si="44"/>
        <v>0.97512364646231287</v>
      </c>
      <c r="EF665" s="78">
        <f t="shared" si="45"/>
        <v>1.0722253498390608</v>
      </c>
      <c r="FR665" s="335">
        <v>42026</v>
      </c>
      <c r="FS665" s="341">
        <v>171.08</v>
      </c>
      <c r="FT665" s="341"/>
    </row>
    <row r="666" spans="132:176" x14ac:dyDescent="0.6">
      <c r="EB666" s="335">
        <v>42009</v>
      </c>
      <c r="EC666" s="62">
        <v>172.26</v>
      </c>
      <c r="ED666" s="62">
        <v>2020.579956</v>
      </c>
      <c r="EE666" s="78">
        <f t="shared" si="44"/>
        <v>0.99178450795076056</v>
      </c>
      <c r="EF666" s="78">
        <f t="shared" si="45"/>
        <v>1.0811188217091738</v>
      </c>
      <c r="FR666" s="335">
        <v>42025</v>
      </c>
      <c r="FS666" s="341">
        <v>170.05</v>
      </c>
      <c r="FT666" s="341"/>
    </row>
    <row r="667" spans="132:176" x14ac:dyDescent="0.6">
      <c r="EB667" s="335">
        <v>42006</v>
      </c>
      <c r="EC667" s="62">
        <v>173.1</v>
      </c>
      <c r="ED667" s="62">
        <v>2058.1999510000001</v>
      </c>
      <c r="EE667" s="78">
        <f t="shared" si="44"/>
        <v>0.99663719425925279</v>
      </c>
      <c r="EF667" s="78">
        <f t="shared" si="45"/>
        <v>1.099396926798877</v>
      </c>
      <c r="FR667" s="335">
        <v>42024</v>
      </c>
      <c r="FS667" s="341">
        <v>168.37</v>
      </c>
      <c r="FT667" s="341"/>
    </row>
    <row r="668" spans="132:176" x14ac:dyDescent="0.6">
      <c r="EB668" s="335">
        <v>42004</v>
      </c>
      <c r="EC668" s="62">
        <v>174.8</v>
      </c>
      <c r="ED668" s="62">
        <v>2058.8999020000001</v>
      </c>
      <c r="EE668" s="78">
        <f t="shared" si="44"/>
        <v>1.0063625947169188</v>
      </c>
      <c r="EF668" s="78">
        <f t="shared" si="45"/>
        <v>1.0997368903878404</v>
      </c>
      <c r="FR668" s="335">
        <v>42020</v>
      </c>
      <c r="FS668" s="341">
        <v>171.39500000000001</v>
      </c>
      <c r="FT668" s="341"/>
    </row>
    <row r="669" spans="132:176" x14ac:dyDescent="0.6">
      <c r="EB669" s="335">
        <v>42003</v>
      </c>
      <c r="EC669" s="62">
        <v>174.89</v>
      </c>
      <c r="ED669" s="62">
        <v>2080.3500979999999</v>
      </c>
      <c r="EE669" s="78">
        <f t="shared" ref="EE669:EE732" si="46">EE670+(EC669-EC670)/EC670</f>
        <v>1.0068772038998337</v>
      </c>
      <c r="EF669" s="78">
        <f t="shared" ref="EF669:EF732" si="47">EF670+(ED669-ED670)/ED670</f>
        <v>1.11004774913254</v>
      </c>
      <c r="FR669" s="335">
        <v>42019</v>
      </c>
      <c r="FS669" s="341">
        <v>171.22</v>
      </c>
      <c r="FT669" s="341"/>
    </row>
    <row r="670" spans="132:176" x14ac:dyDescent="0.6">
      <c r="EB670" s="335">
        <v>42002</v>
      </c>
      <c r="EC670" s="62">
        <v>176.185</v>
      </c>
      <c r="ED670" s="62">
        <v>2090.570068</v>
      </c>
      <c r="EE670" s="78">
        <f t="shared" si="46"/>
        <v>1.0142274323528804</v>
      </c>
      <c r="EF670" s="78">
        <f t="shared" si="47"/>
        <v>1.1149363535167869</v>
      </c>
      <c r="FR670" s="335">
        <v>42018</v>
      </c>
      <c r="FS670" s="341">
        <v>175.23</v>
      </c>
      <c r="FT670" s="341"/>
    </row>
    <row r="671" spans="132:176" x14ac:dyDescent="0.6">
      <c r="EB671" s="335">
        <v>41999</v>
      </c>
      <c r="EC671" s="62">
        <v>173.25</v>
      </c>
      <c r="ED671" s="62">
        <v>2088.7700199999999</v>
      </c>
      <c r="EE671" s="78">
        <f t="shared" si="46"/>
        <v>0.99728659541204334</v>
      </c>
      <c r="EF671" s="78">
        <f t="shared" si="47"/>
        <v>1.1140745793708711</v>
      </c>
      <c r="FR671" s="335">
        <v>42017</v>
      </c>
      <c r="FS671" s="341">
        <v>176.52</v>
      </c>
      <c r="FT671" s="341"/>
    </row>
    <row r="672" spans="132:176" x14ac:dyDescent="0.6">
      <c r="EB672" s="335">
        <v>41997</v>
      </c>
      <c r="EC672" s="62">
        <v>171.31</v>
      </c>
      <c r="ED672" s="62">
        <v>2081.8798830000001</v>
      </c>
      <c r="EE672" s="78">
        <f t="shared" si="46"/>
        <v>0.98596209596659357</v>
      </c>
      <c r="EF672" s="78">
        <f t="shared" si="47"/>
        <v>1.1107650046656912</v>
      </c>
      <c r="FR672" s="335">
        <v>42016</v>
      </c>
      <c r="FS672" s="341">
        <v>175.8</v>
      </c>
      <c r="FT672" s="341"/>
    </row>
    <row r="673" spans="132:176" x14ac:dyDescent="0.6">
      <c r="EB673" s="335">
        <v>41996</v>
      </c>
      <c r="EC673" s="62">
        <v>171.91</v>
      </c>
      <c r="ED673" s="62">
        <v>2082.169922</v>
      </c>
      <c r="EE673" s="78">
        <f t="shared" si="46"/>
        <v>0.9894522943262003</v>
      </c>
      <c r="EF673" s="78">
        <f t="shared" si="47"/>
        <v>1.1109043011740767</v>
      </c>
      <c r="FR673" s="335">
        <v>42013</v>
      </c>
      <c r="FS673" s="341">
        <v>175.64</v>
      </c>
      <c r="FT673" s="341"/>
    </row>
    <row r="674" spans="132:176" x14ac:dyDescent="0.6">
      <c r="EB674" s="335">
        <v>41995</v>
      </c>
      <c r="EC674" s="62">
        <v>168.76</v>
      </c>
      <c r="ED674" s="62">
        <v>2078.540039</v>
      </c>
      <c r="EE674" s="78">
        <f t="shared" si="46"/>
        <v>0.970786733766826</v>
      </c>
      <c r="EF674" s="78">
        <f t="shared" si="47"/>
        <v>1.1091579393374549</v>
      </c>
      <c r="FR674" s="335">
        <v>42012</v>
      </c>
      <c r="FS674" s="341">
        <v>174.23</v>
      </c>
      <c r="FT674" s="341"/>
    </row>
    <row r="675" spans="132:176" x14ac:dyDescent="0.6">
      <c r="EB675" s="335">
        <v>41992</v>
      </c>
      <c r="EC675" s="62">
        <v>165.6</v>
      </c>
      <c r="ED675" s="62">
        <v>2070.6499020000001</v>
      </c>
      <c r="EE675" s="78">
        <f t="shared" si="46"/>
        <v>0.95170460816296132</v>
      </c>
      <c r="EF675" s="78">
        <f t="shared" si="47"/>
        <v>1.1053474752931087</v>
      </c>
      <c r="FR675" s="335">
        <v>42011</v>
      </c>
      <c r="FS675" s="341">
        <v>172.87</v>
      </c>
      <c r="FT675" s="341"/>
    </row>
    <row r="676" spans="132:176" x14ac:dyDescent="0.6">
      <c r="EB676" s="335">
        <v>41991</v>
      </c>
      <c r="EC676" s="62">
        <v>168.68</v>
      </c>
      <c r="ED676" s="62">
        <v>2061.2299800000001</v>
      </c>
      <c r="EE676" s="78">
        <f t="shared" si="46"/>
        <v>0.969964034295283</v>
      </c>
      <c r="EF676" s="78">
        <f t="shared" si="47"/>
        <v>1.1007774262974115</v>
      </c>
      <c r="FR676" s="335">
        <v>42010</v>
      </c>
      <c r="FS676" s="341">
        <v>169.39</v>
      </c>
      <c r="FT676" s="341"/>
    </row>
    <row r="677" spans="132:176" x14ac:dyDescent="0.6">
      <c r="EB677" s="335">
        <v>41990</v>
      </c>
      <c r="EC677" s="62">
        <v>167.07499999999999</v>
      </c>
      <c r="ED677" s="62">
        <v>2012.8900149999999</v>
      </c>
      <c r="EE677" s="78">
        <f t="shared" si="46"/>
        <v>0.9603575701324818</v>
      </c>
      <c r="EF677" s="78">
        <f t="shared" si="47"/>
        <v>1.0767622219694193</v>
      </c>
      <c r="FR677" s="335">
        <v>42009</v>
      </c>
      <c r="FS677" s="341">
        <v>172.26</v>
      </c>
      <c r="FT677" s="341"/>
    </row>
    <row r="678" spans="132:176" x14ac:dyDescent="0.6">
      <c r="EB678" s="335">
        <v>41989</v>
      </c>
      <c r="EC678" s="62">
        <v>164.37</v>
      </c>
      <c r="ED678" s="62">
        <v>1972.73999</v>
      </c>
      <c r="EE678" s="78">
        <f t="shared" si="46"/>
        <v>0.94390079578193131</v>
      </c>
      <c r="EF678" s="78">
        <f t="shared" si="47"/>
        <v>1.0564098059371372</v>
      </c>
      <c r="FR678" s="335">
        <v>42006</v>
      </c>
      <c r="FS678" s="341">
        <v>173.1</v>
      </c>
      <c r="FT678" s="341">
        <f>FU12</f>
        <v>178.75</v>
      </c>
    </row>
    <row r="679" spans="132:176" x14ac:dyDescent="0.6">
      <c r="EB679" s="335">
        <v>41988</v>
      </c>
      <c r="EC679" s="62">
        <v>166.01</v>
      </c>
      <c r="ED679" s="62">
        <v>1989.630005</v>
      </c>
      <c r="EE679" s="78">
        <f t="shared" si="46"/>
        <v>0.95377971873837963</v>
      </c>
      <c r="EF679" s="78">
        <f t="shared" si="47"/>
        <v>1.0648988290004981</v>
      </c>
      <c r="FR679" s="335">
        <v>42004</v>
      </c>
      <c r="FS679" s="341">
        <v>174.8</v>
      </c>
      <c r="FT679" s="341"/>
    </row>
    <row r="680" spans="132:176" x14ac:dyDescent="0.6">
      <c r="EB680" s="335">
        <v>41985</v>
      </c>
      <c r="EC680" s="62">
        <v>164.89</v>
      </c>
      <c r="ED680" s="62">
        <v>2002.329956</v>
      </c>
      <c r="EE680" s="78">
        <f t="shared" si="46"/>
        <v>0.94698731167912797</v>
      </c>
      <c r="EF680" s="78">
        <f t="shared" si="47"/>
        <v>1.071241415526732</v>
      </c>
      <c r="FR680" s="335">
        <v>42003</v>
      </c>
      <c r="FS680" s="341">
        <v>174.89</v>
      </c>
      <c r="FT680" s="341"/>
    </row>
    <row r="681" spans="132:176" x14ac:dyDescent="0.6">
      <c r="EB681" s="335">
        <v>41984</v>
      </c>
      <c r="EC681" s="62">
        <v>164.34</v>
      </c>
      <c r="ED681" s="62">
        <v>2035.329956</v>
      </c>
      <c r="EE681" s="78">
        <f t="shared" si="46"/>
        <v>0.94364059146493795</v>
      </c>
      <c r="EF681" s="78">
        <f t="shared" si="47"/>
        <v>1.0874550028631333</v>
      </c>
      <c r="FR681" s="335">
        <v>42002</v>
      </c>
      <c r="FS681" s="341">
        <v>176.185</v>
      </c>
      <c r="FT681" s="341"/>
    </row>
    <row r="682" spans="132:176" x14ac:dyDescent="0.6">
      <c r="EB682" s="335">
        <v>41983</v>
      </c>
      <c r="EC682" s="62">
        <v>161.62</v>
      </c>
      <c r="ED682" s="62">
        <v>2026.1400149999999</v>
      </c>
      <c r="EE682" s="78">
        <f t="shared" si="46"/>
        <v>0.92681099116794496</v>
      </c>
      <c r="EF682" s="78">
        <f t="shared" si="47"/>
        <v>1.0829193138525197</v>
      </c>
      <c r="FR682" s="335">
        <v>41999</v>
      </c>
      <c r="FS682" s="341">
        <v>173.25</v>
      </c>
      <c r="FT682" s="341"/>
    </row>
    <row r="683" spans="132:176" x14ac:dyDescent="0.6">
      <c r="EB683" s="335">
        <v>41982</v>
      </c>
      <c r="EC683" s="62">
        <v>163.08000000000001</v>
      </c>
      <c r="ED683" s="62">
        <v>2059.820068</v>
      </c>
      <c r="EE683" s="78">
        <f t="shared" si="46"/>
        <v>0.93576365243848703</v>
      </c>
      <c r="EF683" s="78">
        <f t="shared" si="47"/>
        <v>1.099270282329442</v>
      </c>
      <c r="FR683" s="335">
        <v>41997</v>
      </c>
      <c r="FS683" s="341">
        <v>171.31</v>
      </c>
      <c r="FT683" s="341"/>
    </row>
    <row r="684" spans="132:176" x14ac:dyDescent="0.6">
      <c r="EB684" s="335">
        <v>41981</v>
      </c>
      <c r="EC684" s="62">
        <v>162.52000000000001</v>
      </c>
      <c r="ED684" s="62">
        <v>2060.3100589999999</v>
      </c>
      <c r="EE684" s="78">
        <f t="shared" si="46"/>
        <v>0.9323179226821493</v>
      </c>
      <c r="EF684" s="78">
        <f t="shared" si="47"/>
        <v>1.0995081062423329</v>
      </c>
      <c r="FR684" s="335">
        <v>41996</v>
      </c>
      <c r="FS684" s="341">
        <v>171.91</v>
      </c>
      <c r="FT684" s="341"/>
    </row>
    <row r="685" spans="132:176" x14ac:dyDescent="0.6">
      <c r="EB685" s="335">
        <v>41978</v>
      </c>
      <c r="EC685" s="62">
        <v>162.35</v>
      </c>
      <c r="ED685" s="62">
        <v>2075.3701169999999</v>
      </c>
      <c r="EE685" s="78">
        <f t="shared" si="46"/>
        <v>0.93127080226330106</v>
      </c>
      <c r="EF685" s="78">
        <f t="shared" si="47"/>
        <v>1.1067646711685784</v>
      </c>
      <c r="FR685" s="335">
        <v>41995</v>
      </c>
      <c r="FS685" s="341">
        <v>168.76</v>
      </c>
      <c r="FT685" s="341"/>
    </row>
    <row r="686" spans="132:176" x14ac:dyDescent="0.6">
      <c r="EB686" s="335">
        <v>41977</v>
      </c>
      <c r="EC686" s="62">
        <v>163.13</v>
      </c>
      <c r="ED686" s="62">
        <v>2071.919922</v>
      </c>
      <c r="EE686" s="78">
        <f t="shared" si="46"/>
        <v>0.93605226490046156</v>
      </c>
      <c r="EF686" s="78">
        <f t="shared" si="47"/>
        <v>1.1050994547847959</v>
      </c>
      <c r="FR686" s="335">
        <v>41992</v>
      </c>
      <c r="FS686" s="341">
        <v>165.6</v>
      </c>
      <c r="FT686" s="341"/>
    </row>
    <row r="687" spans="132:176" x14ac:dyDescent="0.6">
      <c r="EB687" s="335">
        <v>41976</v>
      </c>
      <c r="EC687" s="62">
        <v>165.27</v>
      </c>
      <c r="ED687" s="62">
        <v>2074.330078</v>
      </c>
      <c r="EE687" s="78">
        <f t="shared" si="46"/>
        <v>0.94900077340170208</v>
      </c>
      <c r="EF687" s="78">
        <f t="shared" si="47"/>
        <v>1.1062613508714225</v>
      </c>
      <c r="FR687" s="335">
        <v>41991</v>
      </c>
      <c r="FS687" s="341">
        <v>168.68</v>
      </c>
      <c r="FT687" s="341"/>
    </row>
    <row r="688" spans="132:176" x14ac:dyDescent="0.6">
      <c r="EB688" s="335">
        <v>41975</v>
      </c>
      <c r="EC688" s="62">
        <v>164.63</v>
      </c>
      <c r="ED688" s="62">
        <v>2066.5500489999999</v>
      </c>
      <c r="EE688" s="78">
        <f t="shared" si="46"/>
        <v>0.94511326808675333</v>
      </c>
      <c r="EF688" s="78">
        <f t="shared" si="47"/>
        <v>1.1024966082736012</v>
      </c>
      <c r="FR688" s="335">
        <v>41990</v>
      </c>
      <c r="FS688" s="341">
        <v>167.07499999999999</v>
      </c>
      <c r="FT688" s="341"/>
    </row>
    <row r="689" spans="132:176" x14ac:dyDescent="0.6">
      <c r="EB689" s="335">
        <v>41974</v>
      </c>
      <c r="EC689" s="62">
        <v>165.84</v>
      </c>
      <c r="ED689" s="62">
        <v>2053.4399410000001</v>
      </c>
      <c r="EE689" s="78">
        <f t="shared" si="46"/>
        <v>0.95240945718467906</v>
      </c>
      <c r="EF689" s="78">
        <f t="shared" si="47"/>
        <v>1.0961121468933401</v>
      </c>
      <c r="FR689" s="335">
        <v>41989</v>
      </c>
      <c r="FS689" s="341">
        <v>164.37</v>
      </c>
      <c r="FT689" s="341"/>
    </row>
    <row r="690" spans="132:176" x14ac:dyDescent="0.6">
      <c r="EB690" s="335">
        <v>41971</v>
      </c>
      <c r="EC690" s="62">
        <v>167.4</v>
      </c>
      <c r="ED690" s="62">
        <v>2067.5600589999999</v>
      </c>
      <c r="EE690" s="78">
        <f t="shared" si="46"/>
        <v>0.96172845360044967</v>
      </c>
      <c r="EF690" s="78">
        <f t="shared" si="47"/>
        <v>1.1029415098124657</v>
      </c>
      <c r="FR690" s="335">
        <v>41988</v>
      </c>
      <c r="FS690" s="341">
        <v>166.01</v>
      </c>
      <c r="FT690" s="341"/>
    </row>
    <row r="691" spans="132:176" x14ac:dyDescent="0.6">
      <c r="EB691" s="335">
        <v>41969</v>
      </c>
      <c r="EC691" s="62">
        <v>165.36</v>
      </c>
      <c r="ED691" s="62">
        <v>2072.830078</v>
      </c>
      <c r="EE691" s="78">
        <f t="shared" si="46"/>
        <v>0.94939173371656005</v>
      </c>
      <c r="EF691" s="78">
        <f t="shared" si="47"/>
        <v>1.1054839367368594</v>
      </c>
      <c r="FR691" s="335">
        <v>41985</v>
      </c>
      <c r="FS691" s="341">
        <v>164.89</v>
      </c>
      <c r="FT691" s="341"/>
    </row>
    <row r="692" spans="132:176" x14ac:dyDescent="0.6">
      <c r="EB692" s="335">
        <v>41968</v>
      </c>
      <c r="EC692" s="62">
        <v>165.13</v>
      </c>
      <c r="ED692" s="62">
        <v>2067.030029</v>
      </c>
      <c r="EE692" s="78">
        <f t="shared" si="46"/>
        <v>0.94799889171328977</v>
      </c>
      <c r="EF692" s="78">
        <f t="shared" si="47"/>
        <v>1.1026779547633871</v>
      </c>
      <c r="FR692" s="335">
        <v>41984</v>
      </c>
      <c r="FS692" s="341">
        <v>164.34</v>
      </c>
      <c r="FT692" s="341"/>
    </row>
    <row r="693" spans="132:176" x14ac:dyDescent="0.6">
      <c r="EB693" s="335">
        <v>41967</v>
      </c>
      <c r="EC693" s="62">
        <v>168</v>
      </c>
      <c r="ED693" s="62">
        <v>2069.4099120000001</v>
      </c>
      <c r="EE693" s="78">
        <f t="shared" si="46"/>
        <v>0.96508222504662311</v>
      </c>
      <c r="EF693" s="78">
        <f t="shared" si="47"/>
        <v>1.1038279845309067</v>
      </c>
      <c r="FR693" s="335">
        <v>41983</v>
      </c>
      <c r="FS693" s="341">
        <v>161.62</v>
      </c>
      <c r="FT693" s="341"/>
    </row>
    <row r="694" spans="132:176" x14ac:dyDescent="0.6">
      <c r="EB694" s="335">
        <v>41964</v>
      </c>
      <c r="EC694" s="62">
        <v>166.41</v>
      </c>
      <c r="ED694" s="62">
        <v>2063.5</v>
      </c>
      <c r="EE694" s="78">
        <f t="shared" si="46"/>
        <v>0.95552751078666276</v>
      </c>
      <c r="EF694" s="78">
        <f t="shared" si="47"/>
        <v>1.1009639612694577</v>
      </c>
      <c r="FR694" s="335">
        <v>41982</v>
      </c>
      <c r="FS694" s="341">
        <v>163.08000000000001</v>
      </c>
      <c r="FT694" s="341"/>
    </row>
    <row r="695" spans="132:176" x14ac:dyDescent="0.6">
      <c r="EB695" s="335">
        <v>41963</v>
      </c>
      <c r="EC695" s="62">
        <v>167.58</v>
      </c>
      <c r="ED695" s="62">
        <v>2052.75</v>
      </c>
      <c r="EE695" s="78">
        <f t="shared" si="46"/>
        <v>0.96250925085110972</v>
      </c>
      <c r="EF695" s="78">
        <f t="shared" si="47"/>
        <v>1.0957270839098183</v>
      </c>
      <c r="FR695" s="335">
        <v>41981</v>
      </c>
      <c r="FS695" s="341">
        <v>162.52000000000001</v>
      </c>
      <c r="FT695" s="341"/>
    </row>
    <row r="696" spans="132:176" x14ac:dyDescent="0.6">
      <c r="EB696" s="335">
        <v>41962</v>
      </c>
      <c r="EC696" s="62">
        <v>168.15</v>
      </c>
      <c r="ED696" s="62">
        <v>2048.719971</v>
      </c>
      <c r="EE696" s="78">
        <f t="shared" si="46"/>
        <v>0.96589908135958424</v>
      </c>
      <c r="EF696" s="78">
        <f t="shared" si="47"/>
        <v>1.0937599878415192</v>
      </c>
      <c r="FR696" s="335">
        <v>41978</v>
      </c>
      <c r="FS696" s="341">
        <v>162.35</v>
      </c>
      <c r="FT696" s="341"/>
    </row>
    <row r="697" spans="132:176" x14ac:dyDescent="0.6">
      <c r="EB697" s="335">
        <v>41961</v>
      </c>
      <c r="EC697" s="62">
        <v>167.95</v>
      </c>
      <c r="ED697" s="62">
        <v>2051.8000489999999</v>
      </c>
      <c r="EE697" s="78">
        <f t="shared" si="46"/>
        <v>0.96470825075523758</v>
      </c>
      <c r="EF697" s="78">
        <f t="shared" si="47"/>
        <v>1.0952611467880262</v>
      </c>
      <c r="FR697" s="335">
        <v>41977</v>
      </c>
      <c r="FS697" s="341">
        <v>163.13</v>
      </c>
      <c r="FT697" s="341"/>
    </row>
    <row r="698" spans="132:176" x14ac:dyDescent="0.6">
      <c r="EB698" s="335">
        <v>41960</v>
      </c>
      <c r="EC698" s="62">
        <v>168.56</v>
      </c>
      <c r="ED698" s="62">
        <v>2041.3199460000001</v>
      </c>
      <c r="EE698" s="78">
        <f t="shared" si="46"/>
        <v>0.96832714017146926</v>
      </c>
      <c r="EF698" s="78">
        <f t="shared" si="47"/>
        <v>1.0901271632493184</v>
      </c>
      <c r="FR698" s="335">
        <v>41976</v>
      </c>
      <c r="FS698" s="341">
        <v>165.27</v>
      </c>
      <c r="FT698" s="341"/>
    </row>
    <row r="699" spans="132:176" x14ac:dyDescent="0.6">
      <c r="EB699" s="335">
        <v>41957</v>
      </c>
      <c r="EC699" s="62">
        <v>169.76</v>
      </c>
      <c r="ED699" s="62">
        <v>2039.8199460000001</v>
      </c>
      <c r="EE699" s="78">
        <f t="shared" si="46"/>
        <v>0.97539594318749179</v>
      </c>
      <c r="EF699" s="78">
        <f t="shared" si="47"/>
        <v>1.0893918042275863</v>
      </c>
      <c r="FR699" s="335">
        <v>41975</v>
      </c>
      <c r="FS699" s="341">
        <v>164.63</v>
      </c>
      <c r="FT699" s="341"/>
    </row>
    <row r="700" spans="132:176" x14ac:dyDescent="0.6">
      <c r="EB700" s="335">
        <v>41956</v>
      </c>
      <c r="EC700" s="62">
        <v>170.23</v>
      </c>
      <c r="ED700" s="62">
        <v>2039.329956</v>
      </c>
      <c r="EE700" s="78">
        <f t="shared" si="46"/>
        <v>0.97815691363923352</v>
      </c>
      <c r="EF700" s="78">
        <f t="shared" si="47"/>
        <v>1.0891515341336966</v>
      </c>
      <c r="FR700" s="335">
        <v>41974</v>
      </c>
      <c r="FS700" s="341">
        <v>165.84</v>
      </c>
      <c r="FT700" s="341"/>
    </row>
    <row r="701" spans="132:176" x14ac:dyDescent="0.6">
      <c r="EB701" s="335">
        <v>41955</v>
      </c>
      <c r="EC701" s="62">
        <v>169.83</v>
      </c>
      <c r="ED701" s="62">
        <v>2038.25</v>
      </c>
      <c r="EE701" s="78">
        <f t="shared" si="46"/>
        <v>0.9758016171662901</v>
      </c>
      <c r="EF701" s="78">
        <f t="shared" si="47"/>
        <v>1.0886216894139615</v>
      </c>
      <c r="FR701" s="335">
        <v>41971</v>
      </c>
      <c r="FS701" s="341">
        <v>167.4</v>
      </c>
      <c r="FT701" s="341"/>
    </row>
    <row r="702" spans="132:176" x14ac:dyDescent="0.6">
      <c r="EB702" s="335">
        <v>41954</v>
      </c>
      <c r="EC702" s="62">
        <v>168.42</v>
      </c>
      <c r="ED702" s="62">
        <v>2039.6800539999999</v>
      </c>
      <c r="EE702" s="78">
        <f t="shared" si="46"/>
        <v>0.96742968984174416</v>
      </c>
      <c r="EF702" s="78">
        <f t="shared" si="47"/>
        <v>1.0893228062372571</v>
      </c>
      <c r="FR702" s="335">
        <v>41969</v>
      </c>
      <c r="FS702" s="341">
        <v>165.36</v>
      </c>
      <c r="FT702" s="341"/>
    </row>
    <row r="703" spans="132:176" x14ac:dyDescent="0.6">
      <c r="EB703" s="335">
        <v>41953</v>
      </c>
      <c r="EC703" s="62">
        <v>169.31</v>
      </c>
      <c r="ED703" s="62">
        <v>2038.26001</v>
      </c>
      <c r="EE703" s="78">
        <f t="shared" si="46"/>
        <v>0.97268631969231423</v>
      </c>
      <c r="EF703" s="78">
        <f t="shared" si="47"/>
        <v>1.0886261120014711</v>
      </c>
      <c r="FR703" s="335">
        <v>41968</v>
      </c>
      <c r="FS703" s="341">
        <v>165.13</v>
      </c>
      <c r="FT703" s="341"/>
    </row>
    <row r="704" spans="132:176" x14ac:dyDescent="0.6">
      <c r="EB704" s="335">
        <v>41950</v>
      </c>
      <c r="EC704" s="62">
        <v>168.29</v>
      </c>
      <c r="ED704" s="62">
        <v>2031.920044</v>
      </c>
      <c r="EE704" s="78">
        <f t="shared" si="46"/>
        <v>0.96662535350299805</v>
      </c>
      <c r="EF704" s="78">
        <f t="shared" si="47"/>
        <v>1.0855059272192396</v>
      </c>
      <c r="FR704" s="335">
        <v>41967</v>
      </c>
      <c r="FS704" s="341">
        <v>168</v>
      </c>
      <c r="FT704" s="341"/>
    </row>
    <row r="705" spans="132:176" x14ac:dyDescent="0.6">
      <c r="EB705" s="335">
        <v>41949</v>
      </c>
      <c r="EC705" s="62">
        <v>167.29</v>
      </c>
      <c r="ED705" s="62">
        <v>2031.209961</v>
      </c>
      <c r="EE705" s="78">
        <f t="shared" si="46"/>
        <v>0.96064770989011028</v>
      </c>
      <c r="EF705" s="78">
        <f t="shared" si="47"/>
        <v>1.0851563410052913</v>
      </c>
      <c r="FR705" s="335">
        <v>41964</v>
      </c>
      <c r="FS705" s="341">
        <v>166.41</v>
      </c>
      <c r="FT705" s="341"/>
    </row>
    <row r="706" spans="132:176" x14ac:dyDescent="0.6">
      <c r="EB706" s="335">
        <v>41948</v>
      </c>
      <c r="EC706" s="62">
        <v>165.29</v>
      </c>
      <c r="ED706" s="62">
        <v>2023.5699460000001</v>
      </c>
      <c r="EE706" s="78">
        <f t="shared" si="46"/>
        <v>0.94854776433986521</v>
      </c>
      <c r="EF706" s="78">
        <f t="shared" si="47"/>
        <v>1.0813808278261685</v>
      </c>
      <c r="FR706" s="335">
        <v>41963</v>
      </c>
      <c r="FS706" s="341">
        <v>167.58</v>
      </c>
      <c r="FT706" s="341"/>
    </row>
    <row r="707" spans="132:176" x14ac:dyDescent="0.6">
      <c r="EB707" s="335">
        <v>41947</v>
      </c>
      <c r="EC707" s="62">
        <v>165.5</v>
      </c>
      <c r="ED707" s="62">
        <v>2012.099976</v>
      </c>
      <c r="EE707" s="78">
        <f t="shared" si="46"/>
        <v>0.94981664651509179</v>
      </c>
      <c r="EF707" s="78">
        <f t="shared" si="47"/>
        <v>1.0756803307649827</v>
      </c>
      <c r="FR707" s="335">
        <v>41962</v>
      </c>
      <c r="FS707" s="341">
        <v>168.15</v>
      </c>
      <c r="FT707" s="341"/>
    </row>
    <row r="708" spans="132:176" x14ac:dyDescent="0.6">
      <c r="EB708" s="335">
        <v>41946</v>
      </c>
      <c r="EC708" s="62">
        <v>161.30000000000001</v>
      </c>
      <c r="ED708" s="62">
        <v>2017.8100589999999</v>
      </c>
      <c r="EE708" s="78">
        <f t="shared" si="46"/>
        <v>0.92377820882135353</v>
      </c>
      <c r="EF708" s="78">
        <f t="shared" si="47"/>
        <v>1.0785101724413741</v>
      </c>
      <c r="FR708" s="335">
        <v>41961</v>
      </c>
      <c r="FS708" s="341">
        <v>167.95</v>
      </c>
      <c r="FT708" s="341"/>
    </row>
    <row r="709" spans="132:176" x14ac:dyDescent="0.6">
      <c r="EB709" s="335">
        <v>41943</v>
      </c>
      <c r="EC709" s="62">
        <v>161.63999999999999</v>
      </c>
      <c r="ED709" s="62">
        <v>2018.0500489999999</v>
      </c>
      <c r="EE709" s="78">
        <f t="shared" si="46"/>
        <v>0.92588164856399136</v>
      </c>
      <c r="EF709" s="78">
        <f t="shared" si="47"/>
        <v>1.0786290941698611</v>
      </c>
      <c r="FR709" s="335">
        <v>41960</v>
      </c>
      <c r="FS709" s="341">
        <v>168.56</v>
      </c>
      <c r="FT709" s="341"/>
    </row>
    <row r="710" spans="132:176" x14ac:dyDescent="0.6">
      <c r="EB710" s="335">
        <v>41942</v>
      </c>
      <c r="EC710" s="62">
        <v>162.35</v>
      </c>
      <c r="ED710" s="62">
        <v>1994.650024</v>
      </c>
      <c r="EE710" s="78">
        <f t="shared" si="46"/>
        <v>0.93025491619565137</v>
      </c>
      <c r="EF710" s="78">
        <f t="shared" si="47"/>
        <v>1.0668977003321218</v>
      </c>
      <c r="FR710" s="335">
        <v>41957</v>
      </c>
      <c r="FS710" s="341">
        <v>169.76</v>
      </c>
      <c r="FT710" s="341"/>
    </row>
    <row r="711" spans="132:176" x14ac:dyDescent="0.6">
      <c r="EB711" s="335">
        <v>41941</v>
      </c>
      <c r="EC711" s="62">
        <v>165.42</v>
      </c>
      <c r="ED711" s="62">
        <v>1982.3000489999999</v>
      </c>
      <c r="EE711" s="78">
        <f t="shared" si="46"/>
        <v>0.9488137361690524</v>
      </c>
      <c r="EF711" s="78">
        <f t="shared" si="47"/>
        <v>1.060667576387853</v>
      </c>
      <c r="FR711" s="335">
        <v>41956</v>
      </c>
      <c r="FS711" s="341">
        <v>170.23</v>
      </c>
      <c r="FT711" s="341"/>
    </row>
    <row r="712" spans="132:176" x14ac:dyDescent="0.6">
      <c r="EB712" s="335">
        <v>41940</v>
      </c>
      <c r="EC712" s="62">
        <v>171</v>
      </c>
      <c r="ED712" s="62">
        <v>1985.0500489999999</v>
      </c>
      <c r="EE712" s="78">
        <f t="shared" si="46"/>
        <v>0.98144531511642086</v>
      </c>
      <c r="EF712" s="78">
        <f t="shared" si="47"/>
        <v>1.0620529318862624</v>
      </c>
      <c r="FR712" s="335">
        <v>41955</v>
      </c>
      <c r="FS712" s="341">
        <v>169.83</v>
      </c>
      <c r="FT712" s="341"/>
    </row>
    <row r="713" spans="132:176" x14ac:dyDescent="0.6">
      <c r="EB713" s="335">
        <v>41939</v>
      </c>
      <c r="EC713" s="62">
        <v>169.59</v>
      </c>
      <c r="ED713" s="62">
        <v>1961.630005</v>
      </c>
      <c r="EE713" s="78">
        <f t="shared" si="46"/>
        <v>0.97313114564888148</v>
      </c>
      <c r="EF713" s="78">
        <f t="shared" si="47"/>
        <v>1.0501138587989296</v>
      </c>
      <c r="FR713" s="335">
        <v>41954</v>
      </c>
      <c r="FS713" s="341">
        <v>168.42</v>
      </c>
      <c r="FT713" s="341"/>
    </row>
    <row r="714" spans="132:176" x14ac:dyDescent="0.6">
      <c r="EB714" s="335">
        <v>41936</v>
      </c>
      <c r="EC714" s="62">
        <v>169.2</v>
      </c>
      <c r="ED714" s="62">
        <v>1964.579956</v>
      </c>
      <c r="EE714" s="78">
        <f t="shared" si="46"/>
        <v>0.97082618110987429</v>
      </c>
      <c r="EF714" s="78">
        <f t="shared" si="47"/>
        <v>1.0516154271066946</v>
      </c>
      <c r="FR714" s="335">
        <v>41953</v>
      </c>
      <c r="FS714" s="341">
        <v>169.31</v>
      </c>
      <c r="FT714" s="341"/>
    </row>
    <row r="715" spans="132:176" x14ac:dyDescent="0.6">
      <c r="EB715" s="335">
        <v>41935</v>
      </c>
      <c r="EC715" s="62">
        <v>166.74</v>
      </c>
      <c r="ED715" s="62">
        <v>1950.8199460000001</v>
      </c>
      <c r="EE715" s="78">
        <f t="shared" si="46"/>
        <v>0.95607267265359519</v>
      </c>
      <c r="EF715" s="78">
        <f t="shared" si="47"/>
        <v>1.0445619775927024</v>
      </c>
      <c r="FR715" s="335">
        <v>41950</v>
      </c>
      <c r="FS715" s="341">
        <v>168.29</v>
      </c>
      <c r="FT715" s="341"/>
    </row>
    <row r="716" spans="132:176" x14ac:dyDescent="0.6">
      <c r="EB716" s="335">
        <v>41934</v>
      </c>
      <c r="EC716" s="62">
        <v>167.29</v>
      </c>
      <c r="ED716" s="62">
        <v>1927.1099850000001</v>
      </c>
      <c r="EE716" s="78">
        <f t="shared" si="46"/>
        <v>0.95936037664068341</v>
      </c>
      <c r="EF716" s="78">
        <f t="shared" si="47"/>
        <v>1.0322586004193441</v>
      </c>
      <c r="FR716" s="335">
        <v>41949</v>
      </c>
      <c r="FS716" s="341">
        <v>167.29</v>
      </c>
      <c r="FT716" s="341"/>
    </row>
    <row r="717" spans="132:176" x14ac:dyDescent="0.6">
      <c r="EB717" s="335">
        <v>41933</v>
      </c>
      <c r="EC717" s="62">
        <v>169.06</v>
      </c>
      <c r="ED717" s="62">
        <v>1941.280029</v>
      </c>
      <c r="EE717" s="78">
        <f t="shared" si="46"/>
        <v>0.96983003238420651</v>
      </c>
      <c r="EF717" s="78">
        <f t="shared" si="47"/>
        <v>1.0395579306490479</v>
      </c>
      <c r="FR717" s="335">
        <v>41948</v>
      </c>
      <c r="FS717" s="341">
        <v>165.29</v>
      </c>
      <c r="FT717" s="341"/>
    </row>
    <row r="718" spans="132:176" x14ac:dyDescent="0.6">
      <c r="EB718" s="335">
        <v>41932</v>
      </c>
      <c r="EC718" s="62">
        <v>171.49</v>
      </c>
      <c r="ED718" s="62">
        <v>1904.01001</v>
      </c>
      <c r="EE718" s="78">
        <f t="shared" si="46"/>
        <v>0.98399995482866398</v>
      </c>
      <c r="EF718" s="78">
        <f t="shared" si="47"/>
        <v>1.0199834437481097</v>
      </c>
      <c r="FR718" s="335">
        <v>41947</v>
      </c>
      <c r="FS718" s="341">
        <v>165.5</v>
      </c>
      <c r="FT718" s="341"/>
    </row>
    <row r="719" spans="132:176" x14ac:dyDescent="0.6">
      <c r="EB719" s="335">
        <v>41929</v>
      </c>
      <c r="EC719" s="62">
        <v>167.46</v>
      </c>
      <c r="ED719" s="62">
        <v>1886.76001</v>
      </c>
      <c r="EE719" s="78">
        <f t="shared" si="46"/>
        <v>0.95993450636335886</v>
      </c>
      <c r="EF719" s="78">
        <f t="shared" si="47"/>
        <v>1.0108407865428619</v>
      </c>
      <c r="FR719" s="335">
        <v>41946</v>
      </c>
      <c r="FS719" s="341">
        <v>161.30000000000001</v>
      </c>
      <c r="FT719" s="341"/>
    </row>
    <row r="720" spans="132:176" x14ac:dyDescent="0.6">
      <c r="EB720" s="335">
        <v>41928</v>
      </c>
      <c r="EC720" s="62">
        <v>166.01</v>
      </c>
      <c r="ED720" s="62">
        <v>1862.76001</v>
      </c>
      <c r="EE720" s="78">
        <f t="shared" si="46"/>
        <v>0.95120009277381601</v>
      </c>
      <c r="EF720" s="78">
        <f t="shared" si="47"/>
        <v>0.99795667915857256</v>
      </c>
      <c r="FR720" s="335">
        <v>41943</v>
      </c>
      <c r="FS720" s="341">
        <v>161.63999999999999</v>
      </c>
      <c r="FT720" s="341"/>
    </row>
    <row r="721" spans="132:176" x14ac:dyDescent="0.6">
      <c r="EB721" s="335">
        <v>41927</v>
      </c>
      <c r="EC721" s="62">
        <v>164.61</v>
      </c>
      <c r="ED721" s="62">
        <v>1862.48999</v>
      </c>
      <c r="EE721" s="78">
        <f t="shared" si="46"/>
        <v>0.94269514167728496</v>
      </c>
      <c r="EF721" s="78">
        <f t="shared" si="47"/>
        <v>0.99781170119818097</v>
      </c>
      <c r="FR721" s="335">
        <v>41942</v>
      </c>
      <c r="FS721" s="341">
        <v>162.35</v>
      </c>
      <c r="FT721" s="341"/>
    </row>
    <row r="722" spans="132:176" x14ac:dyDescent="0.6">
      <c r="EB722" s="335">
        <v>41926</v>
      </c>
      <c r="EC722" s="62">
        <v>164.41</v>
      </c>
      <c r="ED722" s="62">
        <v>1877.6999510000001</v>
      </c>
      <c r="EE722" s="78">
        <f t="shared" si="46"/>
        <v>0.94147867065970681</v>
      </c>
      <c r="EF722" s="78">
        <f t="shared" si="47"/>
        <v>1.0059120161563295</v>
      </c>
      <c r="FR722" s="335">
        <v>41941</v>
      </c>
      <c r="FS722" s="341">
        <v>165.42</v>
      </c>
      <c r="FT722" s="341"/>
    </row>
    <row r="723" spans="132:176" x14ac:dyDescent="0.6">
      <c r="EB723" s="335">
        <v>41925</v>
      </c>
      <c r="EC723" s="62">
        <v>159.88999999999999</v>
      </c>
      <c r="ED723" s="62">
        <v>1874.73999</v>
      </c>
      <c r="EE723" s="78">
        <f t="shared" si="46"/>
        <v>0.91320923542298149</v>
      </c>
      <c r="EF723" s="78">
        <f t="shared" si="47"/>
        <v>1.0043331513453218</v>
      </c>
      <c r="FR723" s="335">
        <v>41940</v>
      </c>
      <c r="FS723" s="341">
        <v>171</v>
      </c>
      <c r="FT723" s="341"/>
    </row>
    <row r="724" spans="132:176" x14ac:dyDescent="0.6">
      <c r="EB724" s="335">
        <v>41922</v>
      </c>
      <c r="EC724" s="62">
        <v>161.27000000000001</v>
      </c>
      <c r="ED724" s="62">
        <v>1906.130005</v>
      </c>
      <c r="EE724" s="78">
        <f t="shared" si="46"/>
        <v>0.92176631361483385</v>
      </c>
      <c r="EF724" s="78">
        <f t="shared" si="47"/>
        <v>1.0208010810865569</v>
      </c>
      <c r="FR724" s="335">
        <v>41939</v>
      </c>
      <c r="FS724" s="341">
        <v>169.59</v>
      </c>
      <c r="FT724" s="341"/>
    </row>
    <row r="725" spans="132:176" x14ac:dyDescent="0.6">
      <c r="EB725" s="335">
        <v>41921</v>
      </c>
      <c r="EC725" s="62">
        <v>163.66999999999999</v>
      </c>
      <c r="ED725" s="62">
        <v>1928.209961</v>
      </c>
      <c r="EE725" s="78">
        <f t="shared" si="46"/>
        <v>0.93642996608627016</v>
      </c>
      <c r="EF725" s="78">
        <f t="shared" si="47"/>
        <v>1.0322520933967252</v>
      </c>
      <c r="FR725" s="335">
        <v>41936</v>
      </c>
      <c r="FS725" s="341">
        <v>169.2</v>
      </c>
      <c r="FT725" s="341"/>
    </row>
    <row r="726" spans="132:176" x14ac:dyDescent="0.6">
      <c r="EB726" s="335">
        <v>41920</v>
      </c>
      <c r="EC726" s="62">
        <v>165.39</v>
      </c>
      <c r="ED726" s="62">
        <v>1968.8900149999999</v>
      </c>
      <c r="EE726" s="78">
        <f t="shared" si="46"/>
        <v>0.94682962749264299</v>
      </c>
      <c r="EF726" s="78">
        <f t="shared" si="47"/>
        <v>1.0529135085545445</v>
      </c>
      <c r="FR726" s="335">
        <v>41935</v>
      </c>
      <c r="FS726" s="341">
        <v>166.74</v>
      </c>
      <c r="FT726" s="341"/>
    </row>
    <row r="727" spans="132:176" x14ac:dyDescent="0.6">
      <c r="EB727" s="335">
        <v>41919</v>
      </c>
      <c r="EC727" s="62">
        <v>164.38</v>
      </c>
      <c r="ED727" s="62">
        <v>1935.099976</v>
      </c>
      <c r="EE727" s="78">
        <f t="shared" si="46"/>
        <v>0.94068532769948088</v>
      </c>
      <c r="EF727" s="78">
        <f t="shared" si="47"/>
        <v>1.0354518582940517</v>
      </c>
      <c r="FR727" s="335">
        <v>41934</v>
      </c>
      <c r="FS727" s="341">
        <v>167.29</v>
      </c>
      <c r="FT727" s="341"/>
    </row>
    <row r="728" spans="132:176" x14ac:dyDescent="0.6">
      <c r="EB728" s="335">
        <v>41918</v>
      </c>
      <c r="EC728" s="62">
        <v>164.5</v>
      </c>
      <c r="ED728" s="62">
        <v>1964.8199460000001</v>
      </c>
      <c r="EE728" s="78">
        <f t="shared" si="46"/>
        <v>0.94141481098215563</v>
      </c>
      <c r="EF728" s="78">
        <f t="shared" si="47"/>
        <v>1.0505779109690077</v>
      </c>
      <c r="FR728" s="335">
        <v>41933</v>
      </c>
      <c r="FS728" s="341">
        <v>169.06</v>
      </c>
      <c r="FT728" s="341"/>
    </row>
    <row r="729" spans="132:176" x14ac:dyDescent="0.6">
      <c r="EB729" s="335">
        <v>41915</v>
      </c>
      <c r="EC729" s="62">
        <v>167.89</v>
      </c>
      <c r="ED729" s="62">
        <v>1967.900024</v>
      </c>
      <c r="EE729" s="78">
        <f t="shared" si="46"/>
        <v>0.96160660322707781</v>
      </c>
      <c r="EF729" s="78">
        <f t="shared" si="47"/>
        <v>1.0521430707649506</v>
      </c>
      <c r="FR729" s="335">
        <v>41932</v>
      </c>
      <c r="FS729" s="341">
        <v>171.49</v>
      </c>
      <c r="FT729" s="341"/>
    </row>
    <row r="730" spans="132:176" x14ac:dyDescent="0.6">
      <c r="EB730" s="335">
        <v>41914</v>
      </c>
      <c r="EC730" s="62">
        <v>164.97</v>
      </c>
      <c r="ED730" s="62">
        <v>1946.170044</v>
      </c>
      <c r="EE730" s="78">
        <f t="shared" si="46"/>
        <v>0.943906415314124</v>
      </c>
      <c r="EF730" s="78">
        <f t="shared" si="47"/>
        <v>1.0409775613239882</v>
      </c>
      <c r="FR730" s="335">
        <v>41929</v>
      </c>
      <c r="FS730" s="341">
        <v>167.46</v>
      </c>
      <c r="FT730" s="341"/>
    </row>
    <row r="731" spans="132:176" x14ac:dyDescent="0.6">
      <c r="EB731" s="335">
        <v>41913</v>
      </c>
      <c r="EC731" s="62">
        <v>164.44499999999999</v>
      </c>
      <c r="ED731" s="62">
        <v>1946.160034</v>
      </c>
      <c r="EE731" s="78">
        <f t="shared" si="46"/>
        <v>0.94071385853222123</v>
      </c>
      <c r="EF731" s="78">
        <f t="shared" si="47"/>
        <v>1.0409724178620812</v>
      </c>
      <c r="FR731" s="335">
        <v>41928</v>
      </c>
      <c r="FS731" s="341">
        <v>166.01</v>
      </c>
      <c r="FT731" s="341"/>
    </row>
    <row r="732" spans="132:176" x14ac:dyDescent="0.6">
      <c r="EB732" s="335">
        <v>41912</v>
      </c>
      <c r="EC732" s="62">
        <v>162.72</v>
      </c>
      <c r="ED732" s="62">
        <v>1972.290039</v>
      </c>
      <c r="EE732" s="78">
        <f t="shared" si="46"/>
        <v>0.93011282608384371</v>
      </c>
      <c r="EF732" s="78">
        <f t="shared" si="47"/>
        <v>1.0542209789171522</v>
      </c>
      <c r="FR732" s="335">
        <v>41927</v>
      </c>
      <c r="FS732" s="341">
        <v>164.61</v>
      </c>
      <c r="FT732" s="341"/>
    </row>
    <row r="733" spans="132:176" x14ac:dyDescent="0.6">
      <c r="EB733" s="335">
        <v>41911</v>
      </c>
      <c r="EC733" s="62">
        <v>158.72999999999999</v>
      </c>
      <c r="ED733" s="62">
        <v>1977.8000489999999</v>
      </c>
      <c r="EE733" s="78">
        <f t="shared" ref="EE733:EE795" si="48">EE734+(EC733-EC734)/EC734</f>
        <v>0.90497580094681851</v>
      </c>
      <c r="EF733" s="78">
        <f t="shared" ref="EF733:EF795" si="49">EF734+(ED733-ED734)/ED734</f>
        <v>1.0570069076579194</v>
      </c>
      <c r="FR733" s="335">
        <v>41926</v>
      </c>
      <c r="FS733" s="341">
        <v>164.41</v>
      </c>
      <c r="FT733" s="341"/>
    </row>
    <row r="734" spans="132:176" x14ac:dyDescent="0.6">
      <c r="EB734" s="335">
        <v>41908</v>
      </c>
      <c r="EC734" s="62">
        <v>156.75</v>
      </c>
      <c r="ED734" s="62">
        <v>1982.849976</v>
      </c>
      <c r="EE734" s="78">
        <f t="shared" si="48"/>
        <v>0.89234422199945018</v>
      </c>
      <c r="EF734" s="78">
        <f t="shared" si="49"/>
        <v>1.0595537100187249</v>
      </c>
      <c r="FR734" s="335">
        <v>41925</v>
      </c>
      <c r="FS734" s="341">
        <v>159.88999999999999</v>
      </c>
      <c r="FT734" s="341"/>
    </row>
    <row r="735" spans="132:176" x14ac:dyDescent="0.6">
      <c r="EB735" s="335">
        <v>41907</v>
      </c>
      <c r="EC735" s="62">
        <v>156.495</v>
      </c>
      <c r="ED735" s="62">
        <v>1965.98999</v>
      </c>
      <c r="EE735" s="78">
        <f t="shared" si="48"/>
        <v>0.8907147769692576</v>
      </c>
      <c r="EF735" s="78">
        <f t="shared" si="49"/>
        <v>1.0509778850726377</v>
      </c>
      <c r="FR735" s="335">
        <v>41922</v>
      </c>
      <c r="FS735" s="341">
        <v>161.27000000000001</v>
      </c>
      <c r="FT735" s="341"/>
    </row>
    <row r="736" spans="132:176" x14ac:dyDescent="0.6">
      <c r="EB736" s="335">
        <v>41906</v>
      </c>
      <c r="EC736" s="62">
        <v>158.68</v>
      </c>
      <c r="ED736" s="62">
        <v>1998.3000489999999</v>
      </c>
      <c r="EE736" s="78">
        <f t="shared" si="48"/>
        <v>0.90448462824225984</v>
      </c>
      <c r="EF736" s="78">
        <f t="shared" si="49"/>
        <v>1.0671466576331792</v>
      </c>
      <c r="FR736" s="335">
        <v>41921</v>
      </c>
      <c r="FS736" s="341">
        <v>163.66999999999999</v>
      </c>
      <c r="FT736" s="341"/>
    </row>
    <row r="737" spans="132:176" x14ac:dyDescent="0.6">
      <c r="EB737" s="335">
        <v>41905</v>
      </c>
      <c r="EC737" s="62">
        <v>156.47</v>
      </c>
      <c r="ED737" s="62">
        <v>1982.7700199999999</v>
      </c>
      <c r="EE737" s="78">
        <f t="shared" si="48"/>
        <v>0.89036051499371371</v>
      </c>
      <c r="EF737" s="78">
        <f t="shared" si="49"/>
        <v>1.0593141662986572</v>
      </c>
      <c r="FR737" s="335">
        <v>41920</v>
      </c>
      <c r="FS737" s="341">
        <v>165.39</v>
      </c>
      <c r="FT737" s="341"/>
    </row>
    <row r="738" spans="132:176" x14ac:dyDescent="0.6">
      <c r="EB738" s="335">
        <v>41904</v>
      </c>
      <c r="EC738" s="62">
        <v>157.47999999999999</v>
      </c>
      <c r="ED738" s="62">
        <v>1994.290039</v>
      </c>
      <c r="EE738" s="78">
        <f t="shared" si="48"/>
        <v>0.89677402782073934</v>
      </c>
      <c r="EF738" s="78">
        <f t="shared" si="49"/>
        <v>1.0650906675972227</v>
      </c>
      <c r="FR738" s="335">
        <v>41919</v>
      </c>
      <c r="FS738" s="341">
        <v>164.38</v>
      </c>
      <c r="FT738" s="341"/>
    </row>
    <row r="739" spans="132:176" x14ac:dyDescent="0.6">
      <c r="EB739" s="335">
        <v>41901</v>
      </c>
      <c r="EC739" s="62">
        <v>160.22999999999999</v>
      </c>
      <c r="ED739" s="62">
        <v>2010.400024</v>
      </c>
      <c r="EE739" s="78">
        <f t="shared" si="48"/>
        <v>0.91393685625486532</v>
      </c>
      <c r="EF739" s="78">
        <f t="shared" si="49"/>
        <v>1.0731039907208202</v>
      </c>
      <c r="FR739" s="335">
        <v>41918</v>
      </c>
      <c r="FS739" s="341">
        <v>164.5</v>
      </c>
      <c r="FT739" s="341"/>
    </row>
    <row r="740" spans="132:176" x14ac:dyDescent="0.6">
      <c r="EB740" s="335">
        <v>41900</v>
      </c>
      <c r="EC740" s="62">
        <v>161.22999999999999</v>
      </c>
      <c r="ED740" s="62">
        <v>2011.3599850000001</v>
      </c>
      <c r="EE740" s="78">
        <f t="shared" si="48"/>
        <v>0.920139175922421</v>
      </c>
      <c r="EF740" s="78">
        <f t="shared" si="49"/>
        <v>1.0735812603330026</v>
      </c>
      <c r="FR740" s="335">
        <v>41915</v>
      </c>
      <c r="FS740" s="341">
        <v>167.89</v>
      </c>
      <c r="FT740" s="341"/>
    </row>
    <row r="741" spans="132:176" x14ac:dyDescent="0.6">
      <c r="EB741" s="335">
        <v>41899</v>
      </c>
      <c r="EC741" s="62">
        <v>158.94</v>
      </c>
      <c r="ED741" s="62">
        <v>2001.5699460000001</v>
      </c>
      <c r="EE741" s="78">
        <f t="shared" si="48"/>
        <v>0.90573122323587263</v>
      </c>
      <c r="EF741" s="78">
        <f t="shared" si="49"/>
        <v>1.0686900802772845</v>
      </c>
      <c r="FR741" s="335">
        <v>41914</v>
      </c>
      <c r="FS741" s="341">
        <v>164.97</v>
      </c>
      <c r="FT741" s="341"/>
    </row>
    <row r="742" spans="132:176" x14ac:dyDescent="0.6">
      <c r="EB742" s="335">
        <v>41898</v>
      </c>
      <c r="EC742" s="62">
        <v>155.65</v>
      </c>
      <c r="ED742" s="62">
        <v>1998.9799800000001</v>
      </c>
      <c r="EE742" s="78">
        <f t="shared" si="48"/>
        <v>0.88459405651566714</v>
      </c>
      <c r="EF742" s="78">
        <f t="shared" si="49"/>
        <v>1.0673944364859944</v>
      </c>
      <c r="FR742" s="335">
        <v>41913</v>
      </c>
      <c r="FS742" s="341">
        <v>164.44499999999999</v>
      </c>
      <c r="FT742" s="341">
        <f>FU11</f>
        <v>154</v>
      </c>
    </row>
    <row r="743" spans="132:176" x14ac:dyDescent="0.6">
      <c r="EB743" s="335">
        <v>41897</v>
      </c>
      <c r="EC743" s="62">
        <v>154.84</v>
      </c>
      <c r="ED743" s="62">
        <v>1984.130005</v>
      </c>
      <c r="EE743" s="78">
        <f t="shared" si="48"/>
        <v>0.8793628501090538</v>
      </c>
      <c r="EF743" s="78">
        <f t="shared" si="49"/>
        <v>1.0599100604811065</v>
      </c>
      <c r="FR743" s="335">
        <v>41912</v>
      </c>
      <c r="FS743" s="341">
        <v>162.72</v>
      </c>
      <c r="FT743" s="341"/>
    </row>
    <row r="744" spans="132:176" x14ac:dyDescent="0.6">
      <c r="EB744" s="335">
        <v>41894</v>
      </c>
      <c r="EC744" s="62">
        <v>154.74</v>
      </c>
      <c r="ED744" s="62">
        <v>1985.540039</v>
      </c>
      <c r="EE744" s="78">
        <f t="shared" si="48"/>
        <v>0.87871660479433233</v>
      </c>
      <c r="EF744" s="78">
        <f t="shared" si="49"/>
        <v>1.0606202118617405</v>
      </c>
      <c r="FR744" s="335">
        <v>41911</v>
      </c>
      <c r="FS744" s="341">
        <v>158.72999999999999</v>
      </c>
      <c r="FT744" s="341"/>
    </row>
    <row r="745" spans="132:176" x14ac:dyDescent="0.6">
      <c r="EB745" s="335">
        <v>41893</v>
      </c>
      <c r="EC745" s="62">
        <v>155.86000000000001</v>
      </c>
      <c r="ED745" s="62">
        <v>1997.4499510000001</v>
      </c>
      <c r="EE745" s="78">
        <f t="shared" si="48"/>
        <v>0.8859025408908292</v>
      </c>
      <c r="EF745" s="78">
        <f t="shared" si="49"/>
        <v>1.0665827702697934</v>
      </c>
      <c r="FR745" s="335">
        <v>41908</v>
      </c>
      <c r="FS745" s="341">
        <v>156.75</v>
      </c>
      <c r="FT745" s="341"/>
    </row>
    <row r="746" spans="132:176" x14ac:dyDescent="0.6">
      <c r="EB746" s="335">
        <v>41892</v>
      </c>
      <c r="EC746" s="62">
        <v>155.36000000000001</v>
      </c>
      <c r="ED746" s="62">
        <v>1995.6899410000001</v>
      </c>
      <c r="EE746" s="78">
        <f t="shared" si="48"/>
        <v>0.88268420927393942</v>
      </c>
      <c r="EF746" s="78">
        <f t="shared" si="49"/>
        <v>1.0657008647373549</v>
      </c>
      <c r="FR746" s="335">
        <v>41907</v>
      </c>
      <c r="FS746" s="341">
        <v>156.495</v>
      </c>
      <c r="FT746" s="341"/>
    </row>
    <row r="747" spans="132:176" x14ac:dyDescent="0.6">
      <c r="EB747" s="335">
        <v>41891</v>
      </c>
      <c r="EC747" s="62">
        <v>155.09</v>
      </c>
      <c r="ED747" s="62">
        <v>1988.4399410000001</v>
      </c>
      <c r="EE747" s="78">
        <f t="shared" si="48"/>
        <v>0.88094328464952776</v>
      </c>
      <c r="EF747" s="78">
        <f t="shared" si="49"/>
        <v>1.0620547903196615</v>
      </c>
      <c r="EG747" s="78">
        <f>EE747</f>
        <v>0.88094328464952776</v>
      </c>
      <c r="EH747" s="62" t="s">
        <v>394</v>
      </c>
      <c r="FR747" s="335">
        <v>41906</v>
      </c>
      <c r="FS747" s="341">
        <v>158.68</v>
      </c>
      <c r="FT747" s="341"/>
    </row>
    <row r="748" spans="132:176" x14ac:dyDescent="0.6">
      <c r="EB748" s="335">
        <v>41890</v>
      </c>
      <c r="EC748" s="62">
        <v>155.74</v>
      </c>
      <c r="ED748" s="62">
        <v>2001.540039</v>
      </c>
      <c r="EE748" s="78">
        <f t="shared" si="48"/>
        <v>0.88511690735403525</v>
      </c>
      <c r="EF748" s="78">
        <f t="shared" si="49"/>
        <v>1.0685997995349381</v>
      </c>
      <c r="FR748" s="335">
        <v>41905</v>
      </c>
      <c r="FS748" s="341">
        <v>156.47</v>
      </c>
      <c r="FT748" s="341"/>
    </row>
    <row r="749" spans="132:176" x14ac:dyDescent="0.6">
      <c r="EB749" s="335">
        <v>41887</v>
      </c>
      <c r="EC749" s="62">
        <v>155.44</v>
      </c>
      <c r="ED749" s="62">
        <v>2007.709961</v>
      </c>
      <c r="EE749" s="78">
        <f t="shared" si="48"/>
        <v>0.88318690220735474</v>
      </c>
      <c r="EF749" s="78">
        <f t="shared" si="49"/>
        <v>1.0716729137396048</v>
      </c>
      <c r="FR749" s="335">
        <v>41904</v>
      </c>
      <c r="FS749" s="341">
        <v>157.47999999999999</v>
      </c>
      <c r="FT749" s="341"/>
    </row>
    <row r="750" spans="132:176" x14ac:dyDescent="0.6">
      <c r="EB750" s="335">
        <v>41886</v>
      </c>
      <c r="EC750" s="62">
        <v>153.15</v>
      </c>
      <c r="ED750" s="62">
        <v>1997.650024</v>
      </c>
      <c r="EE750" s="78">
        <f t="shared" si="48"/>
        <v>0.86823424141727967</v>
      </c>
      <c r="EF750" s="78">
        <f t="shared" si="49"/>
        <v>1.0666370281344495</v>
      </c>
      <c r="FR750" s="335">
        <v>41901</v>
      </c>
      <c r="FS750" s="341">
        <v>160.22999999999999</v>
      </c>
      <c r="FT750" s="341"/>
    </row>
    <row r="751" spans="132:176" x14ac:dyDescent="0.6">
      <c r="EB751" s="335">
        <v>41885</v>
      </c>
      <c r="EC751" s="62">
        <v>149.56</v>
      </c>
      <c r="ED751" s="62">
        <v>2000.719971</v>
      </c>
      <c r="EE751" s="78">
        <f t="shared" si="48"/>
        <v>0.84423049710061748</v>
      </c>
      <c r="EF751" s="78">
        <f t="shared" si="49"/>
        <v>1.0681714492650916</v>
      </c>
      <c r="FR751" s="335">
        <v>41900</v>
      </c>
      <c r="FS751" s="341">
        <v>161.22999999999999</v>
      </c>
      <c r="FT751" s="341"/>
    </row>
    <row r="752" spans="132:176" x14ac:dyDescent="0.6">
      <c r="EB752" s="335">
        <v>41884</v>
      </c>
      <c r="EC752" s="62">
        <v>149.85</v>
      </c>
      <c r="ED752" s="62">
        <v>2002.280029</v>
      </c>
      <c r="EE752" s="78">
        <f t="shared" si="48"/>
        <v>0.84616576570255275</v>
      </c>
      <c r="EF752" s="78">
        <f t="shared" si="49"/>
        <v>1.0689505900333183</v>
      </c>
      <c r="FR752" s="335">
        <v>41899</v>
      </c>
      <c r="FS752" s="341">
        <v>158.94</v>
      </c>
      <c r="FT752" s="341"/>
    </row>
    <row r="753" spans="132:176" x14ac:dyDescent="0.6">
      <c r="EB753" s="335">
        <v>41880</v>
      </c>
      <c r="EC753" s="62">
        <v>149.94</v>
      </c>
      <c r="ED753" s="62">
        <v>2003.369995</v>
      </c>
      <c r="EE753" s="78">
        <f t="shared" si="48"/>
        <v>0.84676600579859118</v>
      </c>
      <c r="EF753" s="78">
        <f t="shared" si="49"/>
        <v>1.0694946562830476</v>
      </c>
      <c r="FR753" s="335">
        <v>41898</v>
      </c>
      <c r="FS753" s="341">
        <v>155.65</v>
      </c>
      <c r="FT753" s="341"/>
    </row>
    <row r="754" spans="132:176" x14ac:dyDescent="0.6">
      <c r="EB754" s="335">
        <v>41879</v>
      </c>
      <c r="EC754" s="62">
        <v>149.58000000000001</v>
      </c>
      <c r="ED754" s="62">
        <v>1996.73999</v>
      </c>
      <c r="EE754" s="78">
        <f t="shared" si="48"/>
        <v>0.8443592669297586</v>
      </c>
      <c r="EF754" s="78">
        <f t="shared" si="49"/>
        <v>1.0661742414903335</v>
      </c>
      <c r="FR754" s="335">
        <v>41897</v>
      </c>
      <c r="FS754" s="341">
        <v>154.84</v>
      </c>
      <c r="FT754" s="341"/>
    </row>
    <row r="755" spans="132:176" x14ac:dyDescent="0.6">
      <c r="EB755" s="335">
        <v>41878</v>
      </c>
      <c r="EC755" s="62">
        <v>149.93</v>
      </c>
      <c r="ED755" s="62">
        <v>2000.119995</v>
      </c>
      <c r="EE755" s="78">
        <f t="shared" si="48"/>
        <v>0.84669368966036618</v>
      </c>
      <c r="EF755" s="78">
        <f t="shared" si="49"/>
        <v>1.0678641426004916</v>
      </c>
      <c r="FR755" s="335">
        <v>41894</v>
      </c>
      <c r="FS755" s="341">
        <v>154.74</v>
      </c>
      <c r="FT755" s="341"/>
    </row>
    <row r="756" spans="132:176" x14ac:dyDescent="0.6">
      <c r="EB756" s="335">
        <v>41877</v>
      </c>
      <c r="EC756" s="62">
        <v>151.72999999999999</v>
      </c>
      <c r="ED756" s="62">
        <v>2000.0200199999999</v>
      </c>
      <c r="EE756" s="78">
        <f t="shared" si="48"/>
        <v>0.85855686767394279</v>
      </c>
      <c r="EF756" s="78">
        <f t="shared" si="49"/>
        <v>1.0678141556008613</v>
      </c>
      <c r="FR756" s="335">
        <v>41893</v>
      </c>
      <c r="FS756" s="341">
        <v>155.86000000000001</v>
      </c>
      <c r="FT756" s="341"/>
    </row>
    <row r="757" spans="132:176" x14ac:dyDescent="0.6">
      <c r="EB757" s="335">
        <v>41876</v>
      </c>
      <c r="EC757" s="62">
        <v>152.36000000000001</v>
      </c>
      <c r="ED757" s="62">
        <v>1997.920044</v>
      </c>
      <c r="EE757" s="78">
        <f t="shared" si="48"/>
        <v>0.86269181122868177</v>
      </c>
      <c r="EF757" s="78">
        <f t="shared" si="49"/>
        <v>1.0667630744996399</v>
      </c>
      <c r="FR757" s="335">
        <v>41892</v>
      </c>
      <c r="FS757" s="341">
        <v>155.36000000000001</v>
      </c>
      <c r="FT757" s="341"/>
    </row>
    <row r="758" spans="132:176" x14ac:dyDescent="0.6">
      <c r="EB758" s="335">
        <v>41873</v>
      </c>
      <c r="EC758" s="62">
        <v>152.22999999999999</v>
      </c>
      <c r="ED758" s="62">
        <v>1988.400024</v>
      </c>
      <c r="EE758" s="78">
        <f t="shared" si="48"/>
        <v>0.86183784026369448</v>
      </c>
      <c r="EF758" s="78">
        <f t="shared" si="49"/>
        <v>1.0619752954385389</v>
      </c>
      <c r="FR758" s="335">
        <v>41891</v>
      </c>
      <c r="FS758" s="341">
        <v>155.09</v>
      </c>
      <c r="FT758" s="341"/>
    </row>
    <row r="759" spans="132:176" x14ac:dyDescent="0.6">
      <c r="EB759" s="335">
        <v>41872</v>
      </c>
      <c r="EC759" s="62">
        <v>152.01</v>
      </c>
      <c r="ED759" s="62">
        <v>1992.369995</v>
      </c>
      <c r="EE759" s="78">
        <f t="shared" si="48"/>
        <v>0.86039056705798433</v>
      </c>
      <c r="EF759" s="78">
        <f t="shared" si="49"/>
        <v>1.0639678826637846</v>
      </c>
      <c r="FR759" s="335">
        <v>41890</v>
      </c>
      <c r="FS759" s="341">
        <v>155.74</v>
      </c>
      <c r="FT759" s="341"/>
    </row>
    <row r="760" spans="132:176" x14ac:dyDescent="0.6">
      <c r="EB760" s="335">
        <v>41871</v>
      </c>
      <c r="EC760" s="62">
        <v>152.58000000000001</v>
      </c>
      <c r="ED760" s="62">
        <v>1986.51001</v>
      </c>
      <c r="EE760" s="78">
        <f t="shared" si="48"/>
        <v>0.86412631224083936</v>
      </c>
      <c r="EF760" s="78">
        <f t="shared" si="49"/>
        <v>1.061017993173925</v>
      </c>
      <c r="FR760" s="335">
        <v>41887</v>
      </c>
      <c r="FS760" s="341">
        <v>155.44</v>
      </c>
      <c r="FT760" s="341"/>
    </row>
    <row r="761" spans="132:176" x14ac:dyDescent="0.6">
      <c r="EB761" s="335">
        <v>41870</v>
      </c>
      <c r="EC761" s="62">
        <v>151.74</v>
      </c>
      <c r="ED761" s="62">
        <v>1981.599976</v>
      </c>
      <c r="EE761" s="78">
        <f t="shared" si="48"/>
        <v>0.8585905273456238</v>
      </c>
      <c r="EF761" s="78">
        <f t="shared" si="49"/>
        <v>1.0585401802654331</v>
      </c>
      <c r="FR761" s="335">
        <v>41886</v>
      </c>
      <c r="FS761" s="341">
        <v>153.15</v>
      </c>
      <c r="FT761" s="341"/>
    </row>
    <row r="762" spans="132:176" x14ac:dyDescent="0.6">
      <c r="EB762" s="335">
        <v>41869</v>
      </c>
      <c r="EC762" s="62">
        <v>148.91999999999999</v>
      </c>
      <c r="ED762" s="62">
        <v>1971.73999</v>
      </c>
      <c r="EE762" s="78">
        <f t="shared" si="48"/>
        <v>0.83965418568567196</v>
      </c>
      <c r="EF762" s="78">
        <f t="shared" si="49"/>
        <v>1.0535395280242621</v>
      </c>
      <c r="FR762" s="335">
        <v>41885</v>
      </c>
      <c r="FS762" s="341">
        <v>149.56</v>
      </c>
      <c r="FT762" s="341"/>
    </row>
    <row r="763" spans="132:176" x14ac:dyDescent="0.6">
      <c r="EB763" s="335">
        <v>41866</v>
      </c>
      <c r="EC763" s="62">
        <v>147.19999999999999</v>
      </c>
      <c r="ED763" s="62">
        <v>1955.0600589999999</v>
      </c>
      <c r="EE763" s="78">
        <f t="shared" si="48"/>
        <v>0.82796940307697631</v>
      </c>
      <c r="EF763" s="78">
        <f t="shared" si="49"/>
        <v>1.0450078561079876</v>
      </c>
      <c r="FR763" s="335">
        <v>41884</v>
      </c>
      <c r="FS763" s="341">
        <v>149.85</v>
      </c>
      <c r="FT763" s="341"/>
    </row>
    <row r="764" spans="132:176" x14ac:dyDescent="0.6">
      <c r="EB764" s="335">
        <v>41865</v>
      </c>
      <c r="EC764" s="62">
        <v>147.71</v>
      </c>
      <c r="ED764" s="62">
        <v>1955.1800539999999</v>
      </c>
      <c r="EE764" s="78">
        <f t="shared" si="48"/>
        <v>0.83142211447092407</v>
      </c>
      <c r="EF764" s="78">
        <f t="shared" si="49"/>
        <v>1.0450692289722179</v>
      </c>
      <c r="FR764" s="335">
        <v>41880</v>
      </c>
      <c r="FS764" s="341">
        <v>149.94</v>
      </c>
      <c r="FT764" s="341"/>
    </row>
    <row r="765" spans="132:176" x14ac:dyDescent="0.6">
      <c r="EB765" s="335">
        <v>41864</v>
      </c>
      <c r="EC765" s="62">
        <v>147.22</v>
      </c>
      <c r="ED765" s="62">
        <v>1946.719971</v>
      </c>
      <c r="EE765" s="78">
        <f t="shared" si="48"/>
        <v>0.82809376234485421</v>
      </c>
      <c r="EF765" s="78">
        <f t="shared" si="49"/>
        <v>1.0407234149229305</v>
      </c>
      <c r="FR765" s="335">
        <v>41879</v>
      </c>
      <c r="FS765" s="341">
        <v>149.58000000000001</v>
      </c>
      <c r="FT765" s="341"/>
    </row>
    <row r="766" spans="132:176" x14ac:dyDescent="0.6">
      <c r="EB766" s="335">
        <v>41863</v>
      </c>
      <c r="EC766" s="62">
        <v>147.27500000000001</v>
      </c>
      <c r="ED766" s="62">
        <v>1933.75</v>
      </c>
      <c r="EE766" s="78">
        <f t="shared" si="48"/>
        <v>0.82846721337184459</v>
      </c>
      <c r="EF766" s="78">
        <f t="shared" si="49"/>
        <v>1.0340162547419351</v>
      </c>
      <c r="FR766" s="335">
        <v>41878</v>
      </c>
      <c r="FS766" s="341">
        <v>149.93</v>
      </c>
      <c r="FT766" s="341"/>
    </row>
    <row r="767" spans="132:176" x14ac:dyDescent="0.6">
      <c r="EB767" s="335">
        <v>41862</v>
      </c>
      <c r="EC767" s="62">
        <v>147.75</v>
      </c>
      <c r="ED767" s="62">
        <v>1936.920044</v>
      </c>
      <c r="EE767" s="78">
        <f t="shared" si="48"/>
        <v>0.83168210338876503</v>
      </c>
      <c r="EF767" s="78">
        <f t="shared" si="49"/>
        <v>1.0356528963832976</v>
      </c>
      <c r="FR767" s="335">
        <v>41877</v>
      </c>
      <c r="FS767" s="341">
        <v>151.72999999999999</v>
      </c>
      <c r="FT767" s="341"/>
    </row>
    <row r="768" spans="132:176" x14ac:dyDescent="0.6">
      <c r="EB768" s="335">
        <v>41859</v>
      </c>
      <c r="EC768" s="62">
        <v>145.38999999999999</v>
      </c>
      <c r="ED768" s="62">
        <v>1931.589966</v>
      </c>
      <c r="EE768" s="78">
        <f t="shared" si="48"/>
        <v>0.81544990034866593</v>
      </c>
      <c r="EF768" s="78">
        <f t="shared" si="49"/>
        <v>1.0328934711979216</v>
      </c>
      <c r="FR768" s="335">
        <v>41876</v>
      </c>
      <c r="FS768" s="341">
        <v>152.36000000000001</v>
      </c>
      <c r="FT768" s="341"/>
    </row>
    <row r="769" spans="132:176" x14ac:dyDescent="0.6">
      <c r="EB769" s="335">
        <v>41858</v>
      </c>
      <c r="EC769" s="62">
        <v>145.63</v>
      </c>
      <c r="ED769" s="62">
        <v>1909.5699460000001</v>
      </c>
      <c r="EE769" s="78">
        <f t="shared" si="48"/>
        <v>0.81709791243408791</v>
      </c>
      <c r="EF769" s="78">
        <f t="shared" si="49"/>
        <v>1.0213620685142306</v>
      </c>
      <c r="FR769" s="335">
        <v>41873</v>
      </c>
      <c r="FS769" s="341">
        <v>152.22999999999999</v>
      </c>
      <c r="FT769" s="341"/>
    </row>
    <row r="770" spans="132:176" x14ac:dyDescent="0.6">
      <c r="EB770" s="335">
        <v>41857</v>
      </c>
      <c r="EC770" s="62">
        <v>147.9</v>
      </c>
      <c r="ED770" s="62">
        <v>1920.23999</v>
      </c>
      <c r="EE770" s="78">
        <f t="shared" si="48"/>
        <v>0.8324461206829048</v>
      </c>
      <c r="EF770" s="78">
        <f t="shared" si="49"/>
        <v>1.0269186885490003</v>
      </c>
      <c r="FR770" s="335">
        <v>41872</v>
      </c>
      <c r="FS770" s="341">
        <v>152.01</v>
      </c>
      <c r="FT770" s="341"/>
    </row>
    <row r="771" spans="132:176" x14ac:dyDescent="0.6">
      <c r="EB771" s="335">
        <v>41856</v>
      </c>
      <c r="EC771" s="62">
        <v>149.26</v>
      </c>
      <c r="ED771" s="62">
        <v>1920.209961</v>
      </c>
      <c r="EE771" s="78">
        <f t="shared" si="48"/>
        <v>0.84155773799497757</v>
      </c>
      <c r="EF771" s="78">
        <f t="shared" si="49"/>
        <v>1.0269030501549652</v>
      </c>
      <c r="FR771" s="335">
        <v>41871</v>
      </c>
      <c r="FS771" s="341">
        <v>152.58000000000001</v>
      </c>
      <c r="FT771" s="341"/>
    </row>
    <row r="772" spans="132:176" x14ac:dyDescent="0.6">
      <c r="EB772" s="335">
        <v>41855</v>
      </c>
      <c r="EC772" s="62">
        <v>151.03</v>
      </c>
      <c r="ED772" s="62">
        <v>1938.98999</v>
      </c>
      <c r="EE772" s="78">
        <f t="shared" si="48"/>
        <v>0.85327726391697989</v>
      </c>
      <c r="EF772" s="78">
        <f t="shared" si="49"/>
        <v>1.0365885199597886</v>
      </c>
      <c r="FR772" s="335">
        <v>41870</v>
      </c>
      <c r="FS772" s="341">
        <v>151.74</v>
      </c>
      <c r="FT772" s="341"/>
    </row>
    <row r="773" spans="132:176" x14ac:dyDescent="0.6">
      <c r="EB773" s="335">
        <v>41852</v>
      </c>
      <c r="EC773" s="62">
        <v>149.19999999999999</v>
      </c>
      <c r="ED773" s="62">
        <v>1925.150024</v>
      </c>
      <c r="EE773" s="78">
        <f t="shared" si="48"/>
        <v>0.84101184836738196</v>
      </c>
      <c r="EF773" s="78">
        <f t="shared" si="49"/>
        <v>1.0293994875064925</v>
      </c>
      <c r="FR773" s="335">
        <v>41869</v>
      </c>
      <c r="FS773" s="341">
        <v>148.91999999999999</v>
      </c>
      <c r="FT773" s="341"/>
    </row>
    <row r="774" spans="132:176" x14ac:dyDescent="0.6">
      <c r="EB774" s="335">
        <v>41851</v>
      </c>
      <c r="EC774" s="62">
        <v>147.30000000000001</v>
      </c>
      <c r="ED774" s="62">
        <v>1930.670044</v>
      </c>
      <c r="EE774" s="78">
        <f t="shared" si="48"/>
        <v>0.82811300247464625</v>
      </c>
      <c r="EF774" s="78">
        <f t="shared" si="49"/>
        <v>1.03225860888622</v>
      </c>
      <c r="FR774" s="335">
        <v>41866</v>
      </c>
      <c r="FS774" s="341">
        <v>147.19999999999999</v>
      </c>
      <c r="FT774" s="341"/>
    </row>
    <row r="775" spans="132:176" x14ac:dyDescent="0.6">
      <c r="EB775" s="335">
        <v>41850</v>
      </c>
      <c r="EC775" s="62">
        <v>151.76</v>
      </c>
      <c r="ED775" s="62">
        <v>1970.0699460000001</v>
      </c>
      <c r="EE775" s="78">
        <f t="shared" si="48"/>
        <v>0.85750151064544211</v>
      </c>
      <c r="EF775" s="78">
        <f t="shared" si="49"/>
        <v>1.0522578490553303</v>
      </c>
      <c r="FR775" s="335">
        <v>41865</v>
      </c>
      <c r="FS775" s="341">
        <v>147.71</v>
      </c>
      <c r="FT775" s="341"/>
    </row>
    <row r="776" spans="132:176" x14ac:dyDescent="0.6">
      <c r="EB776" s="335">
        <v>41849</v>
      </c>
      <c r="EC776" s="62">
        <v>146.62</v>
      </c>
      <c r="ED776" s="62">
        <v>1969.9499510000001</v>
      </c>
      <c r="EE776" s="78">
        <f t="shared" si="48"/>
        <v>0.82244490172442186</v>
      </c>
      <c r="EF776" s="78">
        <f t="shared" si="49"/>
        <v>1.0521969363402945</v>
      </c>
      <c r="FR776" s="335">
        <v>41864</v>
      </c>
      <c r="FS776" s="341">
        <v>147.22</v>
      </c>
      <c r="FT776" s="341"/>
    </row>
    <row r="777" spans="132:176" x14ac:dyDescent="0.6">
      <c r="EB777" s="335">
        <v>41848</v>
      </c>
      <c r="EC777" s="62">
        <v>143.81</v>
      </c>
      <c r="ED777" s="62">
        <v>1978.910034</v>
      </c>
      <c r="EE777" s="78">
        <f t="shared" si="48"/>
        <v>0.80290523132597946</v>
      </c>
      <c r="EF777" s="78">
        <f t="shared" si="49"/>
        <v>1.0567247232765651</v>
      </c>
      <c r="FR777" s="335">
        <v>41863</v>
      </c>
      <c r="FS777" s="341">
        <v>147.27500000000001</v>
      </c>
      <c r="FT777" s="341"/>
    </row>
    <row r="778" spans="132:176" x14ac:dyDescent="0.6">
      <c r="EB778" s="335">
        <v>41845</v>
      </c>
      <c r="EC778" s="62">
        <v>143.35</v>
      </c>
      <c r="ED778" s="62">
        <v>1978.339966</v>
      </c>
      <c r="EE778" s="78">
        <f t="shared" si="48"/>
        <v>0.79969630213169962</v>
      </c>
      <c r="EF778" s="78">
        <f t="shared" si="49"/>
        <v>1.0564365685560433</v>
      </c>
      <c r="FR778" s="335">
        <v>41862</v>
      </c>
      <c r="FS778" s="341">
        <v>147.75</v>
      </c>
      <c r="FT778" s="341"/>
    </row>
    <row r="779" spans="132:176" x14ac:dyDescent="0.6">
      <c r="EB779" s="335">
        <v>41844</v>
      </c>
      <c r="EC779" s="62">
        <v>145.63</v>
      </c>
      <c r="ED779" s="62">
        <v>1987.9799800000001</v>
      </c>
      <c r="EE779" s="78">
        <f t="shared" si="48"/>
        <v>0.81535241694320826</v>
      </c>
      <c r="EF779" s="78">
        <f t="shared" si="49"/>
        <v>1.0612857189986951</v>
      </c>
      <c r="FR779" s="335">
        <v>41859</v>
      </c>
      <c r="FS779" s="341">
        <v>145.38999999999999</v>
      </c>
      <c r="FT779" s="341"/>
    </row>
    <row r="780" spans="132:176" x14ac:dyDescent="0.6">
      <c r="EB780" s="335">
        <v>41843</v>
      </c>
      <c r="EC780" s="62">
        <v>144.41</v>
      </c>
      <c r="ED780" s="62">
        <v>1987.01001</v>
      </c>
      <c r="EE780" s="78">
        <f t="shared" si="48"/>
        <v>0.80690424853381837</v>
      </c>
      <c r="EF780" s="78">
        <f t="shared" si="49"/>
        <v>1.0607975634307218</v>
      </c>
      <c r="FR780" s="335">
        <v>41858</v>
      </c>
      <c r="FS780" s="341">
        <v>145.63</v>
      </c>
      <c r="FT780" s="341"/>
    </row>
    <row r="781" spans="132:176" x14ac:dyDescent="0.6">
      <c r="EB781" s="335">
        <v>41842</v>
      </c>
      <c r="EC781" s="62">
        <v>145.25</v>
      </c>
      <c r="ED781" s="62">
        <v>1983.530029</v>
      </c>
      <c r="EE781" s="78">
        <f t="shared" si="48"/>
        <v>0.8126873810639389</v>
      </c>
      <c r="EF781" s="78">
        <f t="shared" si="49"/>
        <v>1.059043125156977</v>
      </c>
      <c r="FR781" s="335">
        <v>41857</v>
      </c>
      <c r="FS781" s="341">
        <v>147.9</v>
      </c>
      <c r="FT781" s="341"/>
    </row>
    <row r="782" spans="132:176" x14ac:dyDescent="0.6">
      <c r="EB782" s="335">
        <v>41841</v>
      </c>
      <c r="EC782" s="62">
        <v>144.55000000000001</v>
      </c>
      <c r="ED782" s="62">
        <v>1973.630005</v>
      </c>
      <c r="EE782" s="78">
        <f t="shared" si="48"/>
        <v>0.80784476605183242</v>
      </c>
      <c r="EF782" s="78">
        <f t="shared" si="49"/>
        <v>1.0540269752327667</v>
      </c>
      <c r="FR782" s="335">
        <v>41856</v>
      </c>
      <c r="FS782" s="341">
        <v>149.26</v>
      </c>
      <c r="FT782" s="341"/>
    </row>
    <row r="783" spans="132:176" x14ac:dyDescent="0.6">
      <c r="EB783" s="335">
        <v>41838</v>
      </c>
      <c r="EC783" s="62">
        <v>146.33000000000001</v>
      </c>
      <c r="ED783" s="62">
        <v>1978.219971</v>
      </c>
      <c r="EE783" s="78">
        <f t="shared" si="48"/>
        <v>0.82000905225425158</v>
      </c>
      <c r="EF783" s="78">
        <f t="shared" si="49"/>
        <v>1.0563472257950335</v>
      </c>
      <c r="FR783" s="335">
        <v>41855</v>
      </c>
      <c r="FS783" s="341">
        <v>151.03</v>
      </c>
      <c r="FT783" s="341"/>
    </row>
    <row r="784" spans="132:176" x14ac:dyDescent="0.6">
      <c r="EB784" s="335">
        <v>41837</v>
      </c>
      <c r="EC784" s="62">
        <v>144.56</v>
      </c>
      <c r="ED784" s="62">
        <v>1958.119995</v>
      </c>
      <c r="EE784" s="78">
        <f t="shared" si="48"/>
        <v>0.80776500134113582</v>
      </c>
      <c r="EF784" s="78">
        <f t="shared" si="49"/>
        <v>1.0460822900141189</v>
      </c>
      <c r="FR784" s="335">
        <v>41852</v>
      </c>
      <c r="FS784" s="341">
        <v>149.19999999999999</v>
      </c>
      <c r="FT784" s="341"/>
    </row>
    <row r="785" spans="132:176" x14ac:dyDescent="0.6">
      <c r="EB785" s="335">
        <v>41836</v>
      </c>
      <c r="EC785" s="62">
        <v>147.82</v>
      </c>
      <c r="ED785" s="62">
        <v>1981.5699460000001</v>
      </c>
      <c r="EE785" s="78">
        <f t="shared" si="48"/>
        <v>0.82981885061728244</v>
      </c>
      <c r="EF785" s="78">
        <f t="shared" si="49"/>
        <v>1.0579163163866605</v>
      </c>
      <c r="FR785" s="335">
        <v>41851</v>
      </c>
      <c r="FS785" s="341">
        <v>147.30000000000001</v>
      </c>
      <c r="FT785" s="341"/>
    </row>
    <row r="786" spans="132:176" x14ac:dyDescent="0.6">
      <c r="EB786" s="335">
        <v>41835</v>
      </c>
      <c r="EC786" s="62">
        <v>147.72999999999999</v>
      </c>
      <c r="ED786" s="62">
        <v>1973.280029</v>
      </c>
      <c r="EE786" s="78">
        <f t="shared" si="48"/>
        <v>0.82920963109518131</v>
      </c>
      <c r="EF786" s="78">
        <f t="shared" si="49"/>
        <v>1.0537152314528606</v>
      </c>
      <c r="FR786" s="335">
        <v>41850</v>
      </c>
      <c r="FS786" s="341">
        <v>151.76</v>
      </c>
      <c r="FT786" s="341"/>
    </row>
    <row r="787" spans="132:176" x14ac:dyDescent="0.6">
      <c r="EB787" s="335">
        <v>41834</v>
      </c>
      <c r="EC787" s="62">
        <v>148.08000000000001</v>
      </c>
      <c r="ED787" s="62">
        <v>1977.099976</v>
      </c>
      <c r="EE787" s="78">
        <f t="shared" si="48"/>
        <v>0.8315732183453165</v>
      </c>
      <c r="EF787" s="78">
        <f t="shared" si="49"/>
        <v>1.0556473274755049</v>
      </c>
      <c r="FR787" s="335">
        <v>41849</v>
      </c>
      <c r="FS787" s="341">
        <v>146.62</v>
      </c>
      <c r="FT787" s="341"/>
    </row>
    <row r="788" spans="132:176" x14ac:dyDescent="0.6">
      <c r="EB788" s="335">
        <v>41831</v>
      </c>
      <c r="EC788" s="62">
        <v>147.15</v>
      </c>
      <c r="ED788" s="62">
        <v>1967.5699460000001</v>
      </c>
      <c r="EE788" s="78">
        <f t="shared" si="48"/>
        <v>0.82525313679587708</v>
      </c>
      <c r="EF788" s="78">
        <f t="shared" si="49"/>
        <v>1.0508037741271861</v>
      </c>
      <c r="FR788" s="335">
        <v>41848</v>
      </c>
      <c r="FS788" s="341">
        <v>143.81</v>
      </c>
      <c r="FT788" s="341"/>
    </row>
    <row r="789" spans="132:176" x14ac:dyDescent="0.6">
      <c r="EB789" s="335">
        <v>41830</v>
      </c>
      <c r="EC789" s="62">
        <v>147.38</v>
      </c>
      <c r="ED789" s="62">
        <v>1964.6800539999999</v>
      </c>
      <c r="EE789" s="78">
        <f t="shared" si="48"/>
        <v>0.82681372846367451</v>
      </c>
      <c r="EF789" s="78">
        <f t="shared" si="49"/>
        <v>1.0493328516764204</v>
      </c>
      <c r="FR789" s="335">
        <v>41845</v>
      </c>
      <c r="FS789" s="341">
        <v>143.35</v>
      </c>
      <c r="FT789" s="341"/>
    </row>
    <row r="790" spans="132:176" x14ac:dyDescent="0.6">
      <c r="EB790" s="335">
        <v>41829</v>
      </c>
      <c r="EC790" s="62">
        <v>149.51</v>
      </c>
      <c r="ED790" s="62">
        <v>1972.829956</v>
      </c>
      <c r="EE790" s="78">
        <f t="shared" si="48"/>
        <v>0.84106026715673854</v>
      </c>
      <c r="EF790" s="78">
        <f t="shared" si="49"/>
        <v>1.0534639233763476</v>
      </c>
      <c r="FR790" s="335">
        <v>41844</v>
      </c>
      <c r="FS790" s="341">
        <v>145.63</v>
      </c>
      <c r="FT790" s="341"/>
    </row>
    <row r="791" spans="132:176" x14ac:dyDescent="0.6">
      <c r="EB791" s="335">
        <v>41828</v>
      </c>
      <c r="EC791" s="62">
        <v>148.81</v>
      </c>
      <c r="ED791" s="62">
        <v>1963.709961</v>
      </c>
      <c r="EE791" s="78">
        <f t="shared" si="48"/>
        <v>0.83635628220949043</v>
      </c>
      <c r="EF791" s="78">
        <f t="shared" si="49"/>
        <v>1.0488196555460028</v>
      </c>
      <c r="FR791" s="335">
        <v>41843</v>
      </c>
      <c r="FS791" s="341">
        <v>144.41</v>
      </c>
      <c r="FT791" s="341"/>
    </row>
    <row r="792" spans="132:176" x14ac:dyDescent="0.6">
      <c r="EB792" s="335">
        <v>41827</v>
      </c>
      <c r="EC792" s="62">
        <v>149.46</v>
      </c>
      <c r="ED792" s="62">
        <v>1977.650024</v>
      </c>
      <c r="EE792" s="78">
        <f t="shared" si="48"/>
        <v>0.8407052719057303</v>
      </c>
      <c r="EF792" s="78">
        <f t="shared" si="49"/>
        <v>1.0558684573212556</v>
      </c>
      <c r="FR792" s="335">
        <v>41842</v>
      </c>
      <c r="FS792" s="341">
        <v>145.25</v>
      </c>
      <c r="FT792" s="341"/>
    </row>
    <row r="793" spans="132:176" x14ac:dyDescent="0.6">
      <c r="EB793" s="335">
        <v>41823</v>
      </c>
      <c r="EC793" s="62">
        <v>149.16999999999999</v>
      </c>
      <c r="ED793" s="62">
        <v>1985.4399410000001</v>
      </c>
      <c r="EE793" s="78">
        <f t="shared" si="48"/>
        <v>0.83876118127088406</v>
      </c>
      <c r="EF793" s="78">
        <f t="shared" si="49"/>
        <v>1.0597919791761028</v>
      </c>
      <c r="FR793" s="335">
        <v>41841</v>
      </c>
      <c r="FS793" s="341">
        <v>144.55000000000001</v>
      </c>
      <c r="FT793" s="341"/>
    </row>
    <row r="794" spans="132:176" x14ac:dyDescent="0.6">
      <c r="EB794" s="335">
        <v>41822</v>
      </c>
      <c r="EC794" s="62">
        <v>147.58000000000001</v>
      </c>
      <c r="ED794" s="62">
        <v>1974.619995</v>
      </c>
      <c r="EE794" s="78">
        <f t="shared" si="48"/>
        <v>0.8279873636804248</v>
      </c>
      <c r="EF794" s="78">
        <f t="shared" si="49"/>
        <v>1.0543124712062668</v>
      </c>
      <c r="FR794" s="335">
        <v>41838</v>
      </c>
      <c r="FS794" s="341">
        <v>146.33000000000001</v>
      </c>
      <c r="FT794" s="341"/>
    </row>
    <row r="795" spans="132:176" x14ac:dyDescent="0.6">
      <c r="EB795" s="335">
        <v>41821</v>
      </c>
      <c r="EC795" s="62">
        <v>149.80000000000001</v>
      </c>
      <c r="ED795" s="62">
        <v>1973.3199460000001</v>
      </c>
      <c r="EE795" s="78">
        <f t="shared" si="48"/>
        <v>0.84280712335999752</v>
      </c>
      <c r="EF795" s="78">
        <f t="shared" si="49"/>
        <v>1.0536536581219338</v>
      </c>
      <c r="FR795" s="335">
        <v>41837</v>
      </c>
      <c r="FS795" s="341">
        <v>144.56</v>
      </c>
      <c r="FT795" s="341"/>
    </row>
    <row r="796" spans="132:176" x14ac:dyDescent="0.6">
      <c r="EB796" s="335">
        <v>41820</v>
      </c>
      <c r="EC796" s="62">
        <v>149.83000000000001</v>
      </c>
      <c r="ED796" s="62">
        <v>1960.2299800000001</v>
      </c>
      <c r="EE796" s="78">
        <f t="shared" ref="EE796:EE858" si="50">EE797+(EC796-EC797)/EC797</f>
        <v>0.84300735028384455</v>
      </c>
      <c r="EF796" s="78">
        <f t="shared" ref="EF796:EF858" si="51">EF797+(ED796-ED797)/ED797</f>
        <v>1.0469758875880906</v>
      </c>
      <c r="EG796" s="78"/>
      <c r="EH796" s="336"/>
      <c r="FR796" s="335">
        <v>41836</v>
      </c>
      <c r="FS796" s="341">
        <v>147.82</v>
      </c>
      <c r="FT796" s="341"/>
    </row>
    <row r="797" spans="132:176" x14ac:dyDescent="0.6">
      <c r="EB797" s="335">
        <v>41817</v>
      </c>
      <c r="EC797" s="62">
        <v>149.56</v>
      </c>
      <c r="ED797" s="62">
        <v>1960.959961</v>
      </c>
      <c r="EE797" s="78">
        <f t="shared" si="50"/>
        <v>0.84120205475027932</v>
      </c>
      <c r="EF797" s="78">
        <f t="shared" si="51"/>
        <v>1.0473481445512709</v>
      </c>
      <c r="FR797" s="335">
        <v>41835</v>
      </c>
      <c r="FS797" s="341">
        <v>147.72999999999999</v>
      </c>
      <c r="FT797" s="341"/>
    </row>
    <row r="798" spans="132:176" x14ac:dyDescent="0.6">
      <c r="EB798" s="335">
        <v>41816</v>
      </c>
      <c r="EC798" s="62">
        <v>149.02000000000001</v>
      </c>
      <c r="ED798" s="62">
        <v>1957.219971</v>
      </c>
      <c r="EE798" s="78">
        <f t="shared" si="50"/>
        <v>0.83757838007573904</v>
      </c>
      <c r="EF798" s="78">
        <f t="shared" si="51"/>
        <v>1.0454372760462407</v>
      </c>
      <c r="FR798" s="335">
        <v>41834</v>
      </c>
      <c r="FS798" s="341">
        <v>148.08000000000001</v>
      </c>
      <c r="FT798" s="341"/>
    </row>
    <row r="799" spans="132:176" x14ac:dyDescent="0.6">
      <c r="EB799" s="335">
        <v>41815</v>
      </c>
      <c r="EC799" s="62">
        <v>149.96</v>
      </c>
      <c r="ED799" s="62">
        <v>1959.530029</v>
      </c>
      <c r="EE799" s="78">
        <f t="shared" si="50"/>
        <v>0.84384671829926527</v>
      </c>
      <c r="EF799" s="78">
        <f t="shared" si="51"/>
        <v>1.0466161597407044</v>
      </c>
      <c r="FR799" s="335">
        <v>41831</v>
      </c>
      <c r="FS799" s="341">
        <v>147.15</v>
      </c>
      <c r="FT799" s="341"/>
    </row>
    <row r="800" spans="132:176" x14ac:dyDescent="0.6">
      <c r="EB800" s="335">
        <v>41814</v>
      </c>
      <c r="EC800" s="62">
        <v>149.94</v>
      </c>
      <c r="ED800" s="62">
        <v>1949.9799800000001</v>
      </c>
      <c r="EE800" s="78">
        <f t="shared" si="50"/>
        <v>0.84371333161125672</v>
      </c>
      <c r="EF800" s="78">
        <f t="shared" si="51"/>
        <v>1.0417186484339473</v>
      </c>
      <c r="FR800" s="335">
        <v>41830</v>
      </c>
      <c r="FS800" s="341">
        <v>147.38</v>
      </c>
      <c r="FT800" s="341"/>
    </row>
    <row r="801" spans="132:176" x14ac:dyDescent="0.6">
      <c r="EB801" s="335">
        <v>41813</v>
      </c>
      <c r="EC801" s="62">
        <v>150.55000000000001</v>
      </c>
      <c r="ED801" s="62">
        <v>1962.6099850000001</v>
      </c>
      <c r="EE801" s="78">
        <f t="shared" si="50"/>
        <v>0.84776514164114725</v>
      </c>
      <c r="EF801" s="78">
        <f t="shared" si="51"/>
        <v>1.0481539591154019</v>
      </c>
      <c r="FR801" s="335">
        <v>41829</v>
      </c>
      <c r="FS801" s="341">
        <v>149.51</v>
      </c>
      <c r="FT801" s="341"/>
    </row>
    <row r="802" spans="132:176" x14ac:dyDescent="0.6">
      <c r="EB802" s="335">
        <v>41810</v>
      </c>
      <c r="EC802" s="62">
        <v>149.02000000000001</v>
      </c>
      <c r="ED802" s="62">
        <v>1962.869995</v>
      </c>
      <c r="EE802" s="78">
        <f t="shared" si="50"/>
        <v>0.83749806339661625</v>
      </c>
      <c r="EF802" s="78">
        <f t="shared" si="51"/>
        <v>1.048286423313572</v>
      </c>
      <c r="FR802" s="335">
        <v>41828</v>
      </c>
      <c r="FS802" s="341">
        <v>148.81</v>
      </c>
      <c r="FT802" s="341"/>
    </row>
    <row r="803" spans="132:176" x14ac:dyDescent="0.6">
      <c r="EB803" s="335">
        <v>41809</v>
      </c>
      <c r="EC803" s="62">
        <v>148.97999999999999</v>
      </c>
      <c r="ED803" s="62">
        <v>1959.4799800000001</v>
      </c>
      <c r="EE803" s="78">
        <f t="shared" si="50"/>
        <v>0.83722957098152684</v>
      </c>
      <c r="EF803" s="78">
        <f t="shared" si="51"/>
        <v>1.0465563648110094</v>
      </c>
      <c r="FR803" s="335">
        <v>41827</v>
      </c>
      <c r="FS803" s="341">
        <v>149.46</v>
      </c>
      <c r="FT803" s="341"/>
    </row>
    <row r="804" spans="132:176" x14ac:dyDescent="0.6">
      <c r="EB804" s="335">
        <v>41808</v>
      </c>
      <c r="EC804" s="62">
        <v>149.41</v>
      </c>
      <c r="ED804" s="62">
        <v>1956.9799800000001</v>
      </c>
      <c r="EE804" s="78">
        <f t="shared" si="50"/>
        <v>0.84010755772940182</v>
      </c>
      <c r="EF804" s="78">
        <f t="shared" si="51"/>
        <v>1.0452788862340441</v>
      </c>
      <c r="FR804" s="335">
        <v>41823</v>
      </c>
      <c r="FS804" s="341">
        <v>149.16999999999999</v>
      </c>
      <c r="FT804" s="341"/>
    </row>
    <row r="805" spans="132:176" x14ac:dyDescent="0.6">
      <c r="EB805" s="335">
        <v>41807</v>
      </c>
      <c r="EC805" s="62">
        <v>147.94</v>
      </c>
      <c r="ED805" s="62">
        <v>1941.98999</v>
      </c>
      <c r="EE805" s="78">
        <f t="shared" si="50"/>
        <v>0.83017109700207992</v>
      </c>
      <c r="EF805" s="78">
        <f t="shared" si="51"/>
        <v>1.0375600050466081</v>
      </c>
      <c r="FR805" s="335">
        <v>41822</v>
      </c>
      <c r="FS805" s="341">
        <v>147.58000000000001</v>
      </c>
      <c r="FT805" s="341"/>
    </row>
    <row r="806" spans="132:176" x14ac:dyDescent="0.6">
      <c r="EB806" s="335">
        <v>41806</v>
      </c>
      <c r="EC806" s="62">
        <v>149.5</v>
      </c>
      <c r="ED806" s="62">
        <v>1937.780029</v>
      </c>
      <c r="EE806" s="78">
        <f t="shared" si="50"/>
        <v>0.8406058796107756</v>
      </c>
      <c r="EF806" s="78">
        <f t="shared" si="51"/>
        <v>1.0353874359536277</v>
      </c>
      <c r="FR806" s="335">
        <v>41821</v>
      </c>
      <c r="FS806" s="341">
        <v>149.80000000000001</v>
      </c>
      <c r="FT806" s="341">
        <f>FU10</f>
        <v>167</v>
      </c>
    </row>
    <row r="807" spans="132:176" x14ac:dyDescent="0.6">
      <c r="EB807" s="335">
        <v>41803</v>
      </c>
      <c r="EC807" s="62">
        <v>151.4</v>
      </c>
      <c r="ED807" s="62">
        <v>1936.160034</v>
      </c>
      <c r="EE807" s="78">
        <f t="shared" si="50"/>
        <v>0.85315541725938859</v>
      </c>
      <c r="EF807" s="78">
        <f t="shared" si="51"/>
        <v>1.0345507308406452</v>
      </c>
      <c r="FR807" s="335">
        <v>41820</v>
      </c>
      <c r="FS807" s="341">
        <v>149.83000000000001</v>
      </c>
      <c r="FT807" s="341"/>
    </row>
    <row r="808" spans="132:176" x14ac:dyDescent="0.6">
      <c r="EB808" s="335">
        <v>41802</v>
      </c>
      <c r="EC808" s="62">
        <v>150.59</v>
      </c>
      <c r="ED808" s="62">
        <v>1930.1099850000001</v>
      </c>
      <c r="EE808" s="78">
        <f t="shared" si="50"/>
        <v>0.84777657404270756</v>
      </c>
      <c r="EF808" s="78">
        <f t="shared" si="51"/>
        <v>1.0314161690555561</v>
      </c>
      <c r="FR808" s="335">
        <v>41817</v>
      </c>
      <c r="FS808" s="341">
        <v>149.56</v>
      </c>
      <c r="FT808" s="341"/>
    </row>
    <row r="809" spans="132:176" x14ac:dyDescent="0.6">
      <c r="EB809" s="335">
        <v>41801</v>
      </c>
      <c r="EC809" s="62">
        <v>152.06</v>
      </c>
      <c r="ED809" s="62">
        <v>1943.8900149999999</v>
      </c>
      <c r="EE809" s="78">
        <f t="shared" si="50"/>
        <v>0.85744381065983233</v>
      </c>
      <c r="EF809" s="78">
        <f t="shared" si="51"/>
        <v>1.0385050629197492</v>
      </c>
      <c r="FR809" s="335">
        <v>41816</v>
      </c>
      <c r="FS809" s="341">
        <v>149.02000000000001</v>
      </c>
      <c r="FT809" s="341"/>
    </row>
    <row r="810" spans="132:176" x14ac:dyDescent="0.6">
      <c r="EB810" s="335">
        <v>41800</v>
      </c>
      <c r="EC810" s="62">
        <v>151.9</v>
      </c>
      <c r="ED810" s="62">
        <v>1950.790039</v>
      </c>
      <c r="EE810" s="78">
        <f t="shared" si="50"/>
        <v>0.85639048610420365</v>
      </c>
      <c r="EF810" s="78">
        <f t="shared" si="51"/>
        <v>1.0420421037401633</v>
      </c>
      <c r="FR810" s="335">
        <v>41815</v>
      </c>
      <c r="FS810" s="341">
        <v>149.96</v>
      </c>
      <c r="FT810" s="341"/>
    </row>
    <row r="811" spans="132:176" x14ac:dyDescent="0.6">
      <c r="EB811" s="335">
        <v>41799</v>
      </c>
      <c r="EC811" s="62">
        <v>157.11000000000001</v>
      </c>
      <c r="ED811" s="62">
        <v>1951.2700199999999</v>
      </c>
      <c r="EE811" s="78">
        <f t="shared" si="50"/>
        <v>0.88955196532258574</v>
      </c>
      <c r="EF811" s="78">
        <f t="shared" si="51"/>
        <v>1.0422880876353087</v>
      </c>
      <c r="FR811" s="335">
        <v>41814</v>
      </c>
      <c r="FS811" s="341">
        <v>149.94</v>
      </c>
      <c r="FT811" s="341"/>
    </row>
    <row r="812" spans="132:176" x14ac:dyDescent="0.6">
      <c r="EB812" s="335">
        <v>41796</v>
      </c>
      <c r="EC812" s="62">
        <v>159.11000000000001</v>
      </c>
      <c r="ED812" s="62">
        <v>1949.4399410000001</v>
      </c>
      <c r="EE812" s="78">
        <f t="shared" si="50"/>
        <v>0.90212188550359262</v>
      </c>
      <c r="EF812" s="78">
        <f t="shared" si="51"/>
        <v>1.0413493159596545</v>
      </c>
      <c r="FR812" s="335">
        <v>41813</v>
      </c>
      <c r="FS812" s="341">
        <v>150.55000000000001</v>
      </c>
      <c r="FT812" s="341"/>
    </row>
    <row r="813" spans="132:176" x14ac:dyDescent="0.6">
      <c r="EB813" s="335">
        <v>41795</v>
      </c>
      <c r="EC813" s="62">
        <v>155.69</v>
      </c>
      <c r="ED813" s="62">
        <v>1940.459961</v>
      </c>
      <c r="EE813" s="78">
        <f t="shared" si="50"/>
        <v>0.88015515674773148</v>
      </c>
      <c r="EF813" s="78">
        <f t="shared" si="51"/>
        <v>1.0367215575000714</v>
      </c>
      <c r="FR813" s="335">
        <v>41810</v>
      </c>
      <c r="FS813" s="341">
        <v>149.02000000000001</v>
      </c>
      <c r="FT813" s="341"/>
    </row>
    <row r="814" spans="132:176" x14ac:dyDescent="0.6">
      <c r="EB814" s="335">
        <v>41794</v>
      </c>
      <c r="EC814" s="62">
        <v>154.46</v>
      </c>
      <c r="ED814" s="62">
        <v>1927.880005</v>
      </c>
      <c r="EE814" s="78">
        <f t="shared" si="50"/>
        <v>0.87219193002236572</v>
      </c>
      <c r="EF814" s="78">
        <f t="shared" si="51"/>
        <v>1.0301962779352782</v>
      </c>
      <c r="FR814" s="335">
        <v>41809</v>
      </c>
      <c r="FS814" s="341">
        <v>148.97999999999999</v>
      </c>
      <c r="FT814" s="341"/>
    </row>
    <row r="815" spans="132:176" x14ac:dyDescent="0.6">
      <c r="EB815" s="335">
        <v>41793</v>
      </c>
      <c r="EC815" s="62">
        <v>154.02000000000001</v>
      </c>
      <c r="ED815" s="62">
        <v>1924.23999</v>
      </c>
      <c r="EE815" s="78">
        <f t="shared" si="50"/>
        <v>0.86933515817455376</v>
      </c>
      <c r="EF815" s="78">
        <f t="shared" si="51"/>
        <v>1.0283046142036665</v>
      </c>
      <c r="FR815" s="335">
        <v>41808</v>
      </c>
      <c r="FS815" s="341">
        <v>149.41</v>
      </c>
      <c r="FT815" s="341"/>
    </row>
    <row r="816" spans="132:176" x14ac:dyDescent="0.6">
      <c r="EB816" s="335">
        <v>41792</v>
      </c>
      <c r="EC816" s="62">
        <v>154.65</v>
      </c>
      <c r="ED816" s="62">
        <v>1924.969971</v>
      </c>
      <c r="EE816" s="78">
        <f t="shared" si="50"/>
        <v>0.87340887301451497</v>
      </c>
      <c r="EF816" s="78">
        <f t="shared" si="51"/>
        <v>1.0286838310283428</v>
      </c>
      <c r="FR816" s="335">
        <v>41807</v>
      </c>
      <c r="FS816" s="341">
        <v>147.94</v>
      </c>
      <c r="FT816" s="341"/>
    </row>
    <row r="817" spans="132:176" x14ac:dyDescent="0.6">
      <c r="EB817" s="335">
        <v>41789</v>
      </c>
      <c r="EC817" s="62">
        <v>153.61000000000001</v>
      </c>
      <c r="ED817" s="62">
        <v>1923.5699460000001</v>
      </c>
      <c r="EE817" s="78">
        <f t="shared" si="50"/>
        <v>0.8666384804619468</v>
      </c>
      <c r="EF817" s="78">
        <f t="shared" si="51"/>
        <v>1.027956004622596</v>
      </c>
      <c r="FR817" s="335">
        <v>41806</v>
      </c>
      <c r="FS817" s="341">
        <v>149.5</v>
      </c>
      <c r="FT817" s="341"/>
    </row>
    <row r="818" spans="132:176" x14ac:dyDescent="0.6">
      <c r="EB818" s="335">
        <v>41788</v>
      </c>
      <c r="EC818" s="62">
        <v>152.32</v>
      </c>
      <c r="ED818" s="62">
        <v>1920.030029</v>
      </c>
      <c r="EE818" s="78">
        <f t="shared" si="50"/>
        <v>0.85816946785690462</v>
      </c>
      <c r="EF818" s="78">
        <f t="shared" si="51"/>
        <v>1.0261123266870775</v>
      </c>
      <c r="FR818" s="335">
        <v>41803</v>
      </c>
      <c r="FS818" s="341">
        <v>151.4</v>
      </c>
      <c r="FT818" s="341"/>
    </row>
    <row r="819" spans="132:176" x14ac:dyDescent="0.6">
      <c r="EB819" s="335">
        <v>41787</v>
      </c>
      <c r="EC819" s="62">
        <v>154.78</v>
      </c>
      <c r="ED819" s="62">
        <v>1909.780029</v>
      </c>
      <c r="EE819" s="78">
        <f t="shared" si="50"/>
        <v>0.87406299415229172</v>
      </c>
      <c r="EF819" s="78">
        <f t="shared" si="51"/>
        <v>1.0207452164207884</v>
      </c>
      <c r="FR819" s="335">
        <v>41802</v>
      </c>
      <c r="FS819" s="341">
        <v>150.59</v>
      </c>
      <c r="FT819" s="341"/>
    </row>
    <row r="820" spans="132:176" x14ac:dyDescent="0.6">
      <c r="EB820" s="335">
        <v>41786</v>
      </c>
      <c r="EC820" s="62">
        <v>153.59</v>
      </c>
      <c r="ED820" s="62">
        <v>1911.910034</v>
      </c>
      <c r="EE820" s="78">
        <f t="shared" si="50"/>
        <v>0.86631509389836892</v>
      </c>
      <c r="EF820" s="78">
        <f t="shared" si="51"/>
        <v>1.0218592881930588</v>
      </c>
      <c r="FR820" s="335">
        <v>41801</v>
      </c>
      <c r="FS820" s="341">
        <v>152.06</v>
      </c>
      <c r="FT820" s="341"/>
    </row>
    <row r="821" spans="132:176" x14ac:dyDescent="0.6">
      <c r="EB821" s="335">
        <v>41782</v>
      </c>
      <c r="EC821" s="62">
        <v>154.88999999999999</v>
      </c>
      <c r="ED821" s="62">
        <v>1900.530029</v>
      </c>
      <c r="EE821" s="78">
        <f t="shared" si="50"/>
        <v>0.87470814703285138</v>
      </c>
      <c r="EF821" s="78">
        <f t="shared" si="51"/>
        <v>1.0158714822513721</v>
      </c>
      <c r="FR821" s="335">
        <v>41800</v>
      </c>
      <c r="FS821" s="341">
        <v>151.9</v>
      </c>
      <c r="FT821" s="341"/>
    </row>
    <row r="822" spans="132:176" x14ac:dyDescent="0.6">
      <c r="EB822" s="335">
        <v>41781</v>
      </c>
      <c r="EC822" s="62">
        <v>154.94999999999999</v>
      </c>
      <c r="ED822" s="62">
        <v>1892.48999</v>
      </c>
      <c r="EE822" s="78">
        <f t="shared" si="50"/>
        <v>0.87509536871726568</v>
      </c>
      <c r="EF822" s="78">
        <f t="shared" si="51"/>
        <v>1.0116230904276458</v>
      </c>
      <c r="FR822" s="335">
        <v>41799</v>
      </c>
      <c r="FS822" s="341">
        <v>157.11000000000001</v>
      </c>
      <c r="FT822" s="341"/>
    </row>
    <row r="823" spans="132:176" x14ac:dyDescent="0.6">
      <c r="EB823" s="335">
        <v>41780</v>
      </c>
      <c r="EC823" s="62">
        <v>152.49</v>
      </c>
      <c r="ED823" s="62">
        <v>1888.030029</v>
      </c>
      <c r="EE823" s="78">
        <f t="shared" si="50"/>
        <v>0.85896316332674838</v>
      </c>
      <c r="EF823" s="78">
        <f t="shared" si="51"/>
        <v>1.0092608605205493</v>
      </c>
      <c r="FR823" s="335">
        <v>41796</v>
      </c>
      <c r="FS823" s="341">
        <v>159.11000000000001</v>
      </c>
      <c r="FT823" s="341"/>
    </row>
    <row r="824" spans="132:176" x14ac:dyDescent="0.6">
      <c r="EB824" s="335">
        <v>41779</v>
      </c>
      <c r="EC824" s="62">
        <v>153.15</v>
      </c>
      <c r="ED824" s="62">
        <v>1872.829956</v>
      </c>
      <c r="EE824" s="78">
        <f t="shared" si="50"/>
        <v>0.86327266381646428</v>
      </c>
      <c r="EF824" s="78">
        <f t="shared" si="51"/>
        <v>1.001144761698388</v>
      </c>
      <c r="FR824" s="335">
        <v>41795</v>
      </c>
      <c r="FS824" s="341">
        <v>155.69</v>
      </c>
      <c r="FT824" s="341"/>
    </row>
    <row r="825" spans="132:176" x14ac:dyDescent="0.6">
      <c r="EB825" s="335">
        <v>41778</v>
      </c>
      <c r="EC825" s="62">
        <v>153.5</v>
      </c>
      <c r="ED825" s="62">
        <v>1885.079956</v>
      </c>
      <c r="EE825" s="78">
        <f t="shared" si="50"/>
        <v>0.86555279410962382</v>
      </c>
      <c r="EF825" s="78">
        <f t="shared" si="51"/>
        <v>1.007643159796044</v>
      </c>
      <c r="FR825" s="335">
        <v>41794</v>
      </c>
      <c r="FS825" s="341">
        <v>154.46</v>
      </c>
      <c r="FT825" s="341"/>
    </row>
    <row r="826" spans="132:176" x14ac:dyDescent="0.6">
      <c r="EB826" s="335">
        <v>41775</v>
      </c>
      <c r="EC826" s="62">
        <v>152.88999999999999</v>
      </c>
      <c r="ED826" s="62">
        <v>1877.8599850000001</v>
      </c>
      <c r="EE826" s="78">
        <f t="shared" si="50"/>
        <v>0.86156299752384313</v>
      </c>
      <c r="EF826" s="78">
        <f t="shared" si="51"/>
        <v>1.0037983731465219</v>
      </c>
      <c r="FR826" s="335">
        <v>41793</v>
      </c>
      <c r="FS826" s="341">
        <v>154.02000000000001</v>
      </c>
      <c r="FT826" s="341"/>
    </row>
    <row r="827" spans="132:176" x14ac:dyDescent="0.6">
      <c r="EB827" s="335">
        <v>41774</v>
      </c>
      <c r="EC827" s="62">
        <v>152.66</v>
      </c>
      <c r="ED827" s="62">
        <v>1870.849976</v>
      </c>
      <c r="EE827" s="78">
        <f t="shared" si="50"/>
        <v>0.86005638151441044</v>
      </c>
      <c r="EF827" s="78">
        <f t="shared" si="51"/>
        <v>1.0000514083498107</v>
      </c>
      <c r="FR827" s="335">
        <v>41792</v>
      </c>
      <c r="FS827" s="341">
        <v>154.65</v>
      </c>
      <c r="FT827" s="341"/>
    </row>
    <row r="828" spans="132:176" x14ac:dyDescent="0.6">
      <c r="EB828" s="335">
        <v>41773</v>
      </c>
      <c r="EC828" s="62">
        <v>153.16999999999999</v>
      </c>
      <c r="ED828" s="62">
        <v>1888.530029</v>
      </c>
      <c r="EE828" s="78">
        <f t="shared" si="50"/>
        <v>0.86338601525469894</v>
      </c>
      <c r="EF828" s="78">
        <f t="shared" si="51"/>
        <v>1.0094132150081681</v>
      </c>
      <c r="FR828" s="335">
        <v>41789</v>
      </c>
      <c r="FS828" s="341">
        <v>153.61000000000001</v>
      </c>
      <c r="FT828" s="341"/>
    </row>
    <row r="829" spans="132:176" x14ac:dyDescent="0.6">
      <c r="EB829" s="335">
        <v>41772</v>
      </c>
      <c r="EC829" s="62">
        <v>155.75</v>
      </c>
      <c r="ED829" s="62">
        <v>1897.4499510000001</v>
      </c>
      <c r="EE829" s="78">
        <f t="shared" si="50"/>
        <v>0.87995102328038122</v>
      </c>
      <c r="EF829" s="78">
        <f t="shared" si="51"/>
        <v>1.0141142201626381</v>
      </c>
      <c r="FR829" s="335">
        <v>41788</v>
      </c>
      <c r="FS829" s="341">
        <v>152.32</v>
      </c>
      <c r="FT829" s="341"/>
    </row>
    <row r="830" spans="132:176" x14ac:dyDescent="0.6">
      <c r="EB830" s="335">
        <v>41771</v>
      </c>
      <c r="EC830" s="62">
        <v>157.56</v>
      </c>
      <c r="ED830" s="62">
        <v>1896.650024</v>
      </c>
      <c r="EE830" s="78">
        <f t="shared" si="50"/>
        <v>0.89143871051064272</v>
      </c>
      <c r="EF830" s="78">
        <f t="shared" si="51"/>
        <v>1.01369246233179</v>
      </c>
      <c r="FR830" s="335">
        <v>41787</v>
      </c>
      <c r="FS830" s="341">
        <v>154.78</v>
      </c>
      <c r="FT830" s="341"/>
    </row>
    <row r="831" spans="132:176" x14ac:dyDescent="0.6">
      <c r="EB831" s="335">
        <v>41768</v>
      </c>
      <c r="EC831" s="62">
        <v>157.75</v>
      </c>
      <c r="ED831" s="62">
        <v>1878.4799800000001</v>
      </c>
      <c r="EE831" s="78">
        <f t="shared" si="50"/>
        <v>0.8926431479115936</v>
      </c>
      <c r="EF831" s="78">
        <f t="shared" si="51"/>
        <v>1.0040197246963323</v>
      </c>
      <c r="FR831" s="335">
        <v>41786</v>
      </c>
      <c r="FS831" s="341">
        <v>153.59</v>
      </c>
      <c r="FT831" s="341"/>
    </row>
    <row r="832" spans="132:176" x14ac:dyDescent="0.6">
      <c r="EB832" s="335">
        <v>41767</v>
      </c>
      <c r="EC832" s="62">
        <v>158.5</v>
      </c>
      <c r="ED832" s="62">
        <v>1875.630005</v>
      </c>
      <c r="EE832" s="78">
        <f t="shared" si="50"/>
        <v>0.89737500911033174</v>
      </c>
      <c r="EF832" s="78">
        <f t="shared" si="51"/>
        <v>1.0025002485776933</v>
      </c>
      <c r="FR832" s="335">
        <v>41782</v>
      </c>
      <c r="FS832" s="341">
        <v>154.88999999999999</v>
      </c>
      <c r="FT832" s="341"/>
    </row>
    <row r="833" spans="132:176" x14ac:dyDescent="0.6">
      <c r="EB833" s="335">
        <v>41766</v>
      </c>
      <c r="EC833" s="62">
        <v>156.59</v>
      </c>
      <c r="ED833" s="62">
        <v>1878.209961</v>
      </c>
      <c r="EE833" s="78">
        <f t="shared" si="50"/>
        <v>0.88517755077965932</v>
      </c>
      <c r="EF833" s="78">
        <f t="shared" si="51"/>
        <v>1.0038738734937418</v>
      </c>
      <c r="FR833" s="335">
        <v>41781</v>
      </c>
      <c r="FS833" s="341">
        <v>154.94999999999999</v>
      </c>
      <c r="FT833" s="341"/>
    </row>
    <row r="834" spans="132:176" x14ac:dyDescent="0.6">
      <c r="EB834" s="335">
        <v>41765</v>
      </c>
      <c r="EC834" s="62">
        <v>155.66</v>
      </c>
      <c r="ED834" s="62">
        <v>1867.719971</v>
      </c>
      <c r="EE834" s="78">
        <f t="shared" si="50"/>
        <v>0.87920299084133213</v>
      </c>
      <c r="EF834" s="78">
        <f t="shared" si="51"/>
        <v>0.99825740519930917</v>
      </c>
      <c r="FR834" s="335">
        <v>41780</v>
      </c>
      <c r="FS834" s="341">
        <v>152.49</v>
      </c>
      <c r="FT834" s="341"/>
    </row>
    <row r="835" spans="132:176" x14ac:dyDescent="0.6">
      <c r="EB835" s="335">
        <v>41764</v>
      </c>
      <c r="EC835" s="62">
        <v>157.35</v>
      </c>
      <c r="ED835" s="62">
        <v>1884.660034</v>
      </c>
      <c r="EE835" s="78">
        <f t="shared" si="50"/>
        <v>0.88994337851212968</v>
      </c>
      <c r="EF835" s="78">
        <f t="shared" si="51"/>
        <v>1.0072457971078734</v>
      </c>
      <c r="FR835" s="335">
        <v>41779</v>
      </c>
      <c r="FS835" s="341">
        <v>153.15</v>
      </c>
      <c r="FT835" s="341"/>
    </row>
    <row r="836" spans="132:176" x14ac:dyDescent="0.6">
      <c r="EB836" s="335">
        <v>41761</v>
      </c>
      <c r="EC836" s="62">
        <v>159.17500000000001</v>
      </c>
      <c r="ED836" s="62">
        <v>1881.1400149999999</v>
      </c>
      <c r="EE836" s="78">
        <f t="shared" si="50"/>
        <v>0.90140874681745409</v>
      </c>
      <c r="EF836" s="78">
        <f t="shared" si="51"/>
        <v>1.0053745812643256</v>
      </c>
      <c r="FR836" s="335">
        <v>41778</v>
      </c>
      <c r="FS836" s="341">
        <v>153.5</v>
      </c>
      <c r="FT836" s="341"/>
    </row>
    <row r="837" spans="132:176" x14ac:dyDescent="0.6">
      <c r="EB837" s="335">
        <v>41760</v>
      </c>
      <c r="EC837" s="62">
        <v>156.93</v>
      </c>
      <c r="ED837" s="62">
        <v>1883.6800539999999</v>
      </c>
      <c r="EE837" s="78">
        <f t="shared" si="50"/>
        <v>0.88710300540408504</v>
      </c>
      <c r="EF837" s="78">
        <f t="shared" si="51"/>
        <v>1.0067230262906484</v>
      </c>
      <c r="FR837" s="335">
        <v>41775</v>
      </c>
      <c r="FS837" s="341">
        <v>152.88999999999999</v>
      </c>
      <c r="FT837" s="341"/>
    </row>
    <row r="838" spans="132:176" x14ac:dyDescent="0.6">
      <c r="EB838" s="335">
        <v>41759</v>
      </c>
      <c r="EC838" s="62">
        <v>152.97</v>
      </c>
      <c r="ED838" s="62">
        <v>1883.9499510000001</v>
      </c>
      <c r="EE838" s="78">
        <f t="shared" si="50"/>
        <v>0.86121557649645608</v>
      </c>
      <c r="EF838" s="78">
        <f t="shared" si="51"/>
        <v>1.0068662875274221</v>
      </c>
      <c r="FR838" s="335">
        <v>41774</v>
      </c>
      <c r="FS838" s="341">
        <v>152.66</v>
      </c>
      <c r="FT838" s="341"/>
    </row>
    <row r="839" spans="132:176" x14ac:dyDescent="0.6">
      <c r="EB839" s="335">
        <v>41758</v>
      </c>
      <c r="EC839" s="62">
        <v>163.18</v>
      </c>
      <c r="ED839" s="62">
        <v>1878.329956</v>
      </c>
      <c r="EE839" s="78">
        <f t="shared" si="50"/>
        <v>0.92378451876879342</v>
      </c>
      <c r="EF839" s="78">
        <f t="shared" si="51"/>
        <v>1.0038742706125836</v>
      </c>
      <c r="FR839" s="335">
        <v>41773</v>
      </c>
      <c r="FS839" s="341">
        <v>153.16999999999999</v>
      </c>
      <c r="FT839" s="341"/>
    </row>
    <row r="840" spans="132:176" x14ac:dyDescent="0.6">
      <c r="EB840" s="335">
        <v>41757</v>
      </c>
      <c r="EC840" s="62">
        <v>163.33000000000001</v>
      </c>
      <c r="ED840" s="62">
        <v>1869.4300539999999</v>
      </c>
      <c r="EE840" s="78">
        <f t="shared" si="50"/>
        <v>0.92470290485830553</v>
      </c>
      <c r="EF840" s="78">
        <f t="shared" si="51"/>
        <v>0.99911351372790802</v>
      </c>
      <c r="FR840" s="335">
        <v>41772</v>
      </c>
      <c r="FS840" s="341">
        <v>155.75</v>
      </c>
      <c r="FT840" s="341"/>
    </row>
    <row r="841" spans="132:176" x14ac:dyDescent="0.6">
      <c r="EB841" s="335">
        <v>41754</v>
      </c>
      <c r="EC841" s="62">
        <v>168.16</v>
      </c>
      <c r="ED841" s="62">
        <v>1863.400024</v>
      </c>
      <c r="EE841" s="78">
        <f t="shared" si="50"/>
        <v>0.95342554995821027</v>
      </c>
      <c r="EF841" s="78">
        <f t="shared" si="51"/>
        <v>0.99587747749181543</v>
      </c>
      <c r="FR841" s="335">
        <v>41771</v>
      </c>
      <c r="FS841" s="341">
        <v>157.56</v>
      </c>
      <c r="FT841" s="341"/>
    </row>
    <row r="842" spans="132:176" x14ac:dyDescent="0.6">
      <c r="EB842" s="335">
        <v>41753</v>
      </c>
      <c r="EC842" s="62">
        <v>170.72</v>
      </c>
      <c r="ED842" s="62">
        <v>1878.6099850000001</v>
      </c>
      <c r="EE842" s="78">
        <f t="shared" si="50"/>
        <v>0.96842086392259641</v>
      </c>
      <c r="EF842" s="78">
        <f t="shared" si="51"/>
        <v>1.003973868505089</v>
      </c>
      <c r="FR842" s="335">
        <v>41768</v>
      </c>
      <c r="FS842" s="341">
        <v>157.75</v>
      </c>
      <c r="FT842" s="341"/>
    </row>
    <row r="843" spans="132:176" x14ac:dyDescent="0.6">
      <c r="EB843" s="335">
        <v>41752</v>
      </c>
      <c r="EC843" s="62">
        <v>169.63</v>
      </c>
      <c r="ED843" s="62">
        <v>1875.3900149999999</v>
      </c>
      <c r="EE843" s="78">
        <f t="shared" si="50"/>
        <v>0.96199511376047886</v>
      </c>
      <c r="EF843" s="78">
        <f t="shared" si="51"/>
        <v>1.0022569083132111</v>
      </c>
      <c r="FR843" s="335">
        <v>41767</v>
      </c>
      <c r="FS843" s="341">
        <v>158.5</v>
      </c>
      <c r="FT843" s="341"/>
    </row>
    <row r="844" spans="132:176" x14ac:dyDescent="0.6">
      <c r="EB844" s="335">
        <v>41751</v>
      </c>
      <c r="EC844" s="62">
        <v>172.12</v>
      </c>
      <c r="ED844" s="62">
        <v>1879.5500489999999</v>
      </c>
      <c r="EE844" s="78">
        <f t="shared" si="50"/>
        <v>0.97646176493407877</v>
      </c>
      <c r="EF844" s="78">
        <f t="shared" si="51"/>
        <v>1.0044702220806276</v>
      </c>
      <c r="FR844" s="335">
        <v>41766</v>
      </c>
      <c r="FS844" s="341">
        <v>156.59</v>
      </c>
      <c r="FT844" s="341"/>
    </row>
    <row r="845" spans="132:176" x14ac:dyDescent="0.6">
      <c r="EB845" s="335">
        <v>41750</v>
      </c>
      <c r="EC845" s="62">
        <v>168.41</v>
      </c>
      <c r="ED845" s="62">
        <v>1871.8900149999999</v>
      </c>
      <c r="EE845" s="78">
        <f t="shared" si="50"/>
        <v>0.95443219424350212</v>
      </c>
      <c r="EF845" s="78">
        <f t="shared" si="51"/>
        <v>1.0003780831522622</v>
      </c>
      <c r="FR845" s="335">
        <v>41765</v>
      </c>
      <c r="FS845" s="341">
        <v>155.66</v>
      </c>
      <c r="FT845" s="341"/>
    </row>
    <row r="846" spans="132:176" x14ac:dyDescent="0.6">
      <c r="EB846" s="335">
        <v>41746</v>
      </c>
      <c r="EC846" s="62">
        <v>168</v>
      </c>
      <c r="ED846" s="62">
        <v>1864.849976</v>
      </c>
      <c r="EE846" s="78">
        <f t="shared" si="50"/>
        <v>0.95199171805302596</v>
      </c>
      <c r="EF846" s="78">
        <f t="shared" si="51"/>
        <v>0.99660295963530221</v>
      </c>
      <c r="FR846" s="335">
        <v>41764</v>
      </c>
      <c r="FS846" s="341">
        <v>157.35</v>
      </c>
      <c r="FT846" s="341"/>
    </row>
    <row r="847" spans="132:176" x14ac:dyDescent="0.6">
      <c r="EB847" s="335">
        <v>41745</v>
      </c>
      <c r="EC847" s="62">
        <v>169.89</v>
      </c>
      <c r="ED847" s="62">
        <v>1862.3100589999999</v>
      </c>
      <c r="EE847" s="78">
        <f t="shared" si="50"/>
        <v>0.96311656354128294</v>
      </c>
      <c r="EF847" s="78">
        <f t="shared" si="51"/>
        <v>0.9952391067216988</v>
      </c>
      <c r="FR847" s="335">
        <v>41761</v>
      </c>
      <c r="FS847" s="341">
        <v>159.17500000000001</v>
      </c>
      <c r="FT847" s="341"/>
    </row>
    <row r="848" spans="132:176" x14ac:dyDescent="0.6">
      <c r="EB848" s="335">
        <v>41744</v>
      </c>
      <c r="EC848" s="62">
        <v>170.71</v>
      </c>
      <c r="ED848" s="62">
        <v>1842.9799800000001</v>
      </c>
      <c r="EE848" s="78">
        <f t="shared" si="50"/>
        <v>0.96792003141076932</v>
      </c>
      <c r="EF848" s="78">
        <f t="shared" si="51"/>
        <v>0.98475061568556732</v>
      </c>
      <c r="FR848" s="335">
        <v>41760</v>
      </c>
      <c r="FS848" s="341">
        <v>156.93</v>
      </c>
      <c r="FT848" s="341"/>
    </row>
    <row r="849" spans="132:176" x14ac:dyDescent="0.6">
      <c r="EB849" s="335">
        <v>41743</v>
      </c>
      <c r="EC849" s="62">
        <v>170.8</v>
      </c>
      <c r="ED849" s="62">
        <v>1830.6099850000001</v>
      </c>
      <c r="EE849" s="78">
        <f t="shared" si="50"/>
        <v>0.96844696349507853</v>
      </c>
      <c r="EF849" s="78">
        <f t="shared" si="51"/>
        <v>0.97799330795679951</v>
      </c>
      <c r="FR849" s="335">
        <v>41759</v>
      </c>
      <c r="FS849" s="341">
        <v>152.97</v>
      </c>
      <c r="FT849" s="341"/>
    </row>
    <row r="850" spans="132:176" x14ac:dyDescent="0.6">
      <c r="EB850" s="335">
        <v>41740</v>
      </c>
      <c r="EC850" s="62">
        <v>166.46</v>
      </c>
      <c r="ED850" s="62">
        <v>1815.6899410000001</v>
      </c>
      <c r="EE850" s="78">
        <f t="shared" si="50"/>
        <v>0.94237463380626441</v>
      </c>
      <c r="EF850" s="78">
        <f t="shared" si="51"/>
        <v>0.96977602169933275</v>
      </c>
      <c r="FR850" s="335">
        <v>41758</v>
      </c>
      <c r="FS850" s="341">
        <v>163.18</v>
      </c>
      <c r="FT850" s="341"/>
    </row>
    <row r="851" spans="132:176" x14ac:dyDescent="0.6">
      <c r="EB851" s="335">
        <v>41739</v>
      </c>
      <c r="EC851" s="62">
        <v>167.74</v>
      </c>
      <c r="ED851" s="62">
        <v>1833.079956</v>
      </c>
      <c r="EE851" s="78">
        <f t="shared" si="50"/>
        <v>0.9500054910853869</v>
      </c>
      <c r="EF851" s="78">
        <f t="shared" si="51"/>
        <v>0.97926279555394791</v>
      </c>
      <c r="FR851" s="335">
        <v>41757</v>
      </c>
      <c r="FS851" s="341">
        <v>163.33000000000001</v>
      </c>
      <c r="FT851" s="341"/>
    </row>
    <row r="852" spans="132:176" x14ac:dyDescent="0.6">
      <c r="EB852" s="335">
        <v>41738</v>
      </c>
      <c r="EC852" s="62">
        <v>170.59</v>
      </c>
      <c r="ED852" s="62">
        <v>1872.1800539999999</v>
      </c>
      <c r="EE852" s="78">
        <f t="shared" si="50"/>
        <v>0.96671221480893454</v>
      </c>
      <c r="EF852" s="78">
        <f t="shared" si="51"/>
        <v>1.0001475912852456</v>
      </c>
      <c r="FR852" s="335">
        <v>41754</v>
      </c>
      <c r="FS852" s="341">
        <v>168.16</v>
      </c>
      <c r="FT852" s="341"/>
    </row>
    <row r="853" spans="132:176" x14ac:dyDescent="0.6">
      <c r="EB853" s="335">
        <v>41737</v>
      </c>
      <c r="EC853" s="62">
        <v>169.4</v>
      </c>
      <c r="ED853" s="62">
        <v>1851.959961</v>
      </c>
      <c r="EE853" s="78">
        <f t="shared" si="50"/>
        <v>0.95968742142050478</v>
      </c>
      <c r="EF853" s="78">
        <f t="shared" si="51"/>
        <v>0.9892293784589371</v>
      </c>
      <c r="FR853" s="335">
        <v>41753</v>
      </c>
      <c r="FS853" s="341">
        <v>170.72</v>
      </c>
      <c r="FT853" s="341"/>
    </row>
    <row r="854" spans="132:176" x14ac:dyDescent="0.6">
      <c r="EB854" s="335">
        <v>41736</v>
      </c>
      <c r="EC854" s="62">
        <v>166.19</v>
      </c>
      <c r="ED854" s="62">
        <v>1845.040039</v>
      </c>
      <c r="EE854" s="78">
        <f t="shared" si="50"/>
        <v>0.94037217982955457</v>
      </c>
      <c r="EF854" s="78">
        <f t="shared" si="51"/>
        <v>0.98547882462068515</v>
      </c>
      <c r="FR854" s="335">
        <v>41752</v>
      </c>
      <c r="FS854" s="341">
        <v>169.63</v>
      </c>
      <c r="FT854" s="341"/>
    </row>
    <row r="855" spans="132:176" x14ac:dyDescent="0.6">
      <c r="EB855" s="335">
        <v>41733</v>
      </c>
      <c r="EC855" s="62">
        <v>168.91</v>
      </c>
      <c r="ED855" s="62">
        <v>1865.089966</v>
      </c>
      <c r="EE855" s="78">
        <f t="shared" si="50"/>
        <v>0.95647543008116787</v>
      </c>
      <c r="EF855" s="78">
        <f t="shared" si="51"/>
        <v>0.99622893714367533</v>
      </c>
      <c r="FR855" s="335">
        <v>41751</v>
      </c>
      <c r="FS855" s="341">
        <v>172.12</v>
      </c>
      <c r="FT855" s="341"/>
    </row>
    <row r="856" spans="132:176" x14ac:dyDescent="0.6">
      <c r="EB856" s="335">
        <v>41732</v>
      </c>
      <c r="EC856" s="62">
        <v>171.62</v>
      </c>
      <c r="ED856" s="62">
        <v>1888.7700199999999</v>
      </c>
      <c r="EE856" s="78">
        <f t="shared" si="50"/>
        <v>0.97226613046573851</v>
      </c>
      <c r="EF856" s="78">
        <f t="shared" si="51"/>
        <v>1.0087662252990643</v>
      </c>
      <c r="FR856" s="335">
        <v>41750</v>
      </c>
      <c r="FS856" s="341">
        <v>168.41</v>
      </c>
      <c r="FT856" s="341"/>
    </row>
    <row r="857" spans="132:176" x14ac:dyDescent="0.6">
      <c r="EB857" s="335">
        <v>41731</v>
      </c>
      <c r="EC857" s="62">
        <v>173.67</v>
      </c>
      <c r="ED857" s="62">
        <v>1890.900024</v>
      </c>
      <c r="EE857" s="78">
        <f t="shared" si="50"/>
        <v>0.98407012655026649</v>
      </c>
      <c r="EF857" s="78">
        <f t="shared" si="51"/>
        <v>1.0098926751234683</v>
      </c>
      <c r="FR857" s="335">
        <v>41746</v>
      </c>
      <c r="FS857" s="341">
        <v>168</v>
      </c>
      <c r="FT857" s="341"/>
    </row>
    <row r="858" spans="132:176" x14ac:dyDescent="0.6">
      <c r="EB858" s="335">
        <v>41730</v>
      </c>
      <c r="EC858" s="62">
        <v>174.97</v>
      </c>
      <c r="ED858" s="62">
        <v>1885.5200199999999</v>
      </c>
      <c r="EE858" s="78">
        <f t="shared" si="50"/>
        <v>0.99149997166657222</v>
      </c>
      <c r="EF858" s="78">
        <f t="shared" si="51"/>
        <v>1.0070393487504075</v>
      </c>
      <c r="FR858" s="335">
        <v>41745</v>
      </c>
      <c r="FS858" s="341">
        <v>169.89</v>
      </c>
      <c r="FT858" s="341"/>
    </row>
    <row r="859" spans="132:176" x14ac:dyDescent="0.6">
      <c r="EB859" s="335">
        <v>41729</v>
      </c>
      <c r="EC859" s="62">
        <v>176.47</v>
      </c>
      <c r="ED859" s="62">
        <v>1872.339966</v>
      </c>
      <c r="EE859" s="78">
        <v>1</v>
      </c>
      <c r="EF859" s="78">
        <v>1</v>
      </c>
      <c r="FR859" s="335">
        <v>41744</v>
      </c>
      <c r="FS859" s="341">
        <v>170.71</v>
      </c>
      <c r="FT859" s="341"/>
    </row>
    <row r="860" spans="132:176" x14ac:dyDescent="0.6">
      <c r="EB860" s="335">
        <v>41726</v>
      </c>
      <c r="EC860" s="62">
        <v>174</v>
      </c>
      <c r="ED860" s="62">
        <v>1857.619995</v>
      </c>
      <c r="FR860" s="335">
        <v>41743</v>
      </c>
      <c r="FS860" s="341">
        <v>170.8</v>
      </c>
      <c r="FT860" s="341"/>
    </row>
    <row r="861" spans="132:176" x14ac:dyDescent="0.6">
      <c r="EB861" s="335">
        <v>41725</v>
      </c>
      <c r="EC861" s="62">
        <v>169.31</v>
      </c>
      <c r="ED861" s="62">
        <v>1849.040039</v>
      </c>
      <c r="FR861" s="335">
        <v>41740</v>
      </c>
      <c r="FS861" s="341">
        <v>166.46</v>
      </c>
      <c r="FT861" s="341"/>
    </row>
    <row r="862" spans="132:176" x14ac:dyDescent="0.6">
      <c r="EB862" s="335">
        <v>41724</v>
      </c>
      <c r="EC862" s="62">
        <v>170.05</v>
      </c>
      <c r="ED862" s="62">
        <v>1852.5600589999999</v>
      </c>
      <c r="FR862" s="335">
        <v>41739</v>
      </c>
      <c r="FS862" s="341">
        <v>167.74</v>
      </c>
      <c r="FT862" s="341"/>
    </row>
    <row r="863" spans="132:176" x14ac:dyDescent="0.6">
      <c r="EB863" s="335">
        <v>41723</v>
      </c>
      <c r="EC863" s="62">
        <v>185.82</v>
      </c>
      <c r="ED863" s="62">
        <v>1865.619995</v>
      </c>
      <c r="FR863" s="335">
        <v>41738</v>
      </c>
      <c r="FS863" s="341">
        <v>170.59</v>
      </c>
      <c r="FT863" s="341"/>
    </row>
    <row r="864" spans="132:176" x14ac:dyDescent="0.6">
      <c r="EB864" s="335">
        <v>41722</v>
      </c>
      <c r="EC864" s="62">
        <v>186.69</v>
      </c>
      <c r="ED864" s="62">
        <v>1857.4399410000001</v>
      </c>
      <c r="FR864" s="335">
        <v>41737</v>
      </c>
      <c r="FS864" s="341">
        <v>169.4</v>
      </c>
      <c r="FT864" s="341"/>
    </row>
    <row r="865" spans="132:176" x14ac:dyDescent="0.6">
      <c r="EB865" s="335">
        <v>41719</v>
      </c>
      <c r="EC865" s="62">
        <v>188.95</v>
      </c>
      <c r="ED865" s="62">
        <v>1866.5200199999999</v>
      </c>
      <c r="FR865" s="335">
        <v>41736</v>
      </c>
      <c r="FS865" s="341">
        <v>166.19</v>
      </c>
      <c r="FT865" s="341"/>
    </row>
    <row r="866" spans="132:176" x14ac:dyDescent="0.6">
      <c r="EB866" s="335">
        <v>41718</v>
      </c>
      <c r="EC866" s="62">
        <v>190.38</v>
      </c>
      <c r="ED866" s="62">
        <v>1872.01001</v>
      </c>
      <c r="FR866" s="335">
        <v>41733</v>
      </c>
      <c r="FS866" s="341">
        <v>168.91</v>
      </c>
      <c r="FT866" s="341"/>
    </row>
    <row r="867" spans="132:176" x14ac:dyDescent="0.6">
      <c r="EB867" s="335">
        <v>41717</v>
      </c>
      <c r="EC867" s="62">
        <v>186.68</v>
      </c>
      <c r="ED867" s="62">
        <v>1860.7700199999999</v>
      </c>
      <c r="FR867" s="335">
        <v>41732</v>
      </c>
      <c r="FS867" s="341">
        <v>171.62</v>
      </c>
      <c r="FT867" s="341"/>
    </row>
    <row r="868" spans="132:176" x14ac:dyDescent="0.6">
      <c r="EB868" s="335">
        <v>41716</v>
      </c>
      <c r="EC868" s="62">
        <v>186.16</v>
      </c>
      <c r="ED868" s="62">
        <v>1872.25</v>
      </c>
      <c r="FR868" s="335">
        <v>41731</v>
      </c>
      <c r="FS868" s="341">
        <v>173.67</v>
      </c>
      <c r="FT868" s="341"/>
    </row>
    <row r="869" spans="132:176" x14ac:dyDescent="0.6">
      <c r="EB869" s="335">
        <v>41715</v>
      </c>
      <c r="EC869" s="62">
        <v>184.85</v>
      </c>
      <c r="ED869" s="62">
        <v>1858.829956</v>
      </c>
      <c r="FR869" s="335">
        <v>41730</v>
      </c>
      <c r="FS869" s="341">
        <v>174.97</v>
      </c>
      <c r="FT869" s="341">
        <f>FU9</f>
        <v>186</v>
      </c>
    </row>
    <row r="870" spans="132:176" x14ac:dyDescent="0.6">
      <c r="EB870" s="335">
        <v>41712</v>
      </c>
      <c r="EC870" s="62">
        <v>182.2</v>
      </c>
      <c r="ED870" s="62">
        <v>1841.130005</v>
      </c>
      <c r="FR870" s="335">
        <v>41729</v>
      </c>
      <c r="FS870" s="341">
        <v>176.47</v>
      </c>
      <c r="FT870" s="341"/>
    </row>
    <row r="871" spans="132:176" x14ac:dyDescent="0.6">
      <c r="EB871" s="335">
        <v>41711</v>
      </c>
      <c r="EC871" s="62">
        <v>181.26</v>
      </c>
      <c r="ED871" s="62">
        <v>1846.339966</v>
      </c>
      <c r="FR871" s="335">
        <v>41726</v>
      </c>
      <c r="FS871" s="341">
        <v>174</v>
      </c>
      <c r="FT871" s="341"/>
    </row>
    <row r="872" spans="132:176" x14ac:dyDescent="0.6">
      <c r="EB872" s="335">
        <v>41710</v>
      </c>
      <c r="EC872" s="62">
        <v>183.78</v>
      </c>
      <c r="ED872" s="62">
        <v>1868.1999510000001</v>
      </c>
      <c r="FR872" s="335">
        <v>41725</v>
      </c>
      <c r="FS872" s="341">
        <v>169.31</v>
      </c>
      <c r="FT872" s="341"/>
    </row>
    <row r="873" spans="132:176" x14ac:dyDescent="0.6">
      <c r="EB873" s="335">
        <v>41709</v>
      </c>
      <c r="EC873" s="62">
        <v>182.94</v>
      </c>
      <c r="ED873" s="62">
        <v>1867.630005</v>
      </c>
      <c r="FR873" s="335">
        <v>41724</v>
      </c>
      <c r="FS873" s="341">
        <v>170.05</v>
      </c>
      <c r="FT873" s="341"/>
    </row>
    <row r="874" spans="132:176" x14ac:dyDescent="0.6">
      <c r="EB874" s="335">
        <v>41708</v>
      </c>
      <c r="EC874" s="62">
        <v>185.04</v>
      </c>
      <c r="ED874" s="62">
        <v>1877.170044</v>
      </c>
      <c r="FR874" s="335">
        <v>41723</v>
      </c>
      <c r="FS874" s="341">
        <v>185.82</v>
      </c>
      <c r="FT874" s="341"/>
    </row>
    <row r="875" spans="132:176" x14ac:dyDescent="0.6">
      <c r="EB875" s="335">
        <v>41705</v>
      </c>
      <c r="EC875" s="62">
        <v>184.81</v>
      </c>
      <c r="ED875" s="62">
        <v>1878.040039</v>
      </c>
      <c r="FR875" s="335">
        <v>41722</v>
      </c>
      <c r="FS875" s="341">
        <v>186.69</v>
      </c>
      <c r="FT875" s="341"/>
    </row>
    <row r="876" spans="132:176" x14ac:dyDescent="0.6">
      <c r="EB876" s="335">
        <v>41704</v>
      </c>
      <c r="EC876" s="62">
        <v>182.63</v>
      </c>
      <c r="ED876" s="62">
        <v>1877.030029</v>
      </c>
      <c r="FR876" s="335">
        <v>41719</v>
      </c>
      <c r="FS876" s="341">
        <v>188.95</v>
      </c>
      <c r="FT876" s="341"/>
    </row>
    <row r="877" spans="132:176" x14ac:dyDescent="0.6">
      <c r="EB877" s="335">
        <v>41703</v>
      </c>
      <c r="EC877" s="62">
        <v>180.92</v>
      </c>
      <c r="ED877" s="62">
        <v>1873.8100589999999</v>
      </c>
      <c r="FR877" s="335">
        <v>41718</v>
      </c>
      <c r="FS877" s="341">
        <v>190.38</v>
      </c>
      <c r="FT877" s="341"/>
    </row>
    <row r="878" spans="132:176" x14ac:dyDescent="0.6">
      <c r="EB878" s="335">
        <v>41702</v>
      </c>
      <c r="EC878" s="62">
        <v>182.63</v>
      </c>
      <c r="ED878" s="62">
        <v>1873.910034</v>
      </c>
      <c r="FR878" s="335">
        <v>41717</v>
      </c>
      <c r="FS878" s="341">
        <v>186.68</v>
      </c>
      <c r="FT878" s="341"/>
    </row>
    <row r="879" spans="132:176" x14ac:dyDescent="0.6">
      <c r="EB879" s="335">
        <v>41701</v>
      </c>
      <c r="EC879" s="62">
        <v>181.35</v>
      </c>
      <c r="ED879" s="62">
        <v>1845.7299800000001</v>
      </c>
      <c r="FR879" s="335">
        <v>41716</v>
      </c>
      <c r="FS879" s="341">
        <v>186.16</v>
      </c>
      <c r="FT879" s="341"/>
    </row>
    <row r="880" spans="132:176" x14ac:dyDescent="0.6">
      <c r="EB880" s="335">
        <v>41698</v>
      </c>
      <c r="EC880" s="62">
        <v>181.32</v>
      </c>
      <c r="ED880" s="62">
        <v>1859.4499510000001</v>
      </c>
      <c r="FR880" s="335">
        <v>41715</v>
      </c>
      <c r="FS880" s="341">
        <v>184.85</v>
      </c>
      <c r="FT880" s="341"/>
    </row>
    <row r="881" spans="132:176" x14ac:dyDescent="0.6">
      <c r="EB881" s="335">
        <v>41697</v>
      </c>
      <c r="EC881" s="62">
        <v>183.15</v>
      </c>
      <c r="ED881" s="62">
        <v>1854.290039</v>
      </c>
      <c r="FR881" s="335">
        <v>41712</v>
      </c>
      <c r="FS881" s="341">
        <v>182.2</v>
      </c>
      <c r="FT881" s="341"/>
    </row>
    <row r="882" spans="132:176" x14ac:dyDescent="0.6">
      <c r="EB882" s="335">
        <v>41696</v>
      </c>
      <c r="EC882" s="62">
        <v>183.43</v>
      </c>
      <c r="ED882" s="62">
        <v>1845.160034</v>
      </c>
      <c r="FR882" s="335">
        <v>41711</v>
      </c>
      <c r="FS882" s="341">
        <v>181.26</v>
      </c>
      <c r="FT882" s="341"/>
    </row>
    <row r="883" spans="132:176" x14ac:dyDescent="0.6">
      <c r="EB883" s="335">
        <v>41695</v>
      </c>
      <c r="EC883" s="62">
        <v>185.92</v>
      </c>
      <c r="ED883" s="62">
        <v>1845.119995</v>
      </c>
      <c r="FR883" s="335">
        <v>41710</v>
      </c>
      <c r="FS883" s="341">
        <v>183.78</v>
      </c>
      <c r="FT883" s="341"/>
    </row>
    <row r="884" spans="132:176" x14ac:dyDescent="0.6">
      <c r="EB884" s="335">
        <v>41694</v>
      </c>
      <c r="EC884" s="62">
        <v>184.41</v>
      </c>
      <c r="ED884" s="62">
        <v>1847.6099850000001</v>
      </c>
      <c r="FR884" s="335">
        <v>41709</v>
      </c>
      <c r="FS884" s="341">
        <v>182.94</v>
      </c>
      <c r="FT884" s="341"/>
    </row>
    <row r="885" spans="132:176" x14ac:dyDescent="0.6">
      <c r="EB885" s="335">
        <v>41691</v>
      </c>
      <c r="EC885" s="62">
        <v>183.4</v>
      </c>
      <c r="ED885" s="62">
        <v>1836.25</v>
      </c>
      <c r="FR885" s="335">
        <v>41708</v>
      </c>
      <c r="FS885" s="341">
        <v>185.04</v>
      </c>
      <c r="FT885" s="341"/>
    </row>
    <row r="886" spans="132:176" x14ac:dyDescent="0.6">
      <c r="EB886" s="335">
        <v>41690</v>
      </c>
      <c r="EC886" s="62">
        <v>180.48</v>
      </c>
      <c r="ED886" s="62">
        <v>1839.780029</v>
      </c>
      <c r="FR886" s="335">
        <v>41705</v>
      </c>
      <c r="FS886" s="341">
        <v>184.81</v>
      </c>
      <c r="FT886" s="341"/>
    </row>
    <row r="887" spans="132:176" x14ac:dyDescent="0.6">
      <c r="EB887" s="335">
        <v>41689</v>
      </c>
      <c r="EC887" s="62">
        <v>179.56</v>
      </c>
      <c r="ED887" s="62">
        <v>1828.75</v>
      </c>
      <c r="FR887" s="335">
        <v>41704</v>
      </c>
      <c r="FS887" s="341">
        <v>182.63</v>
      </c>
      <c r="FT887" s="341"/>
    </row>
    <row r="888" spans="132:176" x14ac:dyDescent="0.6">
      <c r="EB888" s="335">
        <v>41688</v>
      </c>
      <c r="EC888" s="62">
        <v>173.18</v>
      </c>
      <c r="ED888" s="62">
        <v>1840.76001</v>
      </c>
      <c r="FR888" s="335">
        <v>41703</v>
      </c>
      <c r="FS888" s="341">
        <v>180.92</v>
      </c>
      <c r="FT888" s="341"/>
    </row>
    <row r="889" spans="132:176" x14ac:dyDescent="0.6">
      <c r="EB889" s="335">
        <v>41684</v>
      </c>
      <c r="EC889" s="62">
        <v>178.22</v>
      </c>
      <c r="ED889" s="62">
        <v>1838.630005</v>
      </c>
      <c r="FR889" s="335">
        <v>41702</v>
      </c>
      <c r="FS889" s="341">
        <v>182.63</v>
      </c>
      <c r="FT889" s="341"/>
    </row>
    <row r="890" spans="132:176" x14ac:dyDescent="0.6">
      <c r="EB890" s="335">
        <v>41683</v>
      </c>
      <c r="EC890" s="62">
        <v>177.88</v>
      </c>
      <c r="ED890" s="62">
        <v>1829.829956</v>
      </c>
      <c r="FR890" s="335">
        <v>41701</v>
      </c>
      <c r="FS890" s="341">
        <v>181.35</v>
      </c>
      <c r="FT890" s="341"/>
    </row>
    <row r="891" spans="132:176" x14ac:dyDescent="0.6">
      <c r="EB891" s="335">
        <v>41682</v>
      </c>
      <c r="EC891" s="62">
        <v>176.67</v>
      </c>
      <c r="ED891" s="62">
        <v>1819.26001</v>
      </c>
      <c r="FR891" s="335">
        <v>41698</v>
      </c>
      <c r="FS891" s="341">
        <v>181.32</v>
      </c>
      <c r="FT891" s="341"/>
    </row>
    <row r="892" spans="132:176" x14ac:dyDescent="0.6">
      <c r="EB892" s="335">
        <v>41681</v>
      </c>
      <c r="EC892" s="62">
        <v>173.89</v>
      </c>
      <c r="ED892" s="62">
        <v>1819.75</v>
      </c>
      <c r="FR892" s="335">
        <v>41697</v>
      </c>
      <c r="FS892" s="341">
        <v>183.15</v>
      </c>
      <c r="FT892" s="341"/>
    </row>
    <row r="893" spans="132:176" x14ac:dyDescent="0.6">
      <c r="EB893" s="335">
        <v>41680</v>
      </c>
      <c r="EC893" s="62">
        <v>174.58</v>
      </c>
      <c r="ED893" s="62">
        <v>1799.839966</v>
      </c>
      <c r="FR893" s="335">
        <v>41696</v>
      </c>
      <c r="FS893" s="341">
        <v>183.43</v>
      </c>
      <c r="FT893" s="341"/>
    </row>
    <row r="894" spans="132:176" x14ac:dyDescent="0.6">
      <c r="EB894" s="335">
        <v>41677</v>
      </c>
      <c r="EC894" s="62">
        <v>172.19</v>
      </c>
      <c r="ED894" s="62">
        <v>1797.0200199999999</v>
      </c>
      <c r="FR894" s="335">
        <v>41695</v>
      </c>
      <c r="FS894" s="341">
        <v>185.92</v>
      </c>
      <c r="FT894" s="341"/>
    </row>
    <row r="895" spans="132:176" x14ac:dyDescent="0.6">
      <c r="EB895" s="335">
        <v>41676</v>
      </c>
      <c r="EC895" s="62">
        <v>169.61</v>
      </c>
      <c r="ED895" s="62">
        <v>1773.4300539999999</v>
      </c>
      <c r="FR895" s="335">
        <v>41694</v>
      </c>
      <c r="FS895" s="341">
        <v>184.41</v>
      </c>
      <c r="FT895" s="341"/>
    </row>
    <row r="896" spans="132:176" x14ac:dyDescent="0.6">
      <c r="EB896" s="335">
        <v>41675</v>
      </c>
      <c r="EC896" s="62">
        <v>167.4</v>
      </c>
      <c r="ED896" s="62">
        <v>1751.6400149999999</v>
      </c>
      <c r="FR896" s="335">
        <v>41691</v>
      </c>
      <c r="FS896" s="341">
        <v>183.4</v>
      </c>
      <c r="FT896" s="341"/>
    </row>
    <row r="897" spans="132:176" x14ac:dyDescent="0.6">
      <c r="EB897" s="335">
        <v>41674</v>
      </c>
      <c r="EC897" s="62">
        <v>167.84</v>
      </c>
      <c r="ED897" s="62">
        <v>1755.1999510000001</v>
      </c>
      <c r="FR897" s="335">
        <v>41690</v>
      </c>
      <c r="FS897" s="341">
        <v>180.48</v>
      </c>
      <c r="FT897" s="341"/>
    </row>
    <row r="898" spans="132:176" x14ac:dyDescent="0.6">
      <c r="EB898" s="335">
        <v>41673</v>
      </c>
      <c r="EC898" s="62">
        <v>166.98</v>
      </c>
      <c r="ED898" s="62">
        <v>1741.8900149999999</v>
      </c>
      <c r="FR898" s="335">
        <v>41689</v>
      </c>
      <c r="FS898" s="341">
        <v>179.56</v>
      </c>
      <c r="FT898" s="341"/>
    </row>
    <row r="899" spans="132:176" x14ac:dyDescent="0.6">
      <c r="EB899" s="335">
        <v>41670</v>
      </c>
      <c r="EC899" s="62">
        <v>169.07</v>
      </c>
      <c r="ED899" s="62">
        <v>1782.589966</v>
      </c>
      <c r="FR899" s="335">
        <v>41688</v>
      </c>
      <c r="FS899" s="341">
        <v>173.18</v>
      </c>
      <c r="FT899" s="341"/>
    </row>
    <row r="900" spans="132:176" x14ac:dyDescent="0.6">
      <c r="EB900" s="335">
        <v>41669</v>
      </c>
      <c r="EC900" s="62">
        <v>167.8</v>
      </c>
      <c r="ED900" s="62">
        <v>1794.1899410000001</v>
      </c>
      <c r="FR900" s="335">
        <v>41684</v>
      </c>
      <c r="FS900" s="341">
        <v>178.22</v>
      </c>
      <c r="FT900" s="341"/>
    </row>
    <row r="901" spans="132:176" x14ac:dyDescent="0.6">
      <c r="EB901" s="335">
        <v>41668</v>
      </c>
      <c r="EC901" s="62">
        <v>164.46</v>
      </c>
      <c r="ED901" s="62">
        <v>1774.1999510000001</v>
      </c>
      <c r="FR901" s="335">
        <v>41683</v>
      </c>
      <c r="FS901" s="341">
        <v>177.88</v>
      </c>
      <c r="FT901" s="341"/>
    </row>
    <row r="902" spans="132:176" x14ac:dyDescent="0.6">
      <c r="EB902" s="335">
        <v>41667</v>
      </c>
      <c r="EC902" s="62">
        <v>167.04</v>
      </c>
      <c r="ED902" s="62">
        <v>1792.5</v>
      </c>
      <c r="FR902" s="335">
        <v>41682</v>
      </c>
      <c r="FS902" s="341">
        <v>176.67</v>
      </c>
      <c r="FT902" s="341"/>
    </row>
    <row r="903" spans="132:176" x14ac:dyDescent="0.6">
      <c r="EB903" s="335">
        <v>41666</v>
      </c>
      <c r="EC903" s="62">
        <v>168.57</v>
      </c>
      <c r="ED903" s="62">
        <v>1781.5600589999999</v>
      </c>
      <c r="FR903" s="335">
        <v>41681</v>
      </c>
      <c r="FS903" s="341">
        <v>173.89</v>
      </c>
      <c r="FT903" s="341"/>
    </row>
    <row r="904" spans="132:176" x14ac:dyDescent="0.6">
      <c r="EB904" s="335">
        <v>41663</v>
      </c>
      <c r="EC904" s="62">
        <v>166.82</v>
      </c>
      <c r="ED904" s="62">
        <v>1790.290039</v>
      </c>
      <c r="FR904" s="335">
        <v>41680</v>
      </c>
      <c r="FS904" s="341">
        <v>174.58</v>
      </c>
      <c r="FT904" s="341"/>
    </row>
    <row r="905" spans="132:176" x14ac:dyDescent="0.6">
      <c r="EB905" s="335">
        <v>41662</v>
      </c>
      <c r="EC905" s="62">
        <v>168.94</v>
      </c>
      <c r="ED905" s="62">
        <v>1828.459961</v>
      </c>
      <c r="FR905" s="335">
        <v>41677</v>
      </c>
      <c r="FS905" s="341">
        <v>172.19</v>
      </c>
      <c r="FT905" s="341"/>
    </row>
    <row r="906" spans="132:176" x14ac:dyDescent="0.6">
      <c r="EB906" s="335">
        <v>41661</v>
      </c>
      <c r="EC906" s="62">
        <v>171.78</v>
      </c>
      <c r="ED906" s="62">
        <v>1844.8599850000001</v>
      </c>
      <c r="FR906" s="335">
        <v>41676</v>
      </c>
      <c r="FS906" s="341">
        <v>169.61</v>
      </c>
      <c r="FT906" s="341"/>
    </row>
    <row r="907" spans="132:176" x14ac:dyDescent="0.6">
      <c r="EB907" s="335">
        <v>41660</v>
      </c>
      <c r="EC907" s="62">
        <v>171.6</v>
      </c>
      <c r="ED907" s="62">
        <v>1843.8000489999999</v>
      </c>
      <c r="FR907" s="335">
        <v>41675</v>
      </c>
      <c r="FS907" s="341">
        <v>167.4</v>
      </c>
      <c r="FT907" s="341"/>
    </row>
    <row r="908" spans="132:176" x14ac:dyDescent="0.6">
      <c r="EB908" s="335">
        <v>41656</v>
      </c>
      <c r="EC908" s="62">
        <v>172.19</v>
      </c>
      <c r="ED908" s="62">
        <v>1838.6999510000001</v>
      </c>
      <c r="FR908" s="335">
        <v>41674</v>
      </c>
      <c r="FS908" s="341">
        <v>167.84</v>
      </c>
      <c r="FT908" s="341"/>
    </row>
    <row r="909" spans="132:176" x14ac:dyDescent="0.6">
      <c r="EB909" s="335">
        <v>41655</v>
      </c>
      <c r="EC909" s="62">
        <v>174.06</v>
      </c>
      <c r="ED909" s="62">
        <v>1845.8900149999999</v>
      </c>
      <c r="FR909" s="335">
        <v>41673</v>
      </c>
      <c r="FS909" s="341">
        <v>166.98</v>
      </c>
      <c r="FT909" s="341"/>
    </row>
    <row r="910" spans="132:176" x14ac:dyDescent="0.6">
      <c r="EB910" s="335">
        <v>41654</v>
      </c>
      <c r="EC910" s="62">
        <v>173.81</v>
      </c>
      <c r="ED910" s="62">
        <v>1848.380005</v>
      </c>
      <c r="FR910" s="335">
        <v>41670</v>
      </c>
      <c r="FS910" s="341">
        <v>169.07</v>
      </c>
      <c r="FT910" s="341"/>
    </row>
    <row r="911" spans="132:176" x14ac:dyDescent="0.6">
      <c r="EB911" s="335">
        <v>41653</v>
      </c>
      <c r="EC911" s="62">
        <v>174.17</v>
      </c>
      <c r="ED911" s="62">
        <v>1838.880005</v>
      </c>
      <c r="FR911" s="335">
        <v>41669</v>
      </c>
      <c r="FS911" s="341">
        <v>167.8</v>
      </c>
      <c r="FT911" s="341"/>
    </row>
    <row r="912" spans="132:176" x14ac:dyDescent="0.6">
      <c r="EB912" s="335">
        <v>41652</v>
      </c>
      <c r="EC912" s="62">
        <v>172.24</v>
      </c>
      <c r="ED912" s="62">
        <v>1819.1999510000001</v>
      </c>
      <c r="FR912" s="335">
        <v>41668</v>
      </c>
      <c r="FS912" s="341">
        <v>164.46</v>
      </c>
      <c r="FT912" s="341"/>
    </row>
    <row r="913" spans="132:176" x14ac:dyDescent="0.6">
      <c r="EB913" s="335">
        <v>41649</v>
      </c>
      <c r="EC913" s="62">
        <v>177.19</v>
      </c>
      <c r="ED913" s="62">
        <v>1842.369995</v>
      </c>
      <c r="FR913" s="335">
        <v>41667</v>
      </c>
      <c r="FS913" s="341">
        <v>167.04</v>
      </c>
      <c r="FT913" s="341"/>
    </row>
    <row r="914" spans="132:176" x14ac:dyDescent="0.6">
      <c r="EB914" s="335">
        <v>41648</v>
      </c>
      <c r="EC914" s="62">
        <v>177.33</v>
      </c>
      <c r="ED914" s="62">
        <v>1838.130005</v>
      </c>
      <c r="FR914" s="335">
        <v>41666</v>
      </c>
      <c r="FS914" s="341">
        <v>168.57</v>
      </c>
      <c r="FT914" s="341"/>
    </row>
    <row r="915" spans="132:176" x14ac:dyDescent="0.6">
      <c r="EB915" s="335">
        <v>41647</v>
      </c>
      <c r="EC915" s="62">
        <v>181.73500000000001</v>
      </c>
      <c r="ED915" s="62">
        <v>1837.48999</v>
      </c>
      <c r="FR915" s="335">
        <v>41663</v>
      </c>
      <c r="FS915" s="341">
        <v>166.82</v>
      </c>
      <c r="FT915" s="341"/>
    </row>
    <row r="916" spans="132:176" x14ac:dyDescent="0.6">
      <c r="EB916" s="335">
        <v>41646</v>
      </c>
      <c r="EC916" s="62">
        <v>174.13</v>
      </c>
      <c r="ED916" s="62">
        <v>1837.880005</v>
      </c>
      <c r="FR916" s="335">
        <v>41662</v>
      </c>
      <c r="FS916" s="341">
        <v>168.94</v>
      </c>
      <c r="FT916" s="341"/>
    </row>
    <row r="917" spans="132:176" x14ac:dyDescent="0.6">
      <c r="EB917" s="335">
        <v>41645</v>
      </c>
      <c r="EC917" s="62">
        <v>173.6</v>
      </c>
      <c r="ED917" s="62">
        <v>1826.7700199999999</v>
      </c>
      <c r="FR917" s="335">
        <v>41661</v>
      </c>
      <c r="FS917" s="341">
        <v>171.78</v>
      </c>
      <c r="FT917" s="341"/>
    </row>
    <row r="918" spans="132:176" x14ac:dyDescent="0.6">
      <c r="EB918" s="335">
        <v>41642</v>
      </c>
      <c r="EC918" s="62">
        <v>176.07</v>
      </c>
      <c r="ED918" s="62">
        <v>1831.369995</v>
      </c>
      <c r="FR918" s="335">
        <v>41660</v>
      </c>
      <c r="FS918" s="341">
        <v>171.6</v>
      </c>
      <c r="FT918" s="341"/>
    </row>
    <row r="919" spans="132:176" x14ac:dyDescent="0.6">
      <c r="EB919" s="335">
        <v>41641</v>
      </c>
      <c r="EC919" s="62">
        <v>176.07</v>
      </c>
      <c r="ED919" s="62">
        <v>1831.9799800000001</v>
      </c>
      <c r="FR919" s="335">
        <v>41656</v>
      </c>
      <c r="FS919" s="341">
        <v>172.19</v>
      </c>
      <c r="FT919" s="341"/>
    </row>
    <row r="920" spans="132:176" x14ac:dyDescent="0.6">
      <c r="EB920" s="335">
        <v>41639</v>
      </c>
      <c r="EC920" s="62">
        <v>176.69</v>
      </c>
      <c r="ED920" s="62">
        <v>1848.3599850000001</v>
      </c>
      <c r="FR920" s="335">
        <v>41655</v>
      </c>
      <c r="FS920" s="341">
        <v>174.06</v>
      </c>
      <c r="FT920" s="341"/>
    </row>
    <row r="921" spans="132:176" x14ac:dyDescent="0.6">
      <c r="EB921" s="335">
        <v>41638</v>
      </c>
      <c r="EC921" s="62">
        <v>177.37</v>
      </c>
      <c r="ED921" s="62">
        <v>1841.0699460000001</v>
      </c>
      <c r="FR921" s="335">
        <v>41654</v>
      </c>
      <c r="FS921" s="341">
        <v>173.81</v>
      </c>
      <c r="FT921" s="341"/>
    </row>
    <row r="922" spans="132:176" x14ac:dyDescent="0.6">
      <c r="EB922" s="335">
        <v>41635</v>
      </c>
      <c r="EC922" s="62">
        <v>176.06</v>
      </c>
      <c r="ED922" s="62">
        <v>1841.400024</v>
      </c>
      <c r="FR922" s="335">
        <v>41653</v>
      </c>
      <c r="FS922" s="341">
        <v>174.17</v>
      </c>
      <c r="FT922" s="341"/>
    </row>
    <row r="923" spans="132:176" x14ac:dyDescent="0.6">
      <c r="EB923" s="335">
        <v>41634</v>
      </c>
      <c r="EC923" s="62">
        <v>176.17</v>
      </c>
      <c r="ED923" s="62">
        <v>1842.0200199999999</v>
      </c>
      <c r="FR923" s="335">
        <v>41652</v>
      </c>
      <c r="FS923" s="341">
        <v>172.24</v>
      </c>
      <c r="FT923" s="341"/>
    </row>
    <row r="924" spans="132:176" x14ac:dyDescent="0.6">
      <c r="EB924" s="335">
        <v>41632</v>
      </c>
      <c r="EC924" s="62">
        <v>176.09</v>
      </c>
      <c r="ED924" s="62">
        <v>1833.3199460000001</v>
      </c>
      <c r="FR924" s="335">
        <v>41649</v>
      </c>
      <c r="FS924" s="341">
        <v>177.19</v>
      </c>
      <c r="FT924" s="341"/>
    </row>
    <row r="925" spans="132:176" x14ac:dyDescent="0.6">
      <c r="EB925" s="335">
        <v>41631</v>
      </c>
      <c r="EC925" s="62">
        <v>176.45</v>
      </c>
      <c r="ED925" s="62">
        <v>1827.98999</v>
      </c>
      <c r="FR925" s="335">
        <v>41648</v>
      </c>
      <c r="FS925" s="341">
        <v>177.33</v>
      </c>
      <c r="FT925" s="341"/>
    </row>
    <row r="926" spans="132:176" x14ac:dyDescent="0.6">
      <c r="EB926" s="335">
        <v>41628</v>
      </c>
      <c r="EC926" s="62">
        <v>175.13</v>
      </c>
      <c r="ED926" s="62">
        <v>1818.3199460000001</v>
      </c>
      <c r="FR926" s="335">
        <v>41647</v>
      </c>
      <c r="FS926" s="341">
        <v>181.73500000000001</v>
      </c>
      <c r="FT926" s="341"/>
    </row>
    <row r="927" spans="132:176" x14ac:dyDescent="0.6">
      <c r="EB927" s="335">
        <v>41627</v>
      </c>
      <c r="EC927" s="62">
        <v>168.42</v>
      </c>
      <c r="ED927" s="62">
        <v>1809.599976</v>
      </c>
      <c r="FR927" s="335">
        <v>41646</v>
      </c>
      <c r="FS927" s="341">
        <v>174.13</v>
      </c>
      <c r="FT927" s="341"/>
    </row>
    <row r="928" spans="132:176" x14ac:dyDescent="0.6">
      <c r="EB928" s="335">
        <v>41626</v>
      </c>
      <c r="EC928" s="62">
        <v>169.53</v>
      </c>
      <c r="ED928" s="62">
        <v>1810.650024</v>
      </c>
      <c r="FR928" s="335">
        <v>41645</v>
      </c>
      <c r="FS928" s="341">
        <v>173.6</v>
      </c>
      <c r="FT928" s="341"/>
    </row>
    <row r="929" spans="132:176" x14ac:dyDescent="0.6">
      <c r="EB929" s="335">
        <v>41625</v>
      </c>
      <c r="EC929" s="62">
        <v>168.95</v>
      </c>
      <c r="ED929" s="62">
        <v>1781</v>
      </c>
      <c r="FR929" s="335">
        <v>41642</v>
      </c>
      <c r="FS929" s="341">
        <v>176.07</v>
      </c>
      <c r="FT929" s="341"/>
    </row>
    <row r="930" spans="132:176" x14ac:dyDescent="0.6">
      <c r="EB930" s="335">
        <v>41624</v>
      </c>
      <c r="EC930" s="62">
        <v>171.67</v>
      </c>
      <c r="ED930" s="62">
        <v>1786.540039</v>
      </c>
      <c r="FR930" s="335">
        <v>41641</v>
      </c>
      <c r="FS930" s="341">
        <v>176.07</v>
      </c>
      <c r="FT930" s="341">
        <f>FU8</f>
        <v>178.33333333333334</v>
      </c>
    </row>
    <row r="931" spans="132:176" x14ac:dyDescent="0.6">
      <c r="EB931" s="335">
        <v>41621</v>
      </c>
      <c r="EC931" s="62">
        <v>169.52</v>
      </c>
      <c r="ED931" s="62">
        <v>1775.3199460000001</v>
      </c>
      <c r="FR931" s="335"/>
    </row>
    <row r="932" spans="132:176" x14ac:dyDescent="0.6">
      <c r="EB932" s="335">
        <v>41620</v>
      </c>
      <c r="EC932" s="62">
        <v>172.34</v>
      </c>
      <c r="ED932" s="62">
        <v>1775.5</v>
      </c>
      <c r="FR932" s="335"/>
    </row>
    <row r="933" spans="132:176" x14ac:dyDescent="0.6">
      <c r="EB933" s="335">
        <v>41619</v>
      </c>
      <c r="EC933" s="62">
        <v>174.25</v>
      </c>
      <c r="ED933" s="62">
        <v>1782.219971</v>
      </c>
      <c r="FR933" s="335"/>
    </row>
    <row r="934" spans="132:176" x14ac:dyDescent="0.6">
      <c r="EB934" s="335">
        <v>41618</v>
      </c>
      <c r="EC934" s="62">
        <v>176.96</v>
      </c>
      <c r="ED934" s="62">
        <v>1802.619995</v>
      </c>
      <c r="FR934" s="335"/>
    </row>
    <row r="935" spans="132:176" x14ac:dyDescent="0.6">
      <c r="EB935" s="335">
        <v>41617</v>
      </c>
      <c r="EC935" s="62">
        <v>176.9</v>
      </c>
      <c r="ED935" s="62">
        <v>1808.369995</v>
      </c>
      <c r="FR935" s="335"/>
    </row>
    <row r="936" spans="132:176" x14ac:dyDescent="0.6">
      <c r="EB936" s="335">
        <v>41614</v>
      </c>
      <c r="EC936" s="62">
        <v>177.4</v>
      </c>
      <c r="ED936" s="62">
        <v>1805.089966</v>
      </c>
      <c r="FR936" s="335"/>
    </row>
    <row r="937" spans="132:176" x14ac:dyDescent="0.6">
      <c r="EB937" s="335">
        <v>41613</v>
      </c>
      <c r="EC937" s="62">
        <v>176.52</v>
      </c>
      <c r="ED937" s="62">
        <v>1785.030029</v>
      </c>
      <c r="FR937" s="335"/>
    </row>
    <row r="938" spans="132:176" x14ac:dyDescent="0.6">
      <c r="EB938" s="335">
        <v>41612</v>
      </c>
      <c r="EC938" s="62">
        <v>176.3</v>
      </c>
      <c r="ED938" s="62">
        <v>1792.8100589999999</v>
      </c>
      <c r="FR938" s="335"/>
    </row>
    <row r="939" spans="132:176" x14ac:dyDescent="0.6">
      <c r="EB939" s="335">
        <v>41611</v>
      </c>
      <c r="EC939" s="62">
        <v>176.15</v>
      </c>
      <c r="ED939" s="62">
        <v>1795.150024</v>
      </c>
      <c r="FR939" s="335"/>
    </row>
    <row r="940" spans="132:176" x14ac:dyDescent="0.6">
      <c r="EB940" s="335">
        <v>41610</v>
      </c>
      <c r="EC940" s="62">
        <v>177.9</v>
      </c>
      <c r="ED940" s="62">
        <v>1800.900024</v>
      </c>
      <c r="FR940" s="335"/>
    </row>
    <row r="941" spans="132:176" x14ac:dyDescent="0.6">
      <c r="EB941" s="335">
        <v>41607</v>
      </c>
      <c r="EC941" s="62">
        <v>176.89</v>
      </c>
      <c r="ED941" s="62">
        <v>1805.8100589999999</v>
      </c>
      <c r="FR941" s="335"/>
    </row>
    <row r="942" spans="132:176" x14ac:dyDescent="0.6">
      <c r="EB942" s="335">
        <v>41605</v>
      </c>
      <c r="EC942" s="62">
        <v>177.35</v>
      </c>
      <c r="ED942" s="62">
        <v>1807.2299800000001</v>
      </c>
      <c r="FR942" s="335"/>
    </row>
    <row r="943" spans="132:176" x14ac:dyDescent="0.6">
      <c r="EB943" s="335">
        <v>41604</v>
      </c>
      <c r="EC943" s="62">
        <v>178</v>
      </c>
      <c r="ED943" s="62">
        <v>1802.75</v>
      </c>
      <c r="FR943" s="335"/>
    </row>
    <row r="944" spans="132:176" x14ac:dyDescent="0.6">
      <c r="EB944" s="335">
        <v>41603</v>
      </c>
      <c r="EC944" s="62">
        <v>178.86</v>
      </c>
      <c r="ED944" s="62">
        <v>1802.4799800000001</v>
      </c>
      <c r="FR944" s="335"/>
    </row>
    <row r="945" spans="132:174" x14ac:dyDescent="0.6">
      <c r="EB945" s="335">
        <v>41600</v>
      </c>
      <c r="EC945" s="62">
        <v>178.92</v>
      </c>
      <c r="ED945" s="62">
        <v>1804.76001</v>
      </c>
      <c r="FR945" s="335"/>
    </row>
    <row r="946" spans="132:174" x14ac:dyDescent="0.6">
      <c r="EB946" s="335">
        <v>41599</v>
      </c>
      <c r="EC946" s="62">
        <v>176.11</v>
      </c>
      <c r="ED946" s="62">
        <v>1795.849976</v>
      </c>
      <c r="FR946" s="335"/>
    </row>
    <row r="947" spans="132:174" x14ac:dyDescent="0.6">
      <c r="EB947" s="335">
        <v>41598</v>
      </c>
      <c r="EC947" s="62">
        <v>172.48</v>
      </c>
      <c r="ED947" s="62">
        <v>1781.369995</v>
      </c>
      <c r="FR947" s="335"/>
    </row>
    <row r="948" spans="132:174" x14ac:dyDescent="0.6">
      <c r="EB948" s="335">
        <v>41597</v>
      </c>
      <c r="EC948" s="62">
        <v>172.45</v>
      </c>
      <c r="ED948" s="62">
        <v>1787.869995</v>
      </c>
      <c r="FR948" s="335"/>
    </row>
    <row r="949" spans="132:174" x14ac:dyDescent="0.6">
      <c r="EB949" s="335">
        <v>41596</v>
      </c>
      <c r="EC949" s="62">
        <v>170.26</v>
      </c>
      <c r="ED949" s="62">
        <v>1791.530029</v>
      </c>
      <c r="FR949" s="335"/>
    </row>
    <row r="950" spans="132:174" x14ac:dyDescent="0.6">
      <c r="EB950" s="335">
        <v>41593</v>
      </c>
      <c r="EC950" s="62">
        <v>170.2</v>
      </c>
      <c r="ED950" s="62">
        <v>1798.1800539999999</v>
      </c>
      <c r="FR950" s="335"/>
    </row>
    <row r="951" spans="132:174" x14ac:dyDescent="0.6">
      <c r="EB951" s="335">
        <v>41592</v>
      </c>
      <c r="EC951" s="62">
        <v>170.12</v>
      </c>
      <c r="ED951" s="62">
        <v>1790.619995</v>
      </c>
      <c r="FR951" s="335"/>
    </row>
    <row r="952" spans="132:174" x14ac:dyDescent="0.6">
      <c r="EB952" s="335">
        <v>41591</v>
      </c>
      <c r="EC952" s="62">
        <v>168.53</v>
      </c>
      <c r="ED952" s="62">
        <v>1782</v>
      </c>
      <c r="FR952" s="335"/>
    </row>
    <row r="953" spans="132:174" x14ac:dyDescent="0.6">
      <c r="EB953" s="335">
        <v>41590</v>
      </c>
      <c r="EC953" s="62">
        <v>167.08</v>
      </c>
      <c r="ED953" s="62">
        <v>1767.6899410000001</v>
      </c>
      <c r="FR953" s="335"/>
    </row>
    <row r="954" spans="132:174" x14ac:dyDescent="0.6">
      <c r="EB954" s="335">
        <v>41589</v>
      </c>
      <c r="EC954" s="62">
        <v>166.87</v>
      </c>
      <c r="ED954" s="62">
        <v>1771.8900149999999</v>
      </c>
      <c r="FR954" s="335"/>
    </row>
    <row r="955" spans="132:174" x14ac:dyDescent="0.6">
      <c r="EB955" s="335">
        <v>41586</v>
      </c>
      <c r="EC955" s="62">
        <v>166.92</v>
      </c>
      <c r="ED955" s="62">
        <v>1770.6099850000001</v>
      </c>
      <c r="FR955" s="335"/>
    </row>
    <row r="956" spans="132:174" x14ac:dyDescent="0.6">
      <c r="EB956" s="335">
        <v>41585</v>
      </c>
      <c r="EC956" s="62">
        <v>167</v>
      </c>
      <c r="ED956" s="62">
        <v>1747.150024</v>
      </c>
      <c r="FR956" s="335"/>
    </row>
    <row r="957" spans="132:174" x14ac:dyDescent="0.6">
      <c r="EB957" s="335">
        <v>41584</v>
      </c>
      <c r="EC957" s="62">
        <v>167.34</v>
      </c>
      <c r="ED957" s="62">
        <v>1770.48999</v>
      </c>
      <c r="FR957" s="335"/>
    </row>
    <row r="958" spans="132:174" x14ac:dyDescent="0.6">
      <c r="EB958" s="335">
        <v>41583</v>
      </c>
      <c r="EC958" s="62">
        <v>167.01</v>
      </c>
      <c r="ED958" s="62">
        <v>1762.969971</v>
      </c>
      <c r="FR958" s="335"/>
    </row>
    <row r="959" spans="132:174" x14ac:dyDescent="0.6">
      <c r="EB959" s="335">
        <v>41582</v>
      </c>
      <c r="EC959" s="62">
        <v>164.18</v>
      </c>
      <c r="ED959" s="62">
        <v>1767.9300539999999</v>
      </c>
      <c r="FR959" s="335"/>
    </row>
    <row r="960" spans="132:174" x14ac:dyDescent="0.6">
      <c r="EB960" s="335">
        <v>41579</v>
      </c>
      <c r="EC960" s="62">
        <v>163.86</v>
      </c>
      <c r="ED960" s="62">
        <v>1761.6400149999999</v>
      </c>
      <c r="FR960" s="335"/>
    </row>
    <row r="961" spans="132:174" x14ac:dyDescent="0.6">
      <c r="EB961" s="335">
        <v>41578</v>
      </c>
      <c r="EC961" s="62">
        <v>157.91999999999999</v>
      </c>
      <c r="ED961" s="62">
        <v>1756.540039</v>
      </c>
      <c r="FR961" s="335"/>
    </row>
    <row r="962" spans="132:174" x14ac:dyDescent="0.6">
      <c r="EB962" s="335">
        <v>41577</v>
      </c>
      <c r="EC962" s="62">
        <v>156.65</v>
      </c>
      <c r="ED962" s="62">
        <v>1763.3100589999999</v>
      </c>
      <c r="FR962" s="335"/>
    </row>
    <row r="963" spans="132:174" x14ac:dyDescent="0.6">
      <c r="EB963" s="335">
        <v>41576</v>
      </c>
      <c r="EC963" s="62">
        <v>158.62</v>
      </c>
      <c r="ED963" s="62">
        <v>1771.9499510000001</v>
      </c>
      <c r="FR963" s="335"/>
    </row>
    <row r="964" spans="132:174" x14ac:dyDescent="0.6">
      <c r="EB964" s="335">
        <v>41575</v>
      </c>
      <c r="EC964" s="62">
        <v>159.18799999999999</v>
      </c>
      <c r="ED964" s="62">
        <v>1762.1099850000001</v>
      </c>
      <c r="FR964" s="335"/>
    </row>
    <row r="965" spans="132:174" x14ac:dyDescent="0.6">
      <c r="EB965" s="335">
        <v>41572</v>
      </c>
      <c r="EC965" s="62">
        <v>153.69999999999999</v>
      </c>
      <c r="ED965" s="62">
        <v>1759.7700199999999</v>
      </c>
      <c r="FR965" s="335"/>
    </row>
    <row r="966" spans="132:174" x14ac:dyDescent="0.6">
      <c r="EB966" s="335">
        <v>41571</v>
      </c>
      <c r="EC966" s="62">
        <v>153.94</v>
      </c>
      <c r="ED966" s="62">
        <v>1752.0699460000001</v>
      </c>
      <c r="FR966" s="335"/>
    </row>
    <row r="967" spans="132:174" x14ac:dyDescent="0.6">
      <c r="EB967" s="335">
        <v>41570</v>
      </c>
      <c r="EC967" s="62">
        <v>153.15</v>
      </c>
      <c r="ED967" s="62">
        <v>1746.380005</v>
      </c>
      <c r="FR967" s="335"/>
    </row>
    <row r="968" spans="132:174" x14ac:dyDescent="0.6">
      <c r="EB968" s="335">
        <v>41569</v>
      </c>
      <c r="EC968" s="62">
        <v>162.44</v>
      </c>
      <c r="ED968" s="62">
        <v>1754.670044</v>
      </c>
      <c r="FR968" s="335"/>
    </row>
    <row r="969" spans="132:174" x14ac:dyDescent="0.6">
      <c r="EB969" s="335">
        <v>41568</v>
      </c>
      <c r="EC969" s="62">
        <v>162.76</v>
      </c>
      <c r="ED969" s="62">
        <v>1744.660034</v>
      </c>
      <c r="FR969" s="335"/>
    </row>
    <row r="970" spans="132:174" x14ac:dyDescent="0.6">
      <c r="EB970" s="335">
        <v>41565</v>
      </c>
      <c r="EC970" s="62">
        <v>159.9</v>
      </c>
      <c r="ED970" s="62">
        <v>1744.5</v>
      </c>
      <c r="FR970" s="335"/>
    </row>
    <row r="971" spans="132:174" x14ac:dyDescent="0.6">
      <c r="EB971" s="335">
        <v>41564</v>
      </c>
      <c r="EC971" s="62">
        <v>160.548</v>
      </c>
      <c r="ED971" s="62">
        <v>1733.150024</v>
      </c>
      <c r="FR971" s="335"/>
    </row>
    <row r="972" spans="132:174" x14ac:dyDescent="0.6">
      <c r="EB972" s="335">
        <v>41563</v>
      </c>
      <c r="EC972" s="62">
        <v>161.71</v>
      </c>
      <c r="ED972" s="62">
        <v>1721.540039</v>
      </c>
      <c r="FR972" s="335"/>
    </row>
    <row r="973" spans="132:174" x14ac:dyDescent="0.6">
      <c r="EB973" s="335">
        <v>41562</v>
      </c>
      <c r="EC973" s="62">
        <v>160.55000000000001</v>
      </c>
      <c r="ED973" s="62">
        <v>1698.0600589999999</v>
      </c>
      <c r="FR973" s="335"/>
    </row>
    <row r="974" spans="132:174" x14ac:dyDescent="0.6">
      <c r="EB974" s="335">
        <v>41561</v>
      </c>
      <c r="EC974" s="62">
        <v>159.93</v>
      </c>
      <c r="ED974" s="62">
        <v>1710.1400149999999</v>
      </c>
      <c r="FR974" s="335"/>
    </row>
    <row r="975" spans="132:174" x14ac:dyDescent="0.6">
      <c r="EB975" s="335">
        <v>41558</v>
      </c>
      <c r="EC975" s="62">
        <v>159.57</v>
      </c>
      <c r="ED975" s="62">
        <v>1703.1999510000001</v>
      </c>
      <c r="FR975" s="335"/>
    </row>
    <row r="976" spans="132:174" x14ac:dyDescent="0.6">
      <c r="EB976" s="335">
        <v>41557</v>
      </c>
      <c r="EC976" s="62">
        <v>159.55000000000001</v>
      </c>
      <c r="ED976" s="62">
        <v>1692.5600589999999</v>
      </c>
      <c r="FR976" s="335"/>
    </row>
    <row r="977" spans="132:174" x14ac:dyDescent="0.6">
      <c r="EB977" s="335">
        <v>41556</v>
      </c>
      <c r="EC977" s="62">
        <v>158.83000000000001</v>
      </c>
      <c r="ED977" s="62">
        <v>1656.400024</v>
      </c>
      <c r="FR977" s="335"/>
    </row>
    <row r="978" spans="132:174" x14ac:dyDescent="0.6">
      <c r="EB978" s="335">
        <v>41555</v>
      </c>
      <c r="EC978" s="62">
        <v>156.59</v>
      </c>
      <c r="ED978" s="62">
        <v>1655.4499510000001</v>
      </c>
      <c r="FR978" s="335"/>
    </row>
    <row r="979" spans="132:174" x14ac:dyDescent="0.6">
      <c r="EB979" s="335">
        <v>41554</v>
      </c>
      <c r="EC979" s="62">
        <v>158.58000000000001</v>
      </c>
      <c r="ED979" s="62">
        <v>1676.119995</v>
      </c>
      <c r="FR979" s="335"/>
    </row>
    <row r="980" spans="132:174" x14ac:dyDescent="0.6">
      <c r="EB980" s="335">
        <v>41551</v>
      </c>
      <c r="EC980" s="62">
        <v>159.16999999999999</v>
      </c>
      <c r="ED980" s="62">
        <v>1690.5</v>
      </c>
      <c r="FR980" s="335"/>
    </row>
    <row r="981" spans="132:174" x14ac:dyDescent="0.6">
      <c r="EB981" s="335">
        <v>41550</v>
      </c>
      <c r="EC981" s="62">
        <v>156.9</v>
      </c>
      <c r="ED981" s="62">
        <v>1678.660034</v>
      </c>
      <c r="FR981" s="335"/>
    </row>
    <row r="982" spans="132:174" x14ac:dyDescent="0.6">
      <c r="EB982" s="335">
        <v>41549</v>
      </c>
      <c r="EC982" s="62">
        <v>160.75</v>
      </c>
      <c r="ED982" s="62">
        <v>1693.869995</v>
      </c>
      <c r="FR982" s="335"/>
    </row>
    <row r="983" spans="132:174" x14ac:dyDescent="0.6">
      <c r="EB983" s="335">
        <v>41548</v>
      </c>
      <c r="EC983" s="62">
        <v>161.97</v>
      </c>
      <c r="ED983" s="62">
        <v>1695</v>
      </c>
      <c r="FR983" s="335"/>
    </row>
    <row r="984" spans="132:174" x14ac:dyDescent="0.6">
      <c r="EB984" s="335">
        <v>41547</v>
      </c>
      <c r="EC984" s="62">
        <v>158.53</v>
      </c>
      <c r="ED984" s="62">
        <v>1681.5500489999999</v>
      </c>
      <c r="FR984" s="335"/>
    </row>
    <row r="985" spans="132:174" x14ac:dyDescent="0.6">
      <c r="EB985" s="335">
        <v>41544</v>
      </c>
      <c r="EC985" s="62">
        <v>164.03</v>
      </c>
      <c r="ED985" s="62">
        <v>1691.75</v>
      </c>
      <c r="FR985" s="335"/>
    </row>
    <row r="986" spans="132:174" x14ac:dyDescent="0.6">
      <c r="EB986" s="335">
        <v>41543</v>
      </c>
      <c r="EC986" s="62">
        <v>165.43</v>
      </c>
      <c r="ED986" s="62">
        <v>1698.670044</v>
      </c>
      <c r="FR986" s="335"/>
    </row>
    <row r="987" spans="132:174" x14ac:dyDescent="0.6">
      <c r="EB987" s="335">
        <v>41542</v>
      </c>
      <c r="EC987" s="62">
        <v>165.36</v>
      </c>
      <c r="ED987" s="62">
        <v>1692.7700199999999</v>
      </c>
      <c r="FR987" s="335"/>
    </row>
    <row r="988" spans="132:174" x14ac:dyDescent="0.6">
      <c r="EB988" s="335">
        <v>41541</v>
      </c>
      <c r="EC988" s="62">
        <v>168.65</v>
      </c>
      <c r="ED988" s="62">
        <v>1697.420044</v>
      </c>
      <c r="FR988" s="335"/>
    </row>
    <row r="989" spans="132:174" x14ac:dyDescent="0.6">
      <c r="EB989" s="335">
        <v>41540</v>
      </c>
      <c r="EC989" s="62">
        <v>168.8</v>
      </c>
      <c r="ED989" s="62">
        <v>1701.839966</v>
      </c>
      <c r="FR989" s="335"/>
    </row>
    <row r="990" spans="132:174" x14ac:dyDescent="0.6">
      <c r="EB990" s="335">
        <v>41537</v>
      </c>
      <c r="EC990" s="62">
        <v>168.43</v>
      </c>
      <c r="ED990" s="62">
        <v>1709.910034</v>
      </c>
      <c r="FR990" s="335"/>
    </row>
    <row r="991" spans="132:174" x14ac:dyDescent="0.6">
      <c r="EB991" s="335">
        <v>41536</v>
      </c>
      <c r="EC991" s="62">
        <v>170.23</v>
      </c>
      <c r="ED991" s="62">
        <v>1722.339966</v>
      </c>
      <c r="FR991" s="335"/>
    </row>
    <row r="992" spans="132:174" x14ac:dyDescent="0.6">
      <c r="EB992" s="335">
        <v>41535</v>
      </c>
      <c r="EC992" s="62">
        <v>172.89</v>
      </c>
      <c r="ED992" s="62">
        <v>1725.5200199999999</v>
      </c>
      <c r="FR992" s="335"/>
    </row>
    <row r="993" spans="132:174" x14ac:dyDescent="0.6">
      <c r="EB993" s="335">
        <v>41534</v>
      </c>
      <c r="EC993" s="62">
        <v>171.64</v>
      </c>
      <c r="ED993" s="62">
        <v>1704.76001</v>
      </c>
      <c r="FR993" s="335"/>
    </row>
    <row r="994" spans="132:174" x14ac:dyDescent="0.6">
      <c r="EB994" s="335">
        <v>41533</v>
      </c>
      <c r="EC994" s="62">
        <v>168.52</v>
      </c>
      <c r="ED994" s="62">
        <v>1697.599976</v>
      </c>
      <c r="FR994" s="335"/>
    </row>
    <row r="995" spans="132:174" x14ac:dyDescent="0.6">
      <c r="EB995" s="335">
        <v>41530</v>
      </c>
      <c r="EC995" s="62">
        <v>166.98</v>
      </c>
      <c r="ED995" s="62">
        <v>1687.98999</v>
      </c>
      <c r="FR995" s="335"/>
    </row>
    <row r="996" spans="132:174" x14ac:dyDescent="0.6">
      <c r="EB996" s="335">
        <v>41529</v>
      </c>
      <c r="EC996" s="62">
        <v>168.46</v>
      </c>
      <c r="ED996" s="62">
        <v>1683.420044</v>
      </c>
      <c r="FR996" s="335"/>
    </row>
    <row r="997" spans="132:174" x14ac:dyDescent="0.6">
      <c r="EB997" s="335">
        <v>41528</v>
      </c>
      <c r="EC997" s="62">
        <v>167.93</v>
      </c>
      <c r="ED997" s="62">
        <v>1689.130005</v>
      </c>
      <c r="FR997" s="335"/>
    </row>
    <row r="998" spans="132:174" x14ac:dyDescent="0.6">
      <c r="EB998" s="335">
        <v>41527</v>
      </c>
      <c r="EC998" s="62">
        <v>164.63</v>
      </c>
      <c r="ED998" s="62">
        <v>1683.98999</v>
      </c>
      <c r="FR998" s="335"/>
    </row>
    <row r="999" spans="132:174" x14ac:dyDescent="0.6">
      <c r="EB999" s="335">
        <v>41526</v>
      </c>
      <c r="EC999" s="62">
        <v>167.33</v>
      </c>
      <c r="ED999" s="62">
        <v>1671.709961</v>
      </c>
      <c r="FR999" s="335"/>
    </row>
    <row r="1000" spans="132:174" x14ac:dyDescent="0.6">
      <c r="EB1000" s="335">
        <v>41523</v>
      </c>
      <c r="EC1000" s="62">
        <v>165.25</v>
      </c>
      <c r="ED1000" s="62">
        <v>1655.170044</v>
      </c>
      <c r="FR1000" s="335"/>
    </row>
    <row r="1001" spans="132:174" x14ac:dyDescent="0.6">
      <c r="EB1001" s="335">
        <v>41522</v>
      </c>
      <c r="EC1001" s="62">
        <v>166.15</v>
      </c>
      <c r="ED1001" s="62">
        <v>1655.079956</v>
      </c>
      <c r="FR1001" s="335"/>
    </row>
    <row r="1002" spans="132:174" x14ac:dyDescent="0.6">
      <c r="EB1002" s="335">
        <v>41521</v>
      </c>
      <c r="EC1002" s="62">
        <v>165.4</v>
      </c>
      <c r="ED1002" s="62">
        <v>1653.079956</v>
      </c>
      <c r="FR1002" s="335"/>
    </row>
    <row r="1003" spans="132:174" x14ac:dyDescent="0.6">
      <c r="EB1003" s="335">
        <v>41520</v>
      </c>
      <c r="EC1003" s="62">
        <v>164.28</v>
      </c>
      <c r="ED1003" s="62">
        <v>1639.7700199999999</v>
      </c>
      <c r="FR1003" s="335"/>
    </row>
    <row r="1004" spans="132:174" x14ac:dyDescent="0.6">
      <c r="EB1004" s="335">
        <v>41516</v>
      </c>
      <c r="EC1004" s="62">
        <v>164.02</v>
      </c>
      <c r="ED1004" s="62">
        <v>1632.969971</v>
      </c>
      <c r="FR1004" s="335"/>
    </row>
    <row r="1005" spans="132:174" x14ac:dyDescent="0.6">
      <c r="EB1005" s="335">
        <v>41515</v>
      </c>
      <c r="EC1005" s="62">
        <v>164.99</v>
      </c>
      <c r="ED1005" s="62">
        <v>1638.170044</v>
      </c>
      <c r="FR1005" s="335"/>
    </row>
    <row r="1006" spans="132:174" x14ac:dyDescent="0.6">
      <c r="EB1006" s="335">
        <v>41514</v>
      </c>
      <c r="EC1006" s="62">
        <v>165.21</v>
      </c>
      <c r="ED1006" s="62">
        <v>1634.959961</v>
      </c>
      <c r="FR1006" s="335"/>
    </row>
    <row r="1007" spans="132:174" x14ac:dyDescent="0.6">
      <c r="EB1007" s="335">
        <v>41513</v>
      </c>
      <c r="EC1007" s="62">
        <v>166.88</v>
      </c>
      <c r="ED1007" s="62">
        <v>1630.4799800000001</v>
      </c>
      <c r="FR1007" s="335"/>
    </row>
    <row r="1008" spans="132:174" x14ac:dyDescent="0.6">
      <c r="EB1008" s="335">
        <v>41512</v>
      </c>
      <c r="EC1008" s="62">
        <v>168.03</v>
      </c>
      <c r="ED1008" s="62">
        <v>1656.780029</v>
      </c>
      <c r="FR1008" s="335"/>
    </row>
    <row r="1009" spans="132:174" x14ac:dyDescent="0.6">
      <c r="EB1009" s="335">
        <v>41509</v>
      </c>
      <c r="EC1009" s="62">
        <v>168.53</v>
      </c>
      <c r="ED1009" s="62">
        <v>1663.5</v>
      </c>
      <c r="FR1009" s="335"/>
    </row>
    <row r="1010" spans="132:174" x14ac:dyDescent="0.6">
      <c r="EB1010" s="335">
        <v>41508</v>
      </c>
      <c r="EC1010" s="62">
        <v>172</v>
      </c>
      <c r="ED1010" s="62">
        <v>1656.959961</v>
      </c>
      <c r="FR1010" s="335"/>
    </row>
    <row r="1011" spans="132:174" x14ac:dyDescent="0.6">
      <c r="EB1011" s="335">
        <v>41507</v>
      </c>
      <c r="EC1011" s="62">
        <v>170.63</v>
      </c>
      <c r="ED1011" s="62">
        <v>1642.8000489999999</v>
      </c>
      <c r="FR1011" s="335"/>
    </row>
    <row r="1012" spans="132:174" x14ac:dyDescent="0.6">
      <c r="EB1012" s="335">
        <v>41506</v>
      </c>
      <c r="EC1012" s="62">
        <v>173.72</v>
      </c>
      <c r="ED1012" s="62">
        <v>1652.349976</v>
      </c>
      <c r="FR1012" s="335"/>
    </row>
    <row r="1013" spans="132:174" x14ac:dyDescent="0.6">
      <c r="EB1013" s="335">
        <v>41505</v>
      </c>
      <c r="EC1013" s="62">
        <v>173.66</v>
      </c>
      <c r="ED1013" s="62">
        <v>1646.0600589999999</v>
      </c>
      <c r="FR1013" s="335"/>
    </row>
    <row r="1014" spans="132:174" x14ac:dyDescent="0.6">
      <c r="EB1014" s="335">
        <v>41502</v>
      </c>
      <c r="EC1014" s="62">
        <v>172.41</v>
      </c>
      <c r="ED1014" s="62">
        <v>1655.829956</v>
      </c>
      <c r="FR1014" s="335"/>
    </row>
    <row r="1015" spans="132:174" x14ac:dyDescent="0.6">
      <c r="EB1015" s="335">
        <v>41501</v>
      </c>
      <c r="EC1015" s="62">
        <v>172.05</v>
      </c>
      <c r="ED1015" s="62">
        <v>1661.3199460000001</v>
      </c>
      <c r="FR1015" s="335"/>
    </row>
    <row r="1016" spans="132:174" x14ac:dyDescent="0.6">
      <c r="EB1016" s="335">
        <v>41500</v>
      </c>
      <c r="EC1016" s="62">
        <v>173.79</v>
      </c>
      <c r="ED1016" s="62">
        <v>1685.3900149999999</v>
      </c>
      <c r="FR1016" s="335"/>
    </row>
    <row r="1017" spans="132:174" x14ac:dyDescent="0.6">
      <c r="EB1017" s="335">
        <v>41499</v>
      </c>
      <c r="EC1017" s="62">
        <v>175.36</v>
      </c>
      <c r="ED1017" s="62">
        <v>1694.160034</v>
      </c>
      <c r="FR1017" s="335"/>
    </row>
    <row r="1018" spans="132:174" x14ac:dyDescent="0.6">
      <c r="EB1018" s="335">
        <v>41498</v>
      </c>
      <c r="EC1018" s="62">
        <v>174.98</v>
      </c>
      <c r="ED1018" s="62">
        <v>1689.469971</v>
      </c>
      <c r="FR1018" s="335"/>
    </row>
    <row r="1019" spans="132:174" x14ac:dyDescent="0.6">
      <c r="EB1019" s="335">
        <v>41495</v>
      </c>
      <c r="EC1019" s="62">
        <v>175.81</v>
      </c>
      <c r="ED1019" s="62">
        <v>1691.420044</v>
      </c>
      <c r="FR1019" s="335"/>
    </row>
    <row r="1020" spans="132:174" x14ac:dyDescent="0.6">
      <c r="EB1020" s="335">
        <v>41494</v>
      </c>
      <c r="EC1020" s="62">
        <v>175.57</v>
      </c>
      <c r="ED1020" s="62">
        <v>1697.4799800000001</v>
      </c>
      <c r="FR1020" s="335"/>
    </row>
    <row r="1021" spans="132:174" x14ac:dyDescent="0.6">
      <c r="EB1021" s="335">
        <v>41493</v>
      </c>
      <c r="EC1021" s="62">
        <v>173.06</v>
      </c>
      <c r="ED1021" s="62">
        <v>1690.910034</v>
      </c>
      <c r="FR1021" s="335"/>
    </row>
    <row r="1022" spans="132:174" x14ac:dyDescent="0.6">
      <c r="EB1022" s="335">
        <v>41492</v>
      </c>
      <c r="EC1022" s="62">
        <v>170.97</v>
      </c>
      <c r="ED1022" s="62">
        <v>1697.369995</v>
      </c>
      <c r="FR1022" s="335"/>
    </row>
    <row r="1023" spans="132:174" x14ac:dyDescent="0.6">
      <c r="EB1023" s="335">
        <v>41491</v>
      </c>
      <c r="EC1023" s="62">
        <v>171.57</v>
      </c>
      <c r="ED1023" s="62">
        <v>1707.1400149999999</v>
      </c>
      <c r="FR1023" s="335"/>
    </row>
    <row r="1024" spans="132:174" x14ac:dyDescent="0.6">
      <c r="EB1024" s="335">
        <v>41488</v>
      </c>
      <c r="EC1024" s="62">
        <v>170.00700000000001</v>
      </c>
      <c r="ED1024" s="62">
        <v>1709.670044</v>
      </c>
      <c r="FR1024" s="335"/>
    </row>
    <row r="1025" spans="132:174" x14ac:dyDescent="0.6">
      <c r="EB1025" s="335">
        <v>41487</v>
      </c>
      <c r="EC1025" s="62">
        <v>170.46</v>
      </c>
      <c r="ED1025" s="62">
        <v>1706.869995</v>
      </c>
      <c r="FR1025" s="335"/>
    </row>
    <row r="1026" spans="132:174" x14ac:dyDescent="0.6">
      <c r="EB1026" s="335">
        <v>41486</v>
      </c>
      <c r="EC1026" s="62">
        <v>167.19</v>
      </c>
      <c r="ED1026" s="62">
        <v>1685.7299800000001</v>
      </c>
      <c r="FR1026" s="335"/>
    </row>
    <row r="1027" spans="132:174" x14ac:dyDescent="0.6">
      <c r="EB1027" s="335">
        <v>41485</v>
      </c>
      <c r="EC1027" s="62">
        <v>166.19</v>
      </c>
      <c r="ED1027" s="62">
        <v>1685.959961</v>
      </c>
      <c r="FR1027" s="335"/>
    </row>
    <row r="1028" spans="132:174" x14ac:dyDescent="0.6">
      <c r="EB1028" s="335">
        <v>41484</v>
      </c>
      <c r="EC1028" s="62">
        <v>166.36</v>
      </c>
      <c r="ED1028" s="62">
        <v>1685.329956</v>
      </c>
      <c r="FR1028" s="335"/>
    </row>
    <row r="1029" spans="132:174" x14ac:dyDescent="0.6">
      <c r="EB1029" s="335">
        <v>41481</v>
      </c>
      <c r="EC1029" s="62">
        <v>168.65</v>
      </c>
      <c r="ED1029" s="62">
        <v>1691.650024</v>
      </c>
      <c r="FR1029" s="335"/>
    </row>
    <row r="1030" spans="132:174" x14ac:dyDescent="0.6">
      <c r="EB1030" s="335">
        <v>41480</v>
      </c>
      <c r="EC1030" s="62">
        <v>167.65</v>
      </c>
      <c r="ED1030" s="62">
        <v>1690.25</v>
      </c>
      <c r="FR1030" s="335"/>
    </row>
    <row r="1031" spans="132:174" x14ac:dyDescent="0.6">
      <c r="EB1031" s="335">
        <v>41479</v>
      </c>
      <c r="EC1031" s="62">
        <v>169.62</v>
      </c>
      <c r="ED1031" s="62">
        <v>1685.9399410000001</v>
      </c>
      <c r="FR1031" s="335"/>
    </row>
    <row r="1032" spans="132:174" x14ac:dyDescent="0.6">
      <c r="EB1032" s="335">
        <v>41478</v>
      </c>
      <c r="EC1032" s="62">
        <v>182.01</v>
      </c>
      <c r="ED1032" s="62">
        <v>1692.3900149999999</v>
      </c>
      <c r="FR1032" s="335"/>
    </row>
    <row r="1033" spans="132:174" x14ac:dyDescent="0.6">
      <c r="EB1033" s="335">
        <v>41477</v>
      </c>
      <c r="EC1033" s="62">
        <v>186.67</v>
      </c>
      <c r="ED1033" s="62">
        <v>1695.530029</v>
      </c>
      <c r="FR1033" s="335"/>
    </row>
    <row r="1034" spans="132:174" x14ac:dyDescent="0.6">
      <c r="EB1034" s="335">
        <v>41474</v>
      </c>
      <c r="EC1034" s="62">
        <v>186.3</v>
      </c>
      <c r="ED1034" s="62">
        <v>1692.089966</v>
      </c>
      <c r="FR1034" s="335"/>
    </row>
    <row r="1035" spans="132:174" x14ac:dyDescent="0.6">
      <c r="EB1035" s="335">
        <v>41473</v>
      </c>
      <c r="EC1035" s="62">
        <v>187</v>
      </c>
      <c r="ED1035" s="62">
        <v>1689.369995</v>
      </c>
      <c r="FR1035" s="335"/>
    </row>
    <row r="1036" spans="132:174" x14ac:dyDescent="0.6">
      <c r="EB1036" s="335">
        <v>41472</v>
      </c>
      <c r="EC1036" s="62">
        <v>185.51</v>
      </c>
      <c r="ED1036" s="62">
        <v>1680.910034</v>
      </c>
      <c r="FR1036" s="335"/>
    </row>
    <row r="1037" spans="132:174" x14ac:dyDescent="0.6">
      <c r="EB1037" s="335">
        <v>41471</v>
      </c>
      <c r="EC1037" s="62">
        <v>188.46</v>
      </c>
      <c r="ED1037" s="62">
        <v>1676.26001</v>
      </c>
      <c r="FR1037" s="335"/>
    </row>
    <row r="1038" spans="132:174" x14ac:dyDescent="0.6">
      <c r="EB1038" s="335">
        <v>41470</v>
      </c>
      <c r="EC1038" s="62">
        <v>189.4</v>
      </c>
      <c r="ED1038" s="62">
        <v>1682.5</v>
      </c>
      <c r="FR1038" s="335"/>
    </row>
    <row r="1039" spans="132:174" x14ac:dyDescent="0.6">
      <c r="EB1039" s="335">
        <v>41467</v>
      </c>
      <c r="EC1039" s="62">
        <v>189.73</v>
      </c>
      <c r="ED1039" s="62">
        <v>1680.1899410000001</v>
      </c>
      <c r="FR1039" s="335"/>
    </row>
    <row r="1040" spans="132:174" x14ac:dyDescent="0.6">
      <c r="EB1040" s="335">
        <v>41466</v>
      </c>
      <c r="EC1040" s="62">
        <v>189.19</v>
      </c>
      <c r="ED1040" s="62">
        <v>1675.0200199999999</v>
      </c>
      <c r="FR1040" s="335"/>
    </row>
    <row r="1041" spans="132:174" x14ac:dyDescent="0.6">
      <c r="EB1041" s="335">
        <v>41465</v>
      </c>
      <c r="EC1041" s="62">
        <v>188.32</v>
      </c>
      <c r="ED1041" s="62">
        <v>1652.619995</v>
      </c>
      <c r="FR1041" s="335"/>
    </row>
    <row r="1042" spans="132:174" x14ac:dyDescent="0.6">
      <c r="EB1042" s="335">
        <v>41464</v>
      </c>
      <c r="EC1042" s="62">
        <v>188.12</v>
      </c>
      <c r="ED1042" s="62">
        <v>1652.3199460000001</v>
      </c>
      <c r="FR1042" s="335"/>
    </row>
    <row r="1043" spans="132:174" x14ac:dyDescent="0.6">
      <c r="EB1043" s="335">
        <v>41463</v>
      </c>
      <c r="EC1043" s="62">
        <v>190.71</v>
      </c>
      <c r="ED1043" s="62">
        <v>1640.459961</v>
      </c>
      <c r="FR1043" s="335"/>
    </row>
    <row r="1044" spans="132:174" x14ac:dyDescent="0.6">
      <c r="EB1044" s="335">
        <v>41460</v>
      </c>
      <c r="EC1044" s="62">
        <v>190.52</v>
      </c>
      <c r="ED1044" s="62">
        <v>1631.8900149999999</v>
      </c>
      <c r="FR1044" s="335"/>
    </row>
    <row r="1045" spans="132:174" x14ac:dyDescent="0.6">
      <c r="EB1045" s="335">
        <v>41458</v>
      </c>
      <c r="EC1045" s="62">
        <v>189.52</v>
      </c>
      <c r="ED1045" s="62">
        <v>1615.410034</v>
      </c>
      <c r="FR1045" s="335"/>
    </row>
    <row r="1046" spans="132:174" x14ac:dyDescent="0.6">
      <c r="EB1046" s="335">
        <v>41457</v>
      </c>
      <c r="EC1046" s="62">
        <v>189.44</v>
      </c>
      <c r="ED1046" s="62">
        <v>1614.079956</v>
      </c>
      <c r="FR1046" s="335"/>
    </row>
    <row r="1047" spans="132:174" x14ac:dyDescent="0.6">
      <c r="EB1047" s="335">
        <v>41456</v>
      </c>
      <c r="EC1047" s="62">
        <v>186.91</v>
      </c>
      <c r="ED1047" s="62">
        <v>1614.959961</v>
      </c>
      <c r="FR1047" s="335"/>
    </row>
    <row r="1048" spans="132:174" x14ac:dyDescent="0.6">
      <c r="EB1048" s="335">
        <v>41453</v>
      </c>
      <c r="EC1048" s="62">
        <v>185.94</v>
      </c>
      <c r="ED1048" s="62">
        <v>1606.280029</v>
      </c>
      <c r="FR1048" s="335"/>
    </row>
    <row r="1049" spans="132:174" x14ac:dyDescent="0.6">
      <c r="EB1049" s="335">
        <v>41452</v>
      </c>
      <c r="EC1049" s="62">
        <v>185</v>
      </c>
      <c r="ED1049" s="62">
        <v>1613.1999510000001</v>
      </c>
      <c r="FR1049" s="335"/>
    </row>
    <row r="1050" spans="132:174" x14ac:dyDescent="0.6">
      <c r="EB1050" s="335">
        <v>41451</v>
      </c>
      <c r="EC1050" s="62">
        <v>182</v>
      </c>
      <c r="ED1050" s="62">
        <v>1603.26001</v>
      </c>
      <c r="FR1050" s="335"/>
    </row>
    <row r="1051" spans="132:174" x14ac:dyDescent="0.6">
      <c r="EB1051" s="335">
        <v>41450</v>
      </c>
      <c r="EC1051" s="62">
        <v>179.72</v>
      </c>
      <c r="ED1051" s="62">
        <v>1588.030029</v>
      </c>
      <c r="FR1051" s="335"/>
    </row>
    <row r="1052" spans="132:174" x14ac:dyDescent="0.6">
      <c r="EB1052" s="335">
        <v>41449</v>
      </c>
      <c r="EC1052" s="62">
        <v>179.35</v>
      </c>
      <c r="ED1052" s="62">
        <v>1573.089966</v>
      </c>
      <c r="FR1052" s="335"/>
    </row>
    <row r="1053" spans="132:174" x14ac:dyDescent="0.6">
      <c r="EB1053" s="335">
        <v>41446</v>
      </c>
      <c r="EC1053" s="62">
        <v>179.06</v>
      </c>
      <c r="ED1053" s="62">
        <v>1592.4300539999999</v>
      </c>
      <c r="FR1053" s="335"/>
    </row>
    <row r="1054" spans="132:174" x14ac:dyDescent="0.6">
      <c r="EB1054" s="335">
        <v>41445</v>
      </c>
      <c r="EC1054" s="62">
        <v>183.05</v>
      </c>
      <c r="ED1054" s="62">
        <v>1588.1899410000001</v>
      </c>
      <c r="FR1054" s="335"/>
    </row>
    <row r="1055" spans="132:174" x14ac:dyDescent="0.6">
      <c r="EB1055" s="335">
        <v>41444</v>
      </c>
      <c r="EC1055" s="62">
        <v>186.94</v>
      </c>
      <c r="ED1055" s="62">
        <v>1628.9300539999999</v>
      </c>
      <c r="FR1055" s="335"/>
    </row>
    <row r="1056" spans="132:174" x14ac:dyDescent="0.6">
      <c r="EB1056" s="335">
        <v>41443</v>
      </c>
      <c r="EC1056" s="62">
        <v>187.66</v>
      </c>
      <c r="ED1056" s="62">
        <v>1651.8100589999999</v>
      </c>
      <c r="FR1056" s="335"/>
    </row>
    <row r="1057" spans="132:174" x14ac:dyDescent="0.6">
      <c r="EB1057" s="335">
        <v>41442</v>
      </c>
      <c r="EC1057" s="62">
        <v>186.14</v>
      </c>
      <c r="ED1057" s="62">
        <v>1639.040039</v>
      </c>
      <c r="FR1057" s="335"/>
    </row>
    <row r="1058" spans="132:174" x14ac:dyDescent="0.6">
      <c r="EB1058" s="335">
        <v>41439</v>
      </c>
      <c r="EC1058" s="62">
        <v>187.11</v>
      </c>
      <c r="ED1058" s="62">
        <v>1626.7299800000001</v>
      </c>
      <c r="FR1058" s="335"/>
    </row>
    <row r="1059" spans="132:174" x14ac:dyDescent="0.6">
      <c r="EB1059" s="335">
        <v>41438</v>
      </c>
      <c r="EC1059" s="62">
        <v>185.1</v>
      </c>
      <c r="ED1059" s="62">
        <v>1636.3599850000001</v>
      </c>
      <c r="FR1059" s="335"/>
    </row>
    <row r="1060" spans="132:174" x14ac:dyDescent="0.6">
      <c r="EB1060" s="335">
        <v>41437</v>
      </c>
      <c r="EC1060" s="62">
        <v>188.58</v>
      </c>
      <c r="ED1060" s="62">
        <v>1612.5200199999999</v>
      </c>
      <c r="FR1060" s="335"/>
    </row>
    <row r="1061" spans="132:174" x14ac:dyDescent="0.6">
      <c r="EB1061" s="335">
        <v>41436</v>
      </c>
      <c r="EC1061" s="62">
        <v>190.57</v>
      </c>
      <c r="ED1061" s="62">
        <v>1626.130005</v>
      </c>
      <c r="FR1061" s="335"/>
    </row>
    <row r="1062" spans="132:174" x14ac:dyDescent="0.6">
      <c r="EB1062" s="335">
        <v>41435</v>
      </c>
      <c r="EC1062" s="62">
        <v>191.93</v>
      </c>
      <c r="ED1062" s="62">
        <v>1642.8100589999999</v>
      </c>
      <c r="FR1062" s="335"/>
    </row>
    <row r="1063" spans="132:174" x14ac:dyDescent="0.6">
      <c r="EB1063" s="335">
        <v>41432</v>
      </c>
      <c r="EC1063" s="62">
        <v>190.41</v>
      </c>
      <c r="ED1063" s="62">
        <v>1643.380005</v>
      </c>
      <c r="FR1063" s="335"/>
    </row>
    <row r="1064" spans="132:174" x14ac:dyDescent="0.6">
      <c r="EB1064" s="335">
        <v>41431</v>
      </c>
      <c r="EC1064" s="62">
        <v>189.31</v>
      </c>
      <c r="ED1064" s="62">
        <v>1622.5600589999999</v>
      </c>
      <c r="FR1064" s="335"/>
    </row>
    <row r="1065" spans="132:174" x14ac:dyDescent="0.6">
      <c r="EB1065" s="335">
        <v>41430</v>
      </c>
      <c r="EC1065" s="62">
        <v>187.5</v>
      </c>
      <c r="ED1065" s="62">
        <v>1608.900024</v>
      </c>
      <c r="FR1065" s="335"/>
    </row>
    <row r="1066" spans="132:174" x14ac:dyDescent="0.6">
      <c r="EB1066" s="335">
        <v>41429</v>
      </c>
      <c r="EC1066" s="62">
        <v>190.79</v>
      </c>
      <c r="ED1066" s="62">
        <v>1631.380005</v>
      </c>
      <c r="FR1066" s="335"/>
    </row>
    <row r="1067" spans="132:174" x14ac:dyDescent="0.6">
      <c r="EB1067" s="335">
        <v>41428</v>
      </c>
      <c r="EC1067" s="62">
        <v>192.02</v>
      </c>
      <c r="ED1067" s="62">
        <v>1640.420044</v>
      </c>
      <c r="FR1067" s="335"/>
    </row>
    <row r="1068" spans="132:174" x14ac:dyDescent="0.6">
      <c r="EB1068" s="335">
        <v>41425</v>
      </c>
      <c r="EC1068" s="62">
        <v>191.83</v>
      </c>
      <c r="ED1068" s="62">
        <v>1630.73999</v>
      </c>
      <c r="FR1068" s="335"/>
    </row>
    <row r="1069" spans="132:174" x14ac:dyDescent="0.6">
      <c r="EB1069" s="335">
        <v>41424</v>
      </c>
      <c r="EC1069" s="62">
        <v>193.82</v>
      </c>
      <c r="ED1069" s="62">
        <v>1654.410034</v>
      </c>
      <c r="FR1069" s="335"/>
    </row>
    <row r="1070" spans="132:174" x14ac:dyDescent="0.6">
      <c r="EB1070" s="335">
        <v>41423</v>
      </c>
      <c r="EC1070" s="62">
        <v>192.4</v>
      </c>
      <c r="ED1070" s="62">
        <v>1648.3599850000001</v>
      </c>
      <c r="FR1070" s="335"/>
    </row>
    <row r="1071" spans="132:174" x14ac:dyDescent="0.6">
      <c r="EB1071" s="335">
        <v>41422</v>
      </c>
      <c r="EC1071" s="62">
        <v>193.28</v>
      </c>
      <c r="ED1071" s="62">
        <v>1660.0600589999999</v>
      </c>
      <c r="FR1071" s="335"/>
    </row>
    <row r="1072" spans="132:174" x14ac:dyDescent="0.6">
      <c r="EB1072" s="335">
        <v>41418</v>
      </c>
      <c r="EC1072" s="62">
        <v>190.19</v>
      </c>
      <c r="ED1072" s="62">
        <v>1649.599976</v>
      </c>
      <c r="FR1072" s="335"/>
    </row>
    <row r="1073" spans="132:174" x14ac:dyDescent="0.6">
      <c r="EB1073" s="335">
        <v>41417</v>
      </c>
      <c r="EC1073" s="62">
        <v>189.91</v>
      </c>
      <c r="ED1073" s="62">
        <v>1650.51001</v>
      </c>
      <c r="FR1073" s="335"/>
    </row>
    <row r="1074" spans="132:174" x14ac:dyDescent="0.6">
      <c r="EB1074" s="335">
        <v>41416</v>
      </c>
      <c r="EC1074" s="62">
        <v>189.66</v>
      </c>
      <c r="ED1074" s="62">
        <v>1655.349976</v>
      </c>
      <c r="FR1074" s="335"/>
    </row>
    <row r="1075" spans="132:174" x14ac:dyDescent="0.6">
      <c r="EB1075" s="335">
        <v>41415</v>
      </c>
      <c r="EC1075" s="62">
        <v>192.65</v>
      </c>
      <c r="ED1075" s="62">
        <v>1669.160034</v>
      </c>
      <c r="FR1075" s="335"/>
    </row>
    <row r="1076" spans="132:174" x14ac:dyDescent="0.6">
      <c r="EB1076" s="335">
        <v>41414</v>
      </c>
      <c r="EC1076" s="62">
        <v>190.34</v>
      </c>
      <c r="ED1076" s="62">
        <v>1666.290039</v>
      </c>
      <c r="FR1076" s="335"/>
    </row>
    <row r="1077" spans="132:174" x14ac:dyDescent="0.6">
      <c r="EB1077" s="335">
        <v>41411</v>
      </c>
      <c r="EC1077" s="62">
        <v>186.6</v>
      </c>
      <c r="ED1077" s="62">
        <v>1667.469971</v>
      </c>
      <c r="FR1077" s="335"/>
    </row>
    <row r="1078" spans="132:174" x14ac:dyDescent="0.6">
      <c r="EB1078" s="335">
        <v>41410</v>
      </c>
      <c r="EC1078" s="62">
        <v>184.78</v>
      </c>
      <c r="ED1078" s="62">
        <v>1650.469971</v>
      </c>
      <c r="FR1078" s="335"/>
    </row>
    <row r="1079" spans="132:174" x14ac:dyDescent="0.6">
      <c r="EB1079" s="335">
        <v>41409</v>
      </c>
      <c r="EC1079" s="62">
        <v>185.07</v>
      </c>
      <c r="ED1079" s="62">
        <v>1658.780029</v>
      </c>
      <c r="FR1079" s="335"/>
    </row>
    <row r="1080" spans="132:174" x14ac:dyDescent="0.6">
      <c r="EB1080" s="335">
        <v>41408</v>
      </c>
      <c r="EC1080" s="62">
        <v>184.99</v>
      </c>
      <c r="ED1080" s="62">
        <v>1650.339966</v>
      </c>
      <c r="FR1080" s="335"/>
    </row>
    <row r="1081" spans="132:174" x14ac:dyDescent="0.6">
      <c r="EB1081" s="335">
        <v>41407</v>
      </c>
      <c r="EC1081" s="62">
        <v>182.04</v>
      </c>
      <c r="ED1081" s="62">
        <v>1633.7700199999999</v>
      </c>
      <c r="FR1081" s="335"/>
    </row>
    <row r="1082" spans="132:174" x14ac:dyDescent="0.6">
      <c r="EB1082" s="335">
        <v>41404</v>
      </c>
      <c r="EC1082" s="62">
        <v>181.83</v>
      </c>
      <c r="ED1082" s="62">
        <v>1633.6999510000001</v>
      </c>
      <c r="FR1082" s="335"/>
    </row>
    <row r="1083" spans="132:174" x14ac:dyDescent="0.6">
      <c r="EB1083" s="335">
        <v>41403</v>
      </c>
      <c r="EC1083" s="62">
        <v>180.7</v>
      </c>
      <c r="ED1083" s="62">
        <v>1626.670044</v>
      </c>
      <c r="FR1083" s="335"/>
    </row>
    <row r="1084" spans="132:174" x14ac:dyDescent="0.6">
      <c r="EB1084" s="335">
        <v>41402</v>
      </c>
      <c r="EC1084" s="62">
        <v>183.55</v>
      </c>
      <c r="ED1084" s="62">
        <v>1632.6899410000001</v>
      </c>
      <c r="FR1084" s="335"/>
    </row>
    <row r="1085" spans="132:174" x14ac:dyDescent="0.6">
      <c r="EB1085" s="335">
        <v>41401</v>
      </c>
      <c r="EC1085" s="62">
        <v>183.74</v>
      </c>
      <c r="ED1085" s="62">
        <v>1625.959961</v>
      </c>
      <c r="FR1085" s="335"/>
    </row>
    <row r="1086" spans="132:174" x14ac:dyDescent="0.6">
      <c r="EB1086" s="335">
        <v>41400</v>
      </c>
      <c r="EC1086" s="62">
        <v>182.98</v>
      </c>
      <c r="ED1086" s="62">
        <v>1617.5</v>
      </c>
      <c r="FR1086" s="335"/>
    </row>
    <row r="1087" spans="132:174" x14ac:dyDescent="0.6">
      <c r="EB1087" s="335">
        <v>41397</v>
      </c>
      <c r="EC1087" s="62">
        <v>180.84</v>
      </c>
      <c r="ED1087" s="62">
        <v>1614.420044</v>
      </c>
      <c r="FR1087" s="335"/>
    </row>
    <row r="1088" spans="132:174" x14ac:dyDescent="0.6">
      <c r="EB1088" s="335">
        <v>41396</v>
      </c>
      <c r="EC1088" s="62">
        <v>178.38</v>
      </c>
      <c r="ED1088" s="62">
        <v>1597.589966</v>
      </c>
      <c r="FR1088" s="335"/>
    </row>
    <row r="1089" spans="132:174" x14ac:dyDescent="0.6">
      <c r="EB1089" s="335">
        <v>41395</v>
      </c>
      <c r="EC1089" s="62">
        <v>177.15</v>
      </c>
      <c r="ED1089" s="62">
        <v>1582.6999510000001</v>
      </c>
      <c r="FR1089" s="335"/>
    </row>
    <row r="1090" spans="132:174" x14ac:dyDescent="0.6">
      <c r="EB1090" s="335">
        <v>41394</v>
      </c>
      <c r="EC1090" s="62">
        <v>177.23</v>
      </c>
      <c r="ED1090" s="62">
        <v>1597.5699460000001</v>
      </c>
      <c r="FR1090" s="335"/>
    </row>
    <row r="1091" spans="132:174" x14ac:dyDescent="0.6">
      <c r="EB1091" s="335">
        <v>41393</v>
      </c>
      <c r="EC1091" s="62">
        <v>173.73</v>
      </c>
      <c r="ED1091" s="62">
        <v>1593.6099850000001</v>
      </c>
      <c r="FR1091" s="335"/>
    </row>
    <row r="1092" spans="132:174" x14ac:dyDescent="0.6">
      <c r="EB1092" s="335">
        <v>41390</v>
      </c>
      <c r="EC1092" s="62">
        <v>173.34</v>
      </c>
      <c r="ED1092" s="62">
        <v>1582.23999</v>
      </c>
      <c r="FR1092" s="335"/>
    </row>
    <row r="1093" spans="132:174" x14ac:dyDescent="0.6">
      <c r="EB1093" s="335">
        <v>41389</v>
      </c>
      <c r="EC1093" s="62">
        <v>173.87</v>
      </c>
      <c r="ED1093" s="62">
        <v>1585.160034</v>
      </c>
      <c r="FR1093" s="335"/>
    </row>
    <row r="1094" spans="132:174" x14ac:dyDescent="0.6">
      <c r="EB1094" s="335">
        <v>41388</v>
      </c>
      <c r="EC1094" s="62">
        <v>176.97</v>
      </c>
      <c r="ED1094" s="62">
        <v>1578.790039</v>
      </c>
      <c r="FR1094" s="335"/>
    </row>
    <row r="1095" spans="132:174" x14ac:dyDescent="0.6">
      <c r="EB1095" s="335">
        <v>41387</v>
      </c>
      <c r="EC1095" s="62">
        <v>180.44</v>
      </c>
      <c r="ED1095" s="62">
        <v>1578.780029</v>
      </c>
      <c r="FR1095" s="335"/>
    </row>
    <row r="1096" spans="132:174" x14ac:dyDescent="0.6">
      <c r="EB1096" s="335">
        <v>41386</v>
      </c>
      <c r="EC1096" s="62">
        <v>179.15</v>
      </c>
      <c r="ED1096" s="62">
        <v>1562.5</v>
      </c>
      <c r="FR1096" s="335"/>
    </row>
    <row r="1097" spans="132:174" x14ac:dyDescent="0.6">
      <c r="EB1097" s="335">
        <v>41383</v>
      </c>
      <c r="EC1097" s="62">
        <v>181.17</v>
      </c>
      <c r="ED1097" s="62">
        <v>1555.25</v>
      </c>
      <c r="FR1097" s="335"/>
    </row>
    <row r="1098" spans="132:174" x14ac:dyDescent="0.6">
      <c r="EB1098" s="335">
        <v>41382</v>
      </c>
      <c r="EC1098" s="62">
        <v>179.49</v>
      </c>
      <c r="ED1098" s="62">
        <v>1541.6099850000001</v>
      </c>
      <c r="FR1098" s="335"/>
    </row>
    <row r="1099" spans="132:174" x14ac:dyDescent="0.6">
      <c r="EB1099" s="335">
        <v>41381</v>
      </c>
      <c r="EC1099" s="62">
        <v>181.82</v>
      </c>
      <c r="ED1099" s="62">
        <v>1552.01001</v>
      </c>
      <c r="FR1099" s="335"/>
    </row>
    <row r="1100" spans="132:174" x14ac:dyDescent="0.6">
      <c r="EB1100" s="335">
        <v>41380</v>
      </c>
      <c r="EC1100" s="62">
        <v>181.95</v>
      </c>
      <c r="ED1100" s="62">
        <v>1574.5699460000001</v>
      </c>
      <c r="FR1100" s="335"/>
    </row>
    <row r="1101" spans="132:174" x14ac:dyDescent="0.6">
      <c r="EB1101" s="335">
        <v>41379</v>
      </c>
      <c r="EC1101" s="62">
        <v>182.55</v>
      </c>
      <c r="ED1101" s="62">
        <v>1552.3599850000001</v>
      </c>
      <c r="FR1101" s="335"/>
    </row>
    <row r="1102" spans="132:174" x14ac:dyDescent="0.6">
      <c r="EB1102" s="335">
        <v>41376</v>
      </c>
      <c r="EC1102" s="62">
        <v>184.21</v>
      </c>
      <c r="ED1102" s="62">
        <v>1588.849976</v>
      </c>
      <c r="FR1102" s="335"/>
    </row>
    <row r="1103" spans="132:174" x14ac:dyDescent="0.6">
      <c r="EB1103" s="335">
        <v>41375</v>
      </c>
      <c r="EC1103" s="62">
        <v>183.66</v>
      </c>
      <c r="ED1103" s="62">
        <v>1593.369995</v>
      </c>
      <c r="FR1103" s="335"/>
    </row>
    <row r="1104" spans="132:174" x14ac:dyDescent="0.6">
      <c r="EB1104" s="335">
        <v>41374</v>
      </c>
      <c r="EC1104" s="62">
        <v>182.56</v>
      </c>
      <c r="ED1104" s="62">
        <v>1587.7299800000001</v>
      </c>
      <c r="FR1104" s="335"/>
    </row>
    <row r="1105" spans="132:174" x14ac:dyDescent="0.6">
      <c r="EB1105" s="335">
        <v>41373</v>
      </c>
      <c r="EC1105" s="62">
        <v>179.89</v>
      </c>
      <c r="ED1105" s="62">
        <v>1568.6099850000001</v>
      </c>
      <c r="FR1105" s="335"/>
    </row>
    <row r="1106" spans="132:174" x14ac:dyDescent="0.6">
      <c r="EB1106" s="335">
        <v>41372</v>
      </c>
      <c r="EC1106" s="62">
        <v>179.15</v>
      </c>
      <c r="ED1106" s="62">
        <v>1563.0699460000001</v>
      </c>
      <c r="FR1106" s="335"/>
    </row>
    <row r="1107" spans="132:174" x14ac:dyDescent="0.6">
      <c r="EB1107" s="335">
        <v>41369</v>
      </c>
      <c r="EC1107" s="62">
        <v>177.2</v>
      </c>
      <c r="ED1107" s="62">
        <v>1553.280029</v>
      </c>
      <c r="FR1107" s="335"/>
    </row>
    <row r="1108" spans="132:174" x14ac:dyDescent="0.6">
      <c r="EB1108" s="335">
        <v>41368</v>
      </c>
      <c r="EC1108" s="62">
        <v>175.78</v>
      </c>
      <c r="ED1108" s="62">
        <v>1559.9799800000001</v>
      </c>
      <c r="FR1108" s="335"/>
    </row>
    <row r="1109" spans="132:174" x14ac:dyDescent="0.6">
      <c r="EB1109" s="335">
        <v>41367</v>
      </c>
      <c r="EC1109" s="62">
        <v>169.5</v>
      </c>
      <c r="ED1109" s="62">
        <v>1553.6899410000001</v>
      </c>
      <c r="FR1109" s="335"/>
    </row>
    <row r="1110" spans="132:174" x14ac:dyDescent="0.6">
      <c r="EB1110" s="335">
        <v>41366</v>
      </c>
      <c r="EC1110" s="62">
        <v>165.33</v>
      </c>
      <c r="ED1110" s="62">
        <v>1570.25</v>
      </c>
      <c r="FR1110" s="335"/>
    </row>
    <row r="1111" spans="132:174" x14ac:dyDescent="0.6">
      <c r="EB1111" s="335">
        <v>41365</v>
      </c>
      <c r="EC1111" s="62">
        <v>166.66</v>
      </c>
      <c r="ED1111" s="62">
        <v>1562.170044</v>
      </c>
      <c r="FR1111" s="335"/>
    </row>
    <row r="1112" spans="132:174" x14ac:dyDescent="0.6">
      <c r="EB1112" s="335">
        <v>41361</v>
      </c>
      <c r="EC1112" s="62">
        <v>165.24</v>
      </c>
      <c r="ED1112" s="62">
        <v>1569.1899410000001</v>
      </c>
      <c r="FR1112" s="335"/>
    </row>
    <row r="1113" spans="132:174" x14ac:dyDescent="0.6">
      <c r="EB1113" s="335">
        <v>41360</v>
      </c>
      <c r="EC1113" s="62">
        <v>163.76</v>
      </c>
      <c r="ED1113" s="62">
        <v>1562.849976</v>
      </c>
      <c r="FR1113" s="335"/>
    </row>
    <row r="1114" spans="132:174" x14ac:dyDescent="0.6">
      <c r="EB1114" s="335">
        <v>41359</v>
      </c>
      <c r="EC1114" s="62">
        <v>164.61</v>
      </c>
      <c r="ED1114" s="62">
        <v>1563.7700199999999</v>
      </c>
      <c r="FR1114" s="335"/>
    </row>
    <row r="1115" spans="132:174" x14ac:dyDescent="0.6">
      <c r="EB1115" s="335">
        <v>41358</v>
      </c>
      <c r="EC1115" s="62">
        <v>164.3</v>
      </c>
      <c r="ED1115" s="62">
        <v>1551.6899410000001</v>
      </c>
      <c r="FR1115" s="335"/>
    </row>
    <row r="1116" spans="132:174" x14ac:dyDescent="0.6">
      <c r="EB1116" s="335">
        <v>41355</v>
      </c>
      <c r="EC1116" s="62">
        <v>165.14</v>
      </c>
      <c r="ED1116" s="62">
        <v>1556.8900149999999</v>
      </c>
      <c r="FR1116" s="335"/>
    </row>
    <row r="1117" spans="132:174" x14ac:dyDescent="0.6">
      <c r="EB1117" s="335">
        <v>41354</v>
      </c>
      <c r="EC1117" s="62">
        <v>163.69</v>
      </c>
      <c r="ED1117" s="62">
        <v>1545.8000489999999</v>
      </c>
      <c r="FR1117" s="335"/>
    </row>
    <row r="1118" spans="132:174" x14ac:dyDescent="0.6">
      <c r="EB1118" s="335">
        <v>41353</v>
      </c>
      <c r="EC1118" s="62">
        <v>165.1</v>
      </c>
      <c r="ED1118" s="62">
        <v>1558.709961</v>
      </c>
      <c r="FR1118" s="335"/>
    </row>
    <row r="1119" spans="132:174" x14ac:dyDescent="0.6">
      <c r="EB1119" s="335">
        <v>41352</v>
      </c>
      <c r="EC1119" s="62">
        <v>161.19</v>
      </c>
      <c r="ED1119" s="62">
        <v>1548.339966</v>
      </c>
      <c r="FR1119" s="335"/>
    </row>
    <row r="1120" spans="132:174" x14ac:dyDescent="0.6">
      <c r="EB1120" s="335">
        <v>41351</v>
      </c>
      <c r="EC1120" s="62">
        <v>160.24</v>
      </c>
      <c r="ED1120" s="62">
        <v>1552.099976</v>
      </c>
      <c r="FR1120" s="335"/>
    </row>
    <row r="1121" spans="132:174" x14ac:dyDescent="0.6">
      <c r="EB1121" s="335">
        <v>41348</v>
      </c>
      <c r="EC1121" s="62">
        <v>162.27000000000001</v>
      </c>
      <c r="ED1121" s="62">
        <v>1560.6999510000001</v>
      </c>
      <c r="FR1121" s="335"/>
    </row>
    <row r="1122" spans="132:174" x14ac:dyDescent="0.6">
      <c r="EB1122" s="335">
        <v>41347</v>
      </c>
      <c r="EC1122" s="62">
        <v>165.01</v>
      </c>
      <c r="ED1122" s="62">
        <v>1563.2299800000001</v>
      </c>
      <c r="FR1122" s="335"/>
    </row>
    <row r="1123" spans="132:174" x14ac:dyDescent="0.6">
      <c r="EB1123" s="335">
        <v>41346</v>
      </c>
      <c r="EC1123" s="62">
        <v>165.3</v>
      </c>
      <c r="ED1123" s="62">
        <v>1554.5200199999999</v>
      </c>
      <c r="FR1123" s="335"/>
    </row>
    <row r="1124" spans="132:174" x14ac:dyDescent="0.6">
      <c r="EB1124" s="335">
        <v>41345</v>
      </c>
      <c r="EC1124" s="62">
        <v>164.4</v>
      </c>
      <c r="ED1124" s="62">
        <v>1552.4799800000001</v>
      </c>
      <c r="FR1124" s="335"/>
    </row>
    <row r="1125" spans="132:174" x14ac:dyDescent="0.6">
      <c r="EB1125" s="335">
        <v>41344</v>
      </c>
      <c r="EC1125" s="62">
        <v>164.15</v>
      </c>
      <c r="ED1125" s="62">
        <v>1556.219971</v>
      </c>
      <c r="FR1125" s="335"/>
    </row>
    <row r="1126" spans="132:174" x14ac:dyDescent="0.6">
      <c r="EB1126" s="335">
        <v>41341</v>
      </c>
      <c r="EC1126" s="62">
        <v>165.38</v>
      </c>
      <c r="ED1126" s="62">
        <v>1551.1800539999999</v>
      </c>
      <c r="FR1126" s="335"/>
    </row>
    <row r="1127" spans="132:174" x14ac:dyDescent="0.6">
      <c r="EB1127" s="335">
        <v>41340</v>
      </c>
      <c r="EC1127" s="62">
        <v>164.51</v>
      </c>
      <c r="ED1127" s="62">
        <v>1544.26001</v>
      </c>
      <c r="FR1127" s="335"/>
    </row>
    <row r="1128" spans="132:174" x14ac:dyDescent="0.6">
      <c r="EB1128" s="335">
        <v>41339</v>
      </c>
      <c r="EC1128" s="62">
        <v>164.01</v>
      </c>
      <c r="ED1128" s="62">
        <v>1541.459961</v>
      </c>
      <c r="FR1128" s="335"/>
    </row>
    <row r="1129" spans="132:174" x14ac:dyDescent="0.6">
      <c r="EB1129" s="335">
        <v>41338</v>
      </c>
      <c r="EC1129" s="62">
        <v>162.24</v>
      </c>
      <c r="ED1129" s="62">
        <v>1539.790039</v>
      </c>
      <c r="FR1129" s="335"/>
    </row>
    <row r="1130" spans="132:174" x14ac:dyDescent="0.6">
      <c r="EB1130" s="335">
        <v>41337</v>
      </c>
      <c r="EC1130" s="62">
        <v>161.59</v>
      </c>
      <c r="ED1130" s="62">
        <v>1525.1999510000001</v>
      </c>
      <c r="FR1130" s="335"/>
    </row>
    <row r="1131" spans="132:174" x14ac:dyDescent="0.6">
      <c r="EB1131" s="335">
        <v>41334</v>
      </c>
      <c r="EC1131" s="62">
        <v>160.5</v>
      </c>
      <c r="ED1131" s="62">
        <v>1518.1999510000001</v>
      </c>
      <c r="FR1131" s="335"/>
    </row>
    <row r="1132" spans="132:174" x14ac:dyDescent="0.6">
      <c r="EB1132" s="335">
        <v>41333</v>
      </c>
      <c r="EC1132" s="62">
        <v>160.94999999999999</v>
      </c>
      <c r="ED1132" s="62">
        <v>1514.6800539999999</v>
      </c>
      <c r="FR1132" s="335"/>
    </row>
    <row r="1133" spans="132:174" x14ac:dyDescent="0.6">
      <c r="EB1133" s="335">
        <v>41332</v>
      </c>
      <c r="EC1133" s="62">
        <v>161.53</v>
      </c>
      <c r="ED1133" s="62">
        <v>1515.98999</v>
      </c>
      <c r="FR1133" s="335"/>
    </row>
    <row r="1134" spans="132:174" x14ac:dyDescent="0.6">
      <c r="EB1134" s="335">
        <v>41331</v>
      </c>
      <c r="EC1134" s="62">
        <v>159.04</v>
      </c>
      <c r="ED1134" s="62">
        <v>1496.9399410000001</v>
      </c>
      <c r="FR1134" s="335"/>
    </row>
    <row r="1135" spans="132:174" x14ac:dyDescent="0.6">
      <c r="EB1135" s="335">
        <v>41330</v>
      </c>
      <c r="EC1135" s="62">
        <v>157.47</v>
      </c>
      <c r="ED1135" s="62">
        <v>1487.849976</v>
      </c>
      <c r="FR1135" s="335"/>
    </row>
    <row r="1136" spans="132:174" x14ac:dyDescent="0.6">
      <c r="EB1136" s="335">
        <v>41327</v>
      </c>
      <c r="EC1136" s="62">
        <v>157.16999999999999</v>
      </c>
      <c r="ED1136" s="62">
        <v>1515.599976</v>
      </c>
      <c r="FR1136" s="335"/>
    </row>
    <row r="1137" spans="132:174" x14ac:dyDescent="0.6">
      <c r="EB1137" s="335">
        <v>41326</v>
      </c>
      <c r="EC1137" s="62">
        <v>155.15</v>
      </c>
      <c r="ED1137" s="62">
        <v>1502.420044</v>
      </c>
      <c r="FR1137" s="335"/>
    </row>
    <row r="1138" spans="132:174" x14ac:dyDescent="0.6">
      <c r="EB1138" s="335">
        <v>41325</v>
      </c>
      <c r="EC1138" s="62">
        <v>155</v>
      </c>
      <c r="ED1138" s="62">
        <v>1511.9499510000001</v>
      </c>
      <c r="FR1138" s="335"/>
    </row>
    <row r="1139" spans="132:174" x14ac:dyDescent="0.6">
      <c r="EB1139" s="335">
        <v>41324</v>
      </c>
      <c r="EC1139" s="62">
        <v>157.61000000000001</v>
      </c>
      <c r="ED1139" s="62">
        <v>1530.9399410000001</v>
      </c>
      <c r="FR1139" s="335"/>
    </row>
    <row r="1140" spans="132:174" x14ac:dyDescent="0.6">
      <c r="EB1140" s="335">
        <v>41320</v>
      </c>
      <c r="EC1140" s="62">
        <v>159.34</v>
      </c>
      <c r="ED1140" s="62">
        <v>1519.790039</v>
      </c>
      <c r="FR1140" s="335"/>
    </row>
    <row r="1141" spans="132:174" x14ac:dyDescent="0.6">
      <c r="EB1141" s="335">
        <v>41319</v>
      </c>
      <c r="EC1141" s="62">
        <v>159.96</v>
      </c>
      <c r="ED1141" s="62">
        <v>1521.380005</v>
      </c>
      <c r="FR1141" s="335"/>
    </row>
    <row r="1142" spans="132:174" x14ac:dyDescent="0.6">
      <c r="EB1142" s="335">
        <v>41318</v>
      </c>
      <c r="EC1142" s="62">
        <v>160.63999999999999</v>
      </c>
      <c r="ED1142" s="62">
        <v>1520.329956</v>
      </c>
      <c r="FR1142" s="335"/>
    </row>
    <row r="1143" spans="132:174" x14ac:dyDescent="0.6">
      <c r="EB1143" s="335">
        <v>41317</v>
      </c>
      <c r="EC1143" s="62">
        <v>162.36000000000001</v>
      </c>
      <c r="ED1143" s="62">
        <v>1519.4300539999999</v>
      </c>
      <c r="FR1143" s="335"/>
    </row>
    <row r="1144" spans="132:174" x14ac:dyDescent="0.6">
      <c r="EB1144" s="335">
        <v>41316</v>
      </c>
      <c r="EC1144" s="62">
        <v>163.58000000000001</v>
      </c>
      <c r="ED1144" s="62">
        <v>1517.01001</v>
      </c>
      <c r="FR1144" s="335"/>
    </row>
    <row r="1145" spans="132:174" x14ac:dyDescent="0.6">
      <c r="EB1145" s="335">
        <v>41313</v>
      </c>
      <c r="EC1145" s="62">
        <v>162.9</v>
      </c>
      <c r="ED1145" s="62">
        <v>1517.9300539999999</v>
      </c>
      <c r="FR1145" s="335"/>
    </row>
    <row r="1146" spans="132:174" x14ac:dyDescent="0.6">
      <c r="EB1146" s="335">
        <v>41312</v>
      </c>
      <c r="EC1146" s="62">
        <v>162.43</v>
      </c>
      <c r="ED1146" s="62">
        <v>1509.3900149999999</v>
      </c>
      <c r="FR1146" s="335"/>
    </row>
    <row r="1147" spans="132:174" x14ac:dyDescent="0.6">
      <c r="EB1147" s="335">
        <v>41311</v>
      </c>
      <c r="EC1147" s="62">
        <v>164.27</v>
      </c>
      <c r="ED1147" s="62">
        <v>1512.119995</v>
      </c>
      <c r="FR1147" s="335"/>
    </row>
    <row r="1148" spans="132:174" x14ac:dyDescent="0.6">
      <c r="EB1148" s="335">
        <v>41310</v>
      </c>
      <c r="EC1148" s="62">
        <v>162.97</v>
      </c>
      <c r="ED1148" s="62">
        <v>1511.290039</v>
      </c>
      <c r="FR1148" s="335"/>
    </row>
    <row r="1149" spans="132:174" x14ac:dyDescent="0.6">
      <c r="EB1149" s="335">
        <v>41309</v>
      </c>
      <c r="EC1149" s="62">
        <v>163.4</v>
      </c>
      <c r="ED1149" s="62">
        <v>1495.709961</v>
      </c>
      <c r="FR1149" s="335"/>
    </row>
    <row r="1150" spans="132:174" x14ac:dyDescent="0.6">
      <c r="EB1150" s="335">
        <v>41306</v>
      </c>
      <c r="EC1150" s="62">
        <v>164.15</v>
      </c>
      <c r="ED1150" s="62">
        <v>1513.170044</v>
      </c>
      <c r="FR1150" s="335"/>
    </row>
    <row r="1151" spans="132:174" x14ac:dyDescent="0.6">
      <c r="EB1151" s="335">
        <v>41305</v>
      </c>
      <c r="EC1151" s="62">
        <v>159.81</v>
      </c>
      <c r="ED1151" s="62">
        <v>1498.1099850000001</v>
      </c>
      <c r="FR1151" s="335"/>
    </row>
    <row r="1152" spans="132:174" x14ac:dyDescent="0.6">
      <c r="EB1152" s="335">
        <v>41304</v>
      </c>
      <c r="EC1152" s="62">
        <v>158.19</v>
      </c>
      <c r="ED1152" s="62">
        <v>1501.959961</v>
      </c>
      <c r="FR1152" s="335"/>
    </row>
    <row r="1153" spans="132:174" x14ac:dyDescent="0.6">
      <c r="EB1153" s="335">
        <v>41303</v>
      </c>
      <c r="EC1153" s="62">
        <v>159.19999999999999</v>
      </c>
      <c r="ED1153" s="62">
        <v>1507.839966</v>
      </c>
      <c r="FR1153" s="335"/>
    </row>
    <row r="1154" spans="132:174" x14ac:dyDescent="0.6">
      <c r="EB1154" s="335">
        <v>41302</v>
      </c>
      <c r="EC1154" s="62">
        <v>161.4</v>
      </c>
      <c r="ED1154" s="62">
        <v>1500.1800539999999</v>
      </c>
      <c r="FR1154" s="335"/>
    </row>
    <row r="1155" spans="132:174" x14ac:dyDescent="0.6">
      <c r="EB1155" s="335">
        <v>41299</v>
      </c>
      <c r="EC1155" s="62">
        <v>160.12</v>
      </c>
      <c r="ED1155" s="62">
        <v>1502.959961</v>
      </c>
      <c r="FR1155" s="335"/>
    </row>
    <row r="1156" spans="132:174" x14ac:dyDescent="0.6">
      <c r="EB1156" s="335">
        <v>41298</v>
      </c>
      <c r="EC1156" s="62">
        <v>155.02000000000001</v>
      </c>
      <c r="ED1156" s="62">
        <v>1494.8199460000001</v>
      </c>
      <c r="FR1156" s="335"/>
    </row>
    <row r="1157" spans="132:174" x14ac:dyDescent="0.6">
      <c r="EB1157" s="335">
        <v>41297</v>
      </c>
      <c r="EC1157" s="62">
        <v>160.87</v>
      </c>
      <c r="ED1157" s="62">
        <v>1494.8100589999999</v>
      </c>
      <c r="FR1157" s="335"/>
    </row>
    <row r="1158" spans="132:174" x14ac:dyDescent="0.6">
      <c r="EB1158" s="335">
        <v>41296</v>
      </c>
      <c r="EC1158" s="62">
        <v>163.41999999999999</v>
      </c>
      <c r="ED1158" s="62">
        <v>1492.5600589999999</v>
      </c>
      <c r="FR1158" s="335"/>
    </row>
    <row r="1159" spans="132:174" x14ac:dyDescent="0.6">
      <c r="EB1159" s="335">
        <v>41292</v>
      </c>
      <c r="EC1159" s="62">
        <v>163.51</v>
      </c>
      <c r="ED1159" s="62">
        <v>1485.9799800000001</v>
      </c>
      <c r="FR1159" s="335"/>
    </row>
    <row r="1160" spans="132:174" x14ac:dyDescent="0.6">
      <c r="EB1160" s="335">
        <v>41291</v>
      </c>
      <c r="EC1160" s="62">
        <v>163.4</v>
      </c>
      <c r="ED1160" s="62">
        <v>1480.9399410000001</v>
      </c>
      <c r="FR1160" s="335"/>
    </row>
    <row r="1161" spans="132:174" x14ac:dyDescent="0.6">
      <c r="EB1161" s="335">
        <v>41290</v>
      </c>
      <c r="EC1161" s="62">
        <v>162.56</v>
      </c>
      <c r="ED1161" s="62">
        <v>1472.630005</v>
      </c>
      <c r="FR1161" s="335"/>
    </row>
    <row r="1162" spans="132:174" x14ac:dyDescent="0.6">
      <c r="EB1162" s="335">
        <v>41289</v>
      </c>
      <c r="EC1162" s="62">
        <v>164.21</v>
      </c>
      <c r="ED1162" s="62">
        <v>1472.339966</v>
      </c>
      <c r="FR1162" s="335"/>
    </row>
    <row r="1163" spans="132:174" x14ac:dyDescent="0.6">
      <c r="EB1163" s="335">
        <v>41288</v>
      </c>
      <c r="EC1163" s="62">
        <v>163.43</v>
      </c>
      <c r="ED1163" s="62">
        <v>1470.6800539999999</v>
      </c>
      <c r="FR1163" s="335"/>
    </row>
    <row r="1164" spans="132:174" x14ac:dyDescent="0.6">
      <c r="EB1164" s="335">
        <v>41285</v>
      </c>
      <c r="EC1164" s="62">
        <v>162.96</v>
      </c>
      <c r="ED1164" s="62">
        <v>1472.0500489999999</v>
      </c>
      <c r="FR1164" s="335"/>
    </row>
    <row r="1165" spans="132:174" x14ac:dyDescent="0.6">
      <c r="EB1165" s="335">
        <v>41284</v>
      </c>
      <c r="EC1165" s="62">
        <v>166.53</v>
      </c>
      <c r="ED1165" s="62">
        <v>1472.119995</v>
      </c>
      <c r="FR1165" s="335"/>
    </row>
    <row r="1166" spans="132:174" x14ac:dyDescent="0.6">
      <c r="EB1166" s="335">
        <v>41283</v>
      </c>
      <c r="EC1166" s="62">
        <v>166.06</v>
      </c>
      <c r="ED1166" s="62">
        <v>1461.0200199999999</v>
      </c>
      <c r="FR1166" s="335"/>
    </row>
    <row r="1167" spans="132:174" x14ac:dyDescent="0.6">
      <c r="EB1167" s="335">
        <v>41282</v>
      </c>
      <c r="EC1167" s="62">
        <v>164.27</v>
      </c>
      <c r="ED1167" s="62">
        <v>1457.150024</v>
      </c>
      <c r="FR1167" s="335"/>
    </row>
    <row r="1168" spans="132:174" x14ac:dyDescent="0.6">
      <c r="EB1168" s="335">
        <v>41281</v>
      </c>
      <c r="EC1168" s="62">
        <v>164.89</v>
      </c>
      <c r="ED1168" s="62">
        <v>1461.8900149999999</v>
      </c>
      <c r="FR1168" s="335"/>
    </row>
    <row r="1169" spans="132:174" x14ac:dyDescent="0.6">
      <c r="EB1169" s="335">
        <v>41278</v>
      </c>
      <c r="EC1169" s="62">
        <v>163.85</v>
      </c>
      <c r="ED1169" s="62">
        <v>1466.469971</v>
      </c>
      <c r="FR1169" s="335"/>
    </row>
    <row r="1170" spans="132:174" x14ac:dyDescent="0.6">
      <c r="EB1170" s="335">
        <v>41277</v>
      </c>
      <c r="EC1170" s="62">
        <v>163.04</v>
      </c>
      <c r="ED1170" s="62">
        <v>1459.369995</v>
      </c>
      <c r="FR1170" s="335"/>
    </row>
    <row r="1171" spans="132:174" x14ac:dyDescent="0.6">
      <c r="EB1171" s="335">
        <v>41276</v>
      </c>
      <c r="EC1171" s="62">
        <v>162.19</v>
      </c>
      <c r="ED1171" s="62">
        <v>1462.420044</v>
      </c>
      <c r="FR1171" s="335"/>
    </row>
    <row r="1172" spans="132:174" x14ac:dyDescent="0.6">
      <c r="EB1172" s="335">
        <v>41274</v>
      </c>
      <c r="EC1172" s="62">
        <v>158.83000000000001</v>
      </c>
      <c r="ED1172" s="62">
        <v>1426.1899410000001</v>
      </c>
      <c r="FR1172" s="335"/>
    </row>
    <row r="1173" spans="132:174" x14ac:dyDescent="0.6">
      <c r="EB1173" s="335">
        <v>41271</v>
      </c>
      <c r="EC1173" s="62">
        <v>156.81</v>
      </c>
      <c r="ED1173" s="62">
        <v>1402.4300539999999</v>
      </c>
      <c r="FR1173" s="335"/>
    </row>
    <row r="1174" spans="132:174" x14ac:dyDescent="0.6">
      <c r="EB1174" s="335">
        <v>41270</v>
      </c>
      <c r="EC1174" s="62">
        <v>156.97999999999999</v>
      </c>
      <c r="ED1174" s="62">
        <v>1418.099976</v>
      </c>
      <c r="FR1174" s="335"/>
    </row>
    <row r="1175" spans="132:174" x14ac:dyDescent="0.6">
      <c r="EB1175" s="335">
        <v>41269</v>
      </c>
      <c r="EC1175" s="62">
        <v>156.30000000000001</v>
      </c>
      <c r="ED1175" s="62">
        <v>1419.829956</v>
      </c>
      <c r="FR1175" s="335"/>
    </row>
    <row r="1176" spans="132:174" x14ac:dyDescent="0.6">
      <c r="EB1176" s="335">
        <v>41267</v>
      </c>
      <c r="EC1176" s="62">
        <v>158.34</v>
      </c>
      <c r="ED1176" s="62">
        <v>1426.660034</v>
      </c>
      <c r="FR1176" s="335"/>
    </row>
    <row r="1177" spans="132:174" x14ac:dyDescent="0.6">
      <c r="EB1177" s="335">
        <v>41264</v>
      </c>
      <c r="EC1177" s="62">
        <v>158.16999999999999</v>
      </c>
      <c r="ED1177" s="62">
        <v>1430.150024</v>
      </c>
      <c r="FR1177" s="335"/>
    </row>
    <row r="1178" spans="132:174" x14ac:dyDescent="0.6">
      <c r="EB1178" s="335">
        <v>41263</v>
      </c>
      <c r="EC1178" s="62">
        <v>166.24</v>
      </c>
      <c r="ED1178" s="62">
        <v>1443.6899410000001</v>
      </c>
      <c r="FR1178" s="335"/>
    </row>
    <row r="1179" spans="132:174" x14ac:dyDescent="0.6">
      <c r="EB1179" s="335">
        <v>41262</v>
      </c>
      <c r="EC1179" s="62">
        <v>167.62</v>
      </c>
      <c r="ED1179" s="62">
        <v>1435.8100589999999</v>
      </c>
      <c r="FR1179" s="335"/>
    </row>
    <row r="1180" spans="132:174" x14ac:dyDescent="0.6">
      <c r="EB1180" s="335">
        <v>41261</v>
      </c>
      <c r="EC1180" s="62">
        <v>166.00700000000001</v>
      </c>
      <c r="ED1180" s="62">
        <v>1446.790039</v>
      </c>
      <c r="FR1180" s="335"/>
    </row>
    <row r="1181" spans="132:174" x14ac:dyDescent="0.6">
      <c r="EB1181" s="335">
        <v>41260</v>
      </c>
      <c r="EC1181" s="62">
        <v>160.52000000000001</v>
      </c>
      <c r="ED1181" s="62">
        <v>1430.3599850000001</v>
      </c>
      <c r="FR1181" s="335"/>
    </row>
    <row r="1182" spans="132:174" x14ac:dyDescent="0.6">
      <c r="EB1182" s="335">
        <v>41257</v>
      </c>
      <c r="EC1182" s="62">
        <v>158.18</v>
      </c>
      <c r="ED1182" s="62">
        <v>1413.579956</v>
      </c>
      <c r="FR1182" s="335"/>
    </row>
    <row r="1183" spans="132:174" x14ac:dyDescent="0.6">
      <c r="EB1183" s="335">
        <v>41256</v>
      </c>
      <c r="EC1183" s="62">
        <v>158.86000000000001</v>
      </c>
      <c r="ED1183" s="62">
        <v>1419.4499510000001</v>
      </c>
      <c r="FR1183" s="335"/>
    </row>
    <row r="1184" spans="132:174" x14ac:dyDescent="0.6">
      <c r="EB1184" s="335">
        <v>41255</v>
      </c>
      <c r="EC1184" s="62">
        <v>158.77000000000001</v>
      </c>
      <c r="ED1184" s="62">
        <v>1428.4799800000001</v>
      </c>
      <c r="FR1184" s="335"/>
    </row>
    <row r="1185" spans="132:174" x14ac:dyDescent="0.6">
      <c r="EB1185" s="335">
        <v>41254</v>
      </c>
      <c r="EC1185" s="62">
        <v>160.04</v>
      </c>
      <c r="ED1185" s="62">
        <v>1427.839966</v>
      </c>
      <c r="FR1185" s="335"/>
    </row>
    <row r="1186" spans="132:174" x14ac:dyDescent="0.6">
      <c r="EB1186" s="335">
        <v>41253</v>
      </c>
      <c r="EC1186" s="62">
        <v>158.71</v>
      </c>
      <c r="ED1186" s="62">
        <v>1418.5500489999999</v>
      </c>
      <c r="FR1186" s="335"/>
    </row>
    <row r="1187" spans="132:174" x14ac:dyDescent="0.6">
      <c r="EB1187" s="335">
        <v>41250</v>
      </c>
      <c r="EC1187" s="62">
        <v>158.47</v>
      </c>
      <c r="ED1187" s="62">
        <v>1418.0699460000001</v>
      </c>
      <c r="FR1187" s="335"/>
    </row>
    <row r="1188" spans="132:174" x14ac:dyDescent="0.6">
      <c r="EB1188" s="335">
        <v>41249</v>
      </c>
      <c r="EC1188" s="62">
        <v>156.90600000000001</v>
      </c>
      <c r="ED1188" s="62">
        <v>1413.9399410000001</v>
      </c>
      <c r="FR1188" s="335"/>
    </row>
    <row r="1189" spans="132:174" x14ac:dyDescent="0.6">
      <c r="EB1189" s="335">
        <v>41248</v>
      </c>
      <c r="EC1189" s="62">
        <v>156.63999999999999</v>
      </c>
      <c r="ED1189" s="62">
        <v>1409.280029</v>
      </c>
      <c r="FR1189" s="335"/>
    </row>
    <row r="1190" spans="132:174" x14ac:dyDescent="0.6">
      <c r="EB1190" s="335">
        <v>41247</v>
      </c>
      <c r="EC1190" s="62">
        <v>157.79</v>
      </c>
      <c r="ED1190" s="62">
        <v>1407.0500489999999</v>
      </c>
      <c r="FR1190" s="335"/>
    </row>
    <row r="1191" spans="132:174" x14ac:dyDescent="0.6">
      <c r="EB1191" s="335">
        <v>41246</v>
      </c>
      <c r="EC1191" s="62">
        <v>159.22999999999999</v>
      </c>
      <c r="ED1191" s="62">
        <v>1409.459961</v>
      </c>
      <c r="FR1191" s="335"/>
    </row>
    <row r="1192" spans="132:174" x14ac:dyDescent="0.6">
      <c r="EB1192" s="335">
        <v>41243</v>
      </c>
      <c r="EC1192" s="62">
        <v>160.5</v>
      </c>
      <c r="ED1192" s="62">
        <v>1416.1800539999999</v>
      </c>
      <c r="FR1192" s="335"/>
    </row>
    <row r="1193" spans="132:174" x14ac:dyDescent="0.6">
      <c r="EB1193" s="335">
        <v>41242</v>
      </c>
      <c r="EC1193" s="62">
        <v>162</v>
      </c>
      <c r="ED1193" s="62">
        <v>1415.9499510000001</v>
      </c>
      <c r="FR1193" s="335"/>
    </row>
    <row r="1194" spans="132:174" x14ac:dyDescent="0.6">
      <c r="EB1194" s="335">
        <v>41241</v>
      </c>
      <c r="EC1194" s="62">
        <v>163.01</v>
      </c>
      <c r="ED1194" s="62">
        <v>1409.9300539999999</v>
      </c>
      <c r="FR1194" s="335"/>
    </row>
    <row r="1195" spans="132:174" x14ac:dyDescent="0.6">
      <c r="EB1195" s="335">
        <v>41240</v>
      </c>
      <c r="EC1195" s="62">
        <v>160.57</v>
      </c>
      <c r="ED1195" s="62">
        <v>1398.9399410000001</v>
      </c>
      <c r="FR1195" s="335"/>
    </row>
    <row r="1196" spans="132:174" x14ac:dyDescent="0.6">
      <c r="EB1196" s="335">
        <v>41239</v>
      </c>
      <c r="EC1196" s="62">
        <v>161.91</v>
      </c>
      <c r="ED1196" s="62">
        <v>1406.290039</v>
      </c>
      <c r="FR1196" s="335"/>
    </row>
    <row r="1197" spans="132:174" x14ac:dyDescent="0.6">
      <c r="EB1197" s="335">
        <v>41236</v>
      </c>
      <c r="EC1197" s="62">
        <v>162.84</v>
      </c>
      <c r="ED1197" s="62">
        <v>1409.150024</v>
      </c>
      <c r="FR1197" s="335"/>
    </row>
    <row r="1198" spans="132:174" x14ac:dyDescent="0.6">
      <c r="EB1198" s="335">
        <v>41234</v>
      </c>
      <c r="EC1198" s="62">
        <v>161.28</v>
      </c>
      <c r="ED1198" s="62">
        <v>1391.030029</v>
      </c>
      <c r="FR1198" s="335"/>
    </row>
    <row r="1199" spans="132:174" x14ac:dyDescent="0.6">
      <c r="EB1199" s="335">
        <v>41233</v>
      </c>
      <c r="EC1199" s="62">
        <v>162.52000000000001</v>
      </c>
      <c r="ED1199" s="62">
        <v>1387.8100589999999</v>
      </c>
      <c r="FR1199" s="335"/>
    </row>
    <row r="1200" spans="132:174" x14ac:dyDescent="0.6">
      <c r="EB1200" s="335">
        <v>41232</v>
      </c>
      <c r="EC1200" s="62">
        <v>163.46</v>
      </c>
      <c r="ED1200" s="62">
        <v>1386.8900149999999</v>
      </c>
      <c r="FR1200" s="335"/>
    </row>
    <row r="1201" spans="132:174" x14ac:dyDescent="0.6">
      <c r="EB1201" s="335">
        <v>41229</v>
      </c>
      <c r="EC1201" s="62">
        <v>159.53</v>
      </c>
      <c r="ED1201" s="62">
        <v>1359.880005</v>
      </c>
      <c r="FR1201" s="335"/>
    </row>
    <row r="1202" spans="132:174" x14ac:dyDescent="0.6">
      <c r="EB1202" s="335">
        <v>41228</v>
      </c>
      <c r="EC1202" s="62">
        <v>158.41999999999999</v>
      </c>
      <c r="ED1202" s="62">
        <v>1353.329956</v>
      </c>
      <c r="FR1202" s="335"/>
    </row>
    <row r="1203" spans="132:174" x14ac:dyDescent="0.6">
      <c r="EB1203" s="335">
        <v>41227</v>
      </c>
      <c r="EC1203" s="62">
        <v>159.54</v>
      </c>
      <c r="ED1203" s="62">
        <v>1355.48999</v>
      </c>
      <c r="FR1203" s="335"/>
    </row>
    <row r="1204" spans="132:174" x14ac:dyDescent="0.6">
      <c r="EB1204" s="335">
        <v>41226</v>
      </c>
      <c r="EC1204" s="62">
        <v>164.79</v>
      </c>
      <c r="ED1204" s="62">
        <v>1374.530029</v>
      </c>
      <c r="FR1204" s="335"/>
    </row>
    <row r="1205" spans="132:174" x14ac:dyDescent="0.6">
      <c r="EB1205" s="335">
        <v>41225</v>
      </c>
      <c r="EC1205" s="62">
        <v>163.83000000000001</v>
      </c>
      <c r="ED1205" s="62">
        <v>1380.030029</v>
      </c>
      <c r="FR1205" s="335"/>
    </row>
    <row r="1206" spans="132:174" x14ac:dyDescent="0.6">
      <c r="EB1206" s="335">
        <v>41222</v>
      </c>
      <c r="EC1206" s="62">
        <v>163.85</v>
      </c>
      <c r="ED1206" s="62">
        <v>1379.849976</v>
      </c>
      <c r="FR1206" s="335"/>
    </row>
    <row r="1207" spans="132:174" x14ac:dyDescent="0.6">
      <c r="EB1207" s="335">
        <v>41221</v>
      </c>
      <c r="EC1207" s="62">
        <v>164.41</v>
      </c>
      <c r="ED1207" s="62">
        <v>1377.51001</v>
      </c>
      <c r="FR1207" s="335"/>
    </row>
    <row r="1208" spans="132:174" x14ac:dyDescent="0.6">
      <c r="EB1208" s="335">
        <v>41220</v>
      </c>
      <c r="EC1208" s="62">
        <v>166.82</v>
      </c>
      <c r="ED1208" s="62">
        <v>1394.530029</v>
      </c>
      <c r="FR1208" s="335"/>
    </row>
    <row r="1209" spans="132:174" x14ac:dyDescent="0.6">
      <c r="EB1209" s="335">
        <v>41219</v>
      </c>
      <c r="EC1209" s="62">
        <v>169.39</v>
      </c>
      <c r="ED1209" s="62">
        <v>1428.3900149999999</v>
      </c>
      <c r="FR1209" s="335"/>
    </row>
    <row r="1210" spans="132:174" x14ac:dyDescent="0.6">
      <c r="EB1210" s="335">
        <v>41218</v>
      </c>
      <c r="EC1210" s="62">
        <v>167.99</v>
      </c>
      <c r="ED1210" s="62">
        <v>1417.26001</v>
      </c>
      <c r="FR1210" s="335"/>
    </row>
    <row r="1211" spans="132:174" x14ac:dyDescent="0.6">
      <c r="EB1211" s="335">
        <v>41214</v>
      </c>
      <c r="EC1211" s="62">
        <v>167.06</v>
      </c>
      <c r="ED1211" s="62">
        <v>1427.589966</v>
      </c>
      <c r="FR1211" s="335"/>
    </row>
    <row r="1212" spans="132:174" x14ac:dyDescent="0.6">
      <c r="EB1212" s="335">
        <v>41213</v>
      </c>
      <c r="EC1212" s="62">
        <v>168.64</v>
      </c>
      <c r="ED1212" s="62">
        <v>1412.160034</v>
      </c>
      <c r="FR1212" s="335"/>
    </row>
    <row r="1213" spans="132:174" x14ac:dyDescent="0.6">
      <c r="EB1213" s="335">
        <v>41208</v>
      </c>
      <c r="EC1213" s="62">
        <v>169.48</v>
      </c>
      <c r="ED1213" s="62">
        <v>1411.9399410000001</v>
      </c>
      <c r="FR1213" s="335"/>
    </row>
    <row r="1214" spans="132:174" x14ac:dyDescent="0.6">
      <c r="EB1214" s="335">
        <v>41207</v>
      </c>
      <c r="EC1214" s="62">
        <v>166.5</v>
      </c>
      <c r="ED1214" s="62">
        <v>1412.969971</v>
      </c>
      <c r="FR1214" s="335"/>
    </row>
    <row r="1215" spans="132:174" x14ac:dyDescent="0.6">
      <c r="EB1215" s="335">
        <v>41206</v>
      </c>
      <c r="EC1215" s="62">
        <v>168.43</v>
      </c>
      <c r="ED1215" s="62">
        <v>1408.75</v>
      </c>
      <c r="FR1215" s="335"/>
    </row>
    <row r="1216" spans="132:174" x14ac:dyDescent="0.6">
      <c r="EB1216" s="335">
        <v>41205</v>
      </c>
      <c r="EC1216" s="62">
        <v>160.34</v>
      </c>
      <c r="ED1216" s="62">
        <v>1413.1099850000001</v>
      </c>
      <c r="FR1216" s="335"/>
    </row>
    <row r="1217" spans="132:174" x14ac:dyDescent="0.6">
      <c r="EB1217" s="335">
        <v>41204</v>
      </c>
      <c r="EC1217" s="62">
        <v>161.71</v>
      </c>
      <c r="ED1217" s="62">
        <v>1433.8199460000001</v>
      </c>
      <c r="FR1217" s="335"/>
    </row>
    <row r="1218" spans="132:174" x14ac:dyDescent="0.6">
      <c r="EB1218" s="335">
        <v>41201</v>
      </c>
      <c r="EC1218" s="62">
        <v>161.85</v>
      </c>
      <c r="ED1218" s="62">
        <v>1433.1899410000001</v>
      </c>
      <c r="FR1218" s="335"/>
    </row>
    <row r="1219" spans="132:174" x14ac:dyDescent="0.6">
      <c r="EB1219" s="335">
        <v>41200</v>
      </c>
      <c r="EC1219" s="62">
        <v>169.541</v>
      </c>
      <c r="ED1219" s="62">
        <v>1457.339966</v>
      </c>
      <c r="FR1219" s="335"/>
    </row>
    <row r="1220" spans="132:174" x14ac:dyDescent="0.6">
      <c r="EB1220" s="335">
        <v>41199</v>
      </c>
      <c r="EC1220" s="62">
        <v>168.75</v>
      </c>
      <c r="ED1220" s="62">
        <v>1460.910034</v>
      </c>
      <c r="FR1220" s="335"/>
    </row>
    <row r="1221" spans="132:174" x14ac:dyDescent="0.6">
      <c r="EB1221" s="335">
        <v>41198</v>
      </c>
      <c r="EC1221" s="62">
        <v>170.59</v>
      </c>
      <c r="ED1221" s="62">
        <v>1454.920044</v>
      </c>
      <c r="FR1221" s="335"/>
    </row>
    <row r="1222" spans="132:174" x14ac:dyDescent="0.6">
      <c r="EB1222" s="335">
        <v>41197</v>
      </c>
      <c r="EC1222" s="62">
        <v>169.1</v>
      </c>
      <c r="ED1222" s="62">
        <v>1440.130005</v>
      </c>
      <c r="FR1222" s="335"/>
    </row>
    <row r="1223" spans="132:174" x14ac:dyDescent="0.6">
      <c r="EB1223" s="335">
        <v>41194</v>
      </c>
      <c r="EC1223" s="62">
        <v>167.95</v>
      </c>
      <c r="ED1223" s="62">
        <v>1428.589966</v>
      </c>
      <c r="FR1223" s="335"/>
    </row>
    <row r="1224" spans="132:174" x14ac:dyDescent="0.6">
      <c r="EB1224" s="335">
        <v>41193</v>
      </c>
      <c r="EC1224" s="62">
        <v>166.82</v>
      </c>
      <c r="ED1224" s="62">
        <v>1432.839966</v>
      </c>
      <c r="FR1224" s="335"/>
    </row>
    <row r="1225" spans="132:174" x14ac:dyDescent="0.6">
      <c r="EB1225" s="335">
        <v>41192</v>
      </c>
      <c r="EC1225" s="62">
        <v>165.54</v>
      </c>
      <c r="ED1225" s="62">
        <v>1432.5600589999999</v>
      </c>
      <c r="FR1225" s="335"/>
    </row>
    <row r="1226" spans="132:174" x14ac:dyDescent="0.6">
      <c r="EB1226" s="335">
        <v>41191</v>
      </c>
      <c r="EC1226" s="62">
        <v>164.82</v>
      </c>
      <c r="ED1226" s="62">
        <v>1441.4799800000001</v>
      </c>
      <c r="FR1226" s="335"/>
    </row>
    <row r="1227" spans="132:174" x14ac:dyDescent="0.6">
      <c r="EB1227" s="335">
        <v>41190</v>
      </c>
      <c r="EC1227" s="62">
        <v>166.89</v>
      </c>
      <c r="ED1227" s="62">
        <v>1455.880005</v>
      </c>
      <c r="FR1227" s="335"/>
    </row>
    <row r="1228" spans="132:174" x14ac:dyDescent="0.6">
      <c r="EB1228" s="335">
        <v>41187</v>
      </c>
      <c r="EC1228" s="62">
        <v>169.39</v>
      </c>
      <c r="ED1228" s="62">
        <v>1460.9300539999999</v>
      </c>
      <c r="FR1228" s="335"/>
    </row>
    <row r="1229" spans="132:174" x14ac:dyDescent="0.6">
      <c r="EB1229" s="335">
        <v>41186</v>
      </c>
      <c r="EC1229" s="62">
        <v>173.1</v>
      </c>
      <c r="ED1229" s="62">
        <v>1461.400024</v>
      </c>
      <c r="FR1229" s="335"/>
    </row>
    <row r="1230" spans="132:174" x14ac:dyDescent="0.6">
      <c r="EB1230" s="335">
        <v>41185</v>
      </c>
      <c r="EC1230" s="62">
        <v>173.09</v>
      </c>
      <c r="ED1230" s="62">
        <v>1450.98999</v>
      </c>
      <c r="FR1230" s="335"/>
    </row>
    <row r="1231" spans="132:174" x14ac:dyDescent="0.6">
      <c r="EB1231" s="335">
        <v>41184</v>
      </c>
      <c r="EC1231" s="62">
        <v>172.61</v>
      </c>
      <c r="ED1231" s="62">
        <v>1445.75</v>
      </c>
      <c r="FR1231" s="335"/>
    </row>
    <row r="1232" spans="132:174" x14ac:dyDescent="0.6">
      <c r="EB1232" s="335">
        <v>41183</v>
      </c>
      <c r="EC1232" s="62">
        <v>171.41</v>
      </c>
      <c r="ED1232" s="62">
        <v>1444.48999</v>
      </c>
      <c r="FR1232" s="335"/>
    </row>
    <row r="1233" spans="132:174" x14ac:dyDescent="0.6">
      <c r="EB1233" s="335">
        <v>41180</v>
      </c>
      <c r="EC1233" s="62">
        <v>170.89</v>
      </c>
      <c r="ED1233" s="62">
        <v>1440.670044</v>
      </c>
      <c r="FR1233" s="335"/>
    </row>
    <row r="1234" spans="132:174" x14ac:dyDescent="0.6">
      <c r="EB1234" s="335">
        <v>41179</v>
      </c>
      <c r="EC1234" s="62">
        <v>170.44</v>
      </c>
      <c r="ED1234" s="62">
        <v>1447.150024</v>
      </c>
      <c r="FR1234" s="335"/>
    </row>
    <row r="1235" spans="132:174" x14ac:dyDescent="0.6">
      <c r="EB1235" s="335">
        <v>41178</v>
      </c>
      <c r="EC1235" s="62">
        <v>169.03</v>
      </c>
      <c r="ED1235" s="62">
        <v>1433.3199460000001</v>
      </c>
      <c r="FR1235" s="335"/>
    </row>
    <row r="1236" spans="132:174" x14ac:dyDescent="0.6">
      <c r="EB1236" s="335">
        <v>41177</v>
      </c>
      <c r="EC1236" s="62">
        <v>171.37</v>
      </c>
      <c r="ED1236" s="62">
        <v>1441.589966</v>
      </c>
      <c r="FR1236" s="335"/>
    </row>
    <row r="1237" spans="132:174" x14ac:dyDescent="0.6">
      <c r="EB1237" s="335">
        <v>41176</v>
      </c>
      <c r="EC1237" s="62">
        <v>172.85</v>
      </c>
      <c r="ED1237" s="62">
        <v>1456.8900149999999</v>
      </c>
      <c r="FR1237" s="335"/>
    </row>
    <row r="1238" spans="132:174" x14ac:dyDescent="0.6">
      <c r="EB1238" s="335">
        <v>41173</v>
      </c>
      <c r="EC1238" s="62">
        <v>170.09</v>
      </c>
      <c r="ED1238" s="62">
        <v>1460.150024</v>
      </c>
      <c r="FR1238" s="335"/>
    </row>
    <row r="1239" spans="132:174" x14ac:dyDescent="0.6">
      <c r="EB1239" s="335">
        <v>41172</v>
      </c>
      <c r="EC1239" s="62">
        <v>172.44</v>
      </c>
      <c r="ED1239" s="62">
        <v>1460.26001</v>
      </c>
      <c r="FR1239" s="335"/>
    </row>
    <row r="1240" spans="132:174" x14ac:dyDescent="0.6">
      <c r="EB1240" s="335">
        <v>41171</v>
      </c>
      <c r="EC1240" s="62">
        <v>172.18</v>
      </c>
      <c r="ED1240" s="62">
        <v>1461.0500489999999</v>
      </c>
      <c r="FR1240" s="335"/>
    </row>
    <row r="1241" spans="132:174" x14ac:dyDescent="0.6">
      <c r="EB1241" s="335">
        <v>41170</v>
      </c>
      <c r="EC1241" s="62">
        <v>171.38</v>
      </c>
      <c r="ED1241" s="62">
        <v>1459.3199460000001</v>
      </c>
      <c r="FR1241" s="335"/>
    </row>
    <row r="1242" spans="132:174" x14ac:dyDescent="0.6">
      <c r="EB1242" s="335">
        <v>41169</v>
      </c>
      <c r="EC1242" s="62">
        <v>172.81</v>
      </c>
      <c r="ED1242" s="62">
        <v>1461.1899410000001</v>
      </c>
      <c r="FR1242" s="335"/>
    </row>
    <row r="1243" spans="132:174" x14ac:dyDescent="0.6">
      <c r="EB1243" s="335">
        <v>41166</v>
      </c>
      <c r="EC1243" s="62">
        <v>170.49</v>
      </c>
      <c r="ED1243" s="62">
        <v>1465.7700199999999</v>
      </c>
      <c r="FR1243" s="335"/>
    </row>
    <row r="1244" spans="132:174" x14ac:dyDescent="0.6">
      <c r="EB1244" s="335">
        <v>41165</v>
      </c>
      <c r="EC1244" s="62">
        <v>168.18</v>
      </c>
      <c r="ED1244" s="62">
        <v>1459.98999</v>
      </c>
      <c r="FR1244" s="335"/>
    </row>
    <row r="1245" spans="132:174" x14ac:dyDescent="0.6">
      <c r="EB1245" s="335">
        <v>41164</v>
      </c>
      <c r="EC1245" s="62">
        <v>166.53</v>
      </c>
      <c r="ED1245" s="62">
        <v>1436.5600589999999</v>
      </c>
      <c r="FR1245" s="335"/>
    </row>
    <row r="1246" spans="132:174" x14ac:dyDescent="0.6">
      <c r="EB1246" s="335">
        <v>41163</v>
      </c>
      <c r="EC1246" s="62">
        <v>159.49</v>
      </c>
      <c r="ED1246" s="62">
        <v>1433.5600589999999</v>
      </c>
      <c r="FR1246" s="335"/>
    </row>
    <row r="1247" spans="132:174" x14ac:dyDescent="0.6">
      <c r="EB1247" s="335">
        <v>41162</v>
      </c>
      <c r="EC1247" s="62">
        <v>159.54</v>
      </c>
      <c r="ED1247" s="62">
        <v>1429.079956</v>
      </c>
      <c r="FR1247" s="335"/>
    </row>
    <row r="1248" spans="132:174" x14ac:dyDescent="0.6">
      <c r="EB1248" s="335">
        <v>41159</v>
      </c>
      <c r="EC1248" s="62">
        <v>157.38999999999999</v>
      </c>
      <c r="ED1248" s="62">
        <v>1437.920044</v>
      </c>
      <c r="FR1248" s="335"/>
    </row>
    <row r="1249" spans="132:174" x14ac:dyDescent="0.6">
      <c r="EB1249" s="335">
        <v>41158</v>
      </c>
      <c r="EC1249" s="62">
        <v>155.36000000000001</v>
      </c>
      <c r="ED1249" s="62">
        <v>1432.119995</v>
      </c>
      <c r="FR1249" s="335"/>
    </row>
    <row r="1250" spans="132:174" x14ac:dyDescent="0.6">
      <c r="EB1250" s="335">
        <v>41157</v>
      </c>
      <c r="EC1250" s="62">
        <v>153</v>
      </c>
      <c r="ED1250" s="62">
        <v>1403.4399410000001</v>
      </c>
      <c r="FR1250" s="335"/>
    </row>
    <row r="1251" spans="132:174" x14ac:dyDescent="0.6">
      <c r="EB1251" s="335">
        <v>41156</v>
      </c>
      <c r="EC1251" s="62">
        <v>154.76</v>
      </c>
      <c r="ED1251" s="62">
        <v>1404.9399410000001</v>
      </c>
      <c r="FR1251" s="335"/>
    </row>
    <row r="1252" spans="132:174" x14ac:dyDescent="0.6">
      <c r="EB1252" s="335">
        <v>41152</v>
      </c>
      <c r="EC1252" s="62">
        <v>154.9</v>
      </c>
      <c r="ED1252" s="62">
        <v>1406.579956</v>
      </c>
      <c r="FR1252" s="335"/>
    </row>
    <row r="1253" spans="132:174" x14ac:dyDescent="0.6">
      <c r="EB1253" s="335">
        <v>41151</v>
      </c>
      <c r="EC1253" s="62">
        <v>157.06</v>
      </c>
      <c r="ED1253" s="62">
        <v>1399.4799800000001</v>
      </c>
      <c r="FR1253" s="335"/>
    </row>
    <row r="1254" spans="132:174" x14ac:dyDescent="0.6">
      <c r="EB1254" s="335">
        <v>41150</v>
      </c>
      <c r="EC1254" s="62">
        <v>157.57</v>
      </c>
      <c r="ED1254" s="62">
        <v>1410.48999</v>
      </c>
      <c r="FR1254" s="335"/>
    </row>
    <row r="1255" spans="132:174" x14ac:dyDescent="0.6">
      <c r="EB1255" s="335">
        <v>41149</v>
      </c>
      <c r="EC1255" s="62">
        <v>156.53</v>
      </c>
      <c r="ED1255" s="62">
        <v>1409.3000489999999</v>
      </c>
      <c r="FR1255" s="335"/>
    </row>
    <row r="1256" spans="132:174" x14ac:dyDescent="0.6">
      <c r="EB1256" s="335">
        <v>41148</v>
      </c>
      <c r="EC1256" s="62">
        <v>154.54</v>
      </c>
      <c r="ED1256" s="62">
        <v>1410.4399410000001</v>
      </c>
      <c r="FR1256" s="335"/>
    </row>
    <row r="1257" spans="132:174" x14ac:dyDescent="0.6">
      <c r="EB1257" s="335">
        <v>41145</v>
      </c>
      <c r="EC1257" s="62">
        <v>154.06</v>
      </c>
      <c r="ED1257" s="62">
        <v>1411.130005</v>
      </c>
      <c r="FR1257" s="335"/>
    </row>
    <row r="1258" spans="132:174" x14ac:dyDescent="0.6">
      <c r="EB1258" s="335">
        <v>41144</v>
      </c>
      <c r="EC1258" s="62">
        <v>152.41999999999999</v>
      </c>
      <c r="ED1258" s="62">
        <v>1402.079956</v>
      </c>
      <c r="FR1258" s="335"/>
    </row>
    <row r="1259" spans="132:174" x14ac:dyDescent="0.6">
      <c r="EB1259" s="335">
        <v>41143</v>
      </c>
      <c r="EC1259" s="62">
        <v>154.1</v>
      </c>
      <c r="ED1259" s="62">
        <v>1413.48999</v>
      </c>
      <c r="FR1259" s="335"/>
    </row>
    <row r="1260" spans="132:174" x14ac:dyDescent="0.6">
      <c r="EB1260" s="335">
        <v>41142</v>
      </c>
      <c r="EC1260" s="62">
        <v>154.37</v>
      </c>
      <c r="ED1260" s="62">
        <v>1413.170044</v>
      </c>
      <c r="FR1260" s="335"/>
    </row>
    <row r="1261" spans="132:174" x14ac:dyDescent="0.6">
      <c r="EB1261" s="335">
        <v>41141</v>
      </c>
      <c r="EC1261" s="62">
        <v>156.33000000000001</v>
      </c>
      <c r="ED1261" s="62">
        <v>1418.130005</v>
      </c>
      <c r="FR1261" s="335"/>
    </row>
    <row r="1262" spans="132:174" x14ac:dyDescent="0.6">
      <c r="EB1262" s="335">
        <v>41138</v>
      </c>
      <c r="EC1262" s="62">
        <v>156.94999999999999</v>
      </c>
      <c r="ED1262" s="62">
        <v>1418.160034</v>
      </c>
      <c r="FR1262" s="335"/>
    </row>
    <row r="1263" spans="132:174" x14ac:dyDescent="0.6">
      <c r="EB1263" s="335">
        <v>41137</v>
      </c>
      <c r="EC1263" s="62">
        <v>156.1</v>
      </c>
      <c r="ED1263" s="62">
        <v>1415.51001</v>
      </c>
      <c r="FR1263" s="335"/>
    </row>
    <row r="1264" spans="132:174" x14ac:dyDescent="0.6">
      <c r="EB1264" s="335">
        <v>41136</v>
      </c>
      <c r="EC1264" s="62">
        <v>156.02000000000001</v>
      </c>
      <c r="ED1264" s="62">
        <v>1405.530029</v>
      </c>
      <c r="FR1264" s="335"/>
    </row>
    <row r="1265" spans="132:174" x14ac:dyDescent="0.6">
      <c r="EB1265" s="335">
        <v>41135</v>
      </c>
      <c r="EC1265" s="62">
        <v>154.62</v>
      </c>
      <c r="ED1265" s="62">
        <v>1403.9300539999999</v>
      </c>
      <c r="FR1265" s="335"/>
    </row>
    <row r="1266" spans="132:174" x14ac:dyDescent="0.6">
      <c r="EB1266" s="335">
        <v>41134</v>
      </c>
      <c r="EC1266" s="62">
        <v>154.49</v>
      </c>
      <c r="ED1266" s="62">
        <v>1404.1099850000001</v>
      </c>
      <c r="FR1266" s="335"/>
    </row>
    <row r="1267" spans="132:174" x14ac:dyDescent="0.6">
      <c r="EB1267" s="335">
        <v>41131</v>
      </c>
      <c r="EC1267" s="62">
        <v>156.28</v>
      </c>
      <c r="ED1267" s="62">
        <v>1405.869995</v>
      </c>
      <c r="FR1267" s="335"/>
    </row>
    <row r="1268" spans="132:174" x14ac:dyDescent="0.6">
      <c r="EB1268" s="335">
        <v>41130</v>
      </c>
      <c r="EC1268" s="62">
        <v>156.56</v>
      </c>
      <c r="ED1268" s="62">
        <v>1402.8000489999999</v>
      </c>
      <c r="FR1268" s="335"/>
    </row>
    <row r="1269" spans="132:174" x14ac:dyDescent="0.6">
      <c r="EB1269" s="335">
        <v>41129</v>
      </c>
      <c r="EC1269" s="62">
        <v>156.6</v>
      </c>
      <c r="ED1269" s="62">
        <v>1402.219971</v>
      </c>
      <c r="FR1269" s="335"/>
    </row>
    <row r="1270" spans="132:174" x14ac:dyDescent="0.6">
      <c r="EB1270" s="335">
        <v>41128</v>
      </c>
      <c r="EC1270" s="62">
        <v>157.04</v>
      </c>
      <c r="ED1270" s="62">
        <v>1401.349976</v>
      </c>
      <c r="FR1270" s="335"/>
    </row>
    <row r="1271" spans="132:174" x14ac:dyDescent="0.6">
      <c r="EB1271" s="335">
        <v>41127</v>
      </c>
      <c r="EC1271" s="62">
        <v>154.75</v>
      </c>
      <c r="ED1271" s="62">
        <v>1394.2299800000001</v>
      </c>
      <c r="FR1271" s="335"/>
    </row>
    <row r="1272" spans="132:174" x14ac:dyDescent="0.6">
      <c r="EB1272" s="335">
        <v>41124</v>
      </c>
      <c r="EC1272" s="62">
        <v>155.97</v>
      </c>
      <c r="ED1272" s="62">
        <v>1390.98999</v>
      </c>
      <c r="FR1272" s="335"/>
    </row>
    <row r="1273" spans="132:174" x14ac:dyDescent="0.6">
      <c r="EB1273" s="335">
        <v>41123</v>
      </c>
      <c r="EC1273" s="62">
        <v>155.05000000000001</v>
      </c>
      <c r="ED1273" s="62">
        <v>1365</v>
      </c>
      <c r="FR1273" s="335"/>
    </row>
    <row r="1274" spans="132:174" x14ac:dyDescent="0.6">
      <c r="EB1274" s="335">
        <v>41122</v>
      </c>
      <c r="EC1274" s="62">
        <v>154.21</v>
      </c>
      <c r="ED1274" s="62">
        <v>1375.3199460000001</v>
      </c>
      <c r="FR1274" s="335"/>
    </row>
    <row r="1275" spans="132:174" x14ac:dyDescent="0.6">
      <c r="EB1275" s="335">
        <v>41121</v>
      </c>
      <c r="EC1275" s="62">
        <v>157.49</v>
      </c>
      <c r="ED1275" s="62">
        <v>1379.3199460000001</v>
      </c>
      <c r="FR1275" s="335"/>
    </row>
    <row r="1276" spans="132:174" x14ac:dyDescent="0.6">
      <c r="EB1276" s="335">
        <v>41120</v>
      </c>
      <c r="EC1276" s="62">
        <v>159.87</v>
      </c>
      <c r="ED1276" s="62">
        <v>1385.3000489999999</v>
      </c>
      <c r="FR1276" s="335"/>
    </row>
    <row r="1277" spans="132:174" x14ac:dyDescent="0.6">
      <c r="EB1277" s="335">
        <v>41117</v>
      </c>
      <c r="EC1277" s="62">
        <v>161.75</v>
      </c>
      <c r="ED1277" s="62">
        <v>1385.969971</v>
      </c>
      <c r="FR1277" s="335"/>
    </row>
    <row r="1278" spans="132:174" x14ac:dyDescent="0.6">
      <c r="EB1278" s="335">
        <v>41116</v>
      </c>
      <c r="EC1278" s="62">
        <v>156.96</v>
      </c>
      <c r="ED1278" s="62">
        <v>1360.0200199999999</v>
      </c>
      <c r="FR1278" s="335"/>
    </row>
    <row r="1279" spans="132:174" x14ac:dyDescent="0.6">
      <c r="EB1279" s="335">
        <v>41115</v>
      </c>
      <c r="EC1279" s="62">
        <v>153.36000000000001</v>
      </c>
      <c r="ED1279" s="62">
        <v>1337.8900149999999</v>
      </c>
      <c r="FR1279" s="335"/>
    </row>
    <row r="1280" spans="132:174" x14ac:dyDescent="0.6">
      <c r="EB1280" s="335">
        <v>41114</v>
      </c>
      <c r="EC1280" s="62">
        <v>141.91</v>
      </c>
      <c r="ED1280" s="62">
        <v>1338.3100589999999</v>
      </c>
      <c r="FR1280" s="335"/>
    </row>
    <row r="1281" spans="132:174" x14ac:dyDescent="0.6">
      <c r="EB1281" s="335">
        <v>41113</v>
      </c>
      <c r="EC1281" s="62">
        <v>142.72</v>
      </c>
      <c r="ED1281" s="62">
        <v>1350.5200199999999</v>
      </c>
      <c r="FR1281" s="335"/>
    </row>
    <row r="1282" spans="132:174" x14ac:dyDescent="0.6">
      <c r="EB1282" s="335">
        <v>41110</v>
      </c>
      <c r="EC1282" s="62">
        <v>144.97</v>
      </c>
      <c r="ED1282" s="62">
        <v>1362.660034</v>
      </c>
      <c r="FR1282" s="335"/>
    </row>
    <row r="1283" spans="132:174" x14ac:dyDescent="0.6">
      <c r="EB1283" s="335">
        <v>41109</v>
      </c>
      <c r="EC1283" s="62">
        <v>150.69</v>
      </c>
      <c r="ED1283" s="62">
        <v>1376.51001</v>
      </c>
      <c r="FR1283" s="335"/>
    </row>
    <row r="1284" spans="132:174" x14ac:dyDescent="0.6">
      <c r="EB1284" s="335">
        <v>41108</v>
      </c>
      <c r="EC1284" s="62">
        <v>150.58000000000001</v>
      </c>
      <c r="ED1284" s="62">
        <v>1372.780029</v>
      </c>
      <c r="FR1284" s="335"/>
    </row>
    <row r="1285" spans="132:174" x14ac:dyDescent="0.6">
      <c r="EB1285" s="335">
        <v>41107</v>
      </c>
      <c r="EC1285" s="62">
        <v>147.44999999999999</v>
      </c>
      <c r="ED1285" s="62">
        <v>1363.670044</v>
      </c>
      <c r="FR1285" s="335"/>
    </row>
    <row r="1286" spans="132:174" x14ac:dyDescent="0.6">
      <c r="EB1286" s="335">
        <v>41106</v>
      </c>
      <c r="EC1286" s="62">
        <v>144.91</v>
      </c>
      <c r="ED1286" s="62">
        <v>1353.6400149999999</v>
      </c>
      <c r="FR1286" s="335"/>
    </row>
    <row r="1287" spans="132:174" x14ac:dyDescent="0.6">
      <c r="EB1287" s="335">
        <v>41103</v>
      </c>
      <c r="EC1287" s="62">
        <v>147.31</v>
      </c>
      <c r="ED1287" s="62">
        <v>1356.780029</v>
      </c>
      <c r="FR1287" s="335"/>
    </row>
    <row r="1288" spans="132:174" x14ac:dyDescent="0.6">
      <c r="EB1288" s="335">
        <v>41102</v>
      </c>
      <c r="EC1288" s="62">
        <v>143.62</v>
      </c>
      <c r="ED1288" s="62">
        <v>1334.76001</v>
      </c>
      <c r="FR1288" s="335"/>
    </row>
    <row r="1289" spans="132:174" x14ac:dyDescent="0.6">
      <c r="EB1289" s="335">
        <v>41101</v>
      </c>
      <c r="EC1289" s="62">
        <v>143.05000000000001</v>
      </c>
      <c r="ED1289" s="62">
        <v>1341.4499510000001</v>
      </c>
      <c r="FR1289" s="335"/>
    </row>
    <row r="1290" spans="132:174" x14ac:dyDescent="0.6">
      <c r="EB1290" s="335">
        <v>41100</v>
      </c>
      <c r="EC1290" s="62">
        <v>145.56</v>
      </c>
      <c r="ED1290" s="62">
        <v>1341.469971</v>
      </c>
      <c r="FR1290" s="335"/>
    </row>
    <row r="1291" spans="132:174" x14ac:dyDescent="0.6">
      <c r="EB1291" s="335">
        <v>41099</v>
      </c>
      <c r="EC1291" s="62">
        <v>144.87</v>
      </c>
      <c r="ED1291" s="62">
        <v>1352.459961</v>
      </c>
      <c r="FR1291" s="335"/>
    </row>
    <row r="1292" spans="132:174" x14ac:dyDescent="0.6">
      <c r="EB1292" s="335">
        <v>41096</v>
      </c>
      <c r="EC1292" s="62">
        <v>142.27000000000001</v>
      </c>
      <c r="ED1292" s="62">
        <v>1354.6800539999999</v>
      </c>
      <c r="FR1292" s="335"/>
    </row>
    <row r="1293" spans="132:174" x14ac:dyDescent="0.6">
      <c r="EB1293" s="335">
        <v>41095</v>
      </c>
      <c r="EC1293" s="62">
        <v>139.77000000000001</v>
      </c>
      <c r="ED1293" s="62">
        <v>1367.579956</v>
      </c>
      <c r="FR1293" s="335"/>
    </row>
    <row r="1294" spans="132:174" x14ac:dyDescent="0.6">
      <c r="EB1294" s="335">
        <v>41093</v>
      </c>
      <c r="EC1294" s="62">
        <v>138.71</v>
      </c>
      <c r="ED1294" s="62">
        <v>1374.0200199999999</v>
      </c>
      <c r="FR1294" s="335"/>
    </row>
    <row r="1295" spans="132:174" x14ac:dyDescent="0.6">
      <c r="EB1295" s="335">
        <v>41092</v>
      </c>
      <c r="EC1295" s="62">
        <v>137.54</v>
      </c>
      <c r="ED1295" s="62">
        <v>1365.51001</v>
      </c>
      <c r="FR1295" s="335"/>
    </row>
    <row r="1296" spans="132:174" x14ac:dyDescent="0.6">
      <c r="EB1296" s="335">
        <v>41089</v>
      </c>
      <c r="EC1296" s="62">
        <v>139.44</v>
      </c>
      <c r="ED1296" s="62">
        <v>1362.160034</v>
      </c>
      <c r="FR1296" s="335"/>
    </row>
    <row r="1297" spans="132:174" x14ac:dyDescent="0.6">
      <c r="EB1297" s="335">
        <v>41088</v>
      </c>
      <c r="EC1297" s="62">
        <v>136.44999999999999</v>
      </c>
      <c r="ED1297" s="62">
        <v>1329.040039</v>
      </c>
      <c r="FR1297" s="335"/>
    </row>
    <row r="1298" spans="132:174" x14ac:dyDescent="0.6">
      <c r="EB1298" s="335">
        <v>41087</v>
      </c>
      <c r="EC1298" s="62">
        <v>139.44</v>
      </c>
      <c r="ED1298" s="62">
        <v>1331.849976</v>
      </c>
      <c r="FR1298" s="335"/>
    </row>
    <row r="1299" spans="132:174" x14ac:dyDescent="0.6">
      <c r="EB1299" s="335">
        <v>41086</v>
      </c>
      <c r="EC1299" s="62">
        <v>143.47999999999999</v>
      </c>
      <c r="ED1299" s="62">
        <v>1319.98999</v>
      </c>
      <c r="FR1299" s="335"/>
    </row>
    <row r="1300" spans="132:174" x14ac:dyDescent="0.6">
      <c r="EB1300" s="335">
        <v>41085</v>
      </c>
      <c r="EC1300" s="62">
        <v>143.46</v>
      </c>
      <c r="ED1300" s="62">
        <v>1313.719971</v>
      </c>
      <c r="FR1300" s="335"/>
    </row>
    <row r="1301" spans="132:174" x14ac:dyDescent="0.6">
      <c r="EB1301" s="335">
        <v>41082</v>
      </c>
      <c r="EC1301" s="62">
        <v>146.09</v>
      </c>
      <c r="ED1301" s="62">
        <v>1335.0200199999999</v>
      </c>
      <c r="FR1301" s="335"/>
    </row>
    <row r="1302" spans="132:174" x14ac:dyDescent="0.6">
      <c r="EB1302" s="335">
        <v>41081</v>
      </c>
      <c r="EC1302" s="62">
        <v>146.87</v>
      </c>
      <c r="ED1302" s="62">
        <v>1325.51001</v>
      </c>
      <c r="FR1302" s="335"/>
    </row>
    <row r="1303" spans="132:174" x14ac:dyDescent="0.6">
      <c r="EB1303" s="335">
        <v>41080</v>
      </c>
      <c r="EC1303" s="62">
        <v>152.33000000000001</v>
      </c>
      <c r="ED1303" s="62">
        <v>1355.6899410000001</v>
      </c>
      <c r="FR1303" s="335"/>
    </row>
    <row r="1304" spans="132:174" x14ac:dyDescent="0.6">
      <c r="EB1304" s="335">
        <v>41079</v>
      </c>
      <c r="EC1304" s="62">
        <v>150.82</v>
      </c>
      <c r="ED1304" s="62">
        <v>1357.9799800000001</v>
      </c>
      <c r="FR1304" s="335"/>
    </row>
    <row r="1305" spans="132:174" x14ac:dyDescent="0.6">
      <c r="EB1305" s="335">
        <v>41078</v>
      </c>
      <c r="EC1305" s="62">
        <v>148.44</v>
      </c>
      <c r="ED1305" s="62">
        <v>1344.780029</v>
      </c>
      <c r="FR1305" s="335"/>
    </row>
    <row r="1306" spans="132:174" x14ac:dyDescent="0.6">
      <c r="EB1306" s="335">
        <v>41075</v>
      </c>
      <c r="EC1306" s="62">
        <v>147.41999999999999</v>
      </c>
      <c r="ED1306" s="62">
        <v>1342.839966</v>
      </c>
      <c r="FR1306" s="335"/>
    </row>
    <row r="1307" spans="132:174" x14ac:dyDescent="0.6">
      <c r="EB1307" s="335">
        <v>41074</v>
      </c>
      <c r="EC1307" s="62">
        <v>142.82</v>
      </c>
      <c r="ED1307" s="62">
        <v>1329.099976</v>
      </c>
      <c r="FR1307" s="335"/>
    </row>
    <row r="1308" spans="132:174" x14ac:dyDescent="0.6">
      <c r="EB1308" s="335">
        <v>41073</v>
      </c>
      <c r="EC1308" s="62">
        <v>140.19</v>
      </c>
      <c r="ED1308" s="62">
        <v>1314.880005</v>
      </c>
      <c r="FR1308" s="335"/>
    </row>
    <row r="1309" spans="132:174" x14ac:dyDescent="0.6">
      <c r="EB1309" s="335">
        <v>41072</v>
      </c>
      <c r="EC1309" s="62">
        <v>144.51</v>
      </c>
      <c r="ED1309" s="62">
        <v>1324.1800539999999</v>
      </c>
      <c r="FR1309" s="335"/>
    </row>
    <row r="1310" spans="132:174" x14ac:dyDescent="0.6">
      <c r="EB1310" s="335">
        <v>41071</v>
      </c>
      <c r="EC1310" s="62">
        <v>144.1</v>
      </c>
      <c r="ED1310" s="62">
        <v>1308.9300539999999</v>
      </c>
      <c r="FR1310" s="335"/>
    </row>
    <row r="1311" spans="132:174" x14ac:dyDescent="0.6">
      <c r="EB1311" s="335">
        <v>41068</v>
      </c>
      <c r="EC1311" s="62">
        <v>145.86000000000001</v>
      </c>
      <c r="ED1311" s="62">
        <v>1325.660034</v>
      </c>
      <c r="FR1311" s="335"/>
    </row>
    <row r="1312" spans="132:174" x14ac:dyDescent="0.6">
      <c r="EB1312" s="335">
        <v>41067</v>
      </c>
      <c r="EC1312" s="62">
        <v>143.71</v>
      </c>
      <c r="ED1312" s="62">
        <v>1314.98999</v>
      </c>
      <c r="FR1312" s="335"/>
    </row>
    <row r="1313" spans="132:174" x14ac:dyDescent="0.6">
      <c r="EB1313" s="335">
        <v>41066</v>
      </c>
      <c r="EC1313" s="62">
        <v>143.72999999999999</v>
      </c>
      <c r="ED1313" s="62">
        <v>1315.130005</v>
      </c>
      <c r="FR1313" s="335"/>
    </row>
    <row r="1314" spans="132:174" x14ac:dyDescent="0.6">
      <c r="EB1314" s="335">
        <v>41065</v>
      </c>
      <c r="EC1314" s="62">
        <v>140.69</v>
      </c>
      <c r="ED1314" s="62">
        <v>1285.5</v>
      </c>
      <c r="FR1314" s="335"/>
    </row>
    <row r="1315" spans="132:174" x14ac:dyDescent="0.6">
      <c r="EB1315" s="335">
        <v>41064</v>
      </c>
      <c r="EC1315" s="62">
        <v>140.22</v>
      </c>
      <c r="ED1315" s="62">
        <v>1278.1800539999999</v>
      </c>
      <c r="FR1315" s="335"/>
    </row>
    <row r="1316" spans="132:174" x14ac:dyDescent="0.6">
      <c r="EB1316" s="335">
        <v>41061</v>
      </c>
      <c r="EC1316" s="62">
        <v>141.88999999999999</v>
      </c>
      <c r="ED1316" s="62">
        <v>1278.040039</v>
      </c>
      <c r="FR1316" s="335"/>
    </row>
    <row r="1317" spans="132:174" x14ac:dyDescent="0.6">
      <c r="EB1317" s="335">
        <v>41060</v>
      </c>
      <c r="EC1317" s="62">
        <v>146.94999999999999</v>
      </c>
      <c r="ED1317" s="62">
        <v>1310.329956</v>
      </c>
      <c r="FR1317" s="335"/>
    </row>
    <row r="1318" spans="132:174" x14ac:dyDescent="0.6">
      <c r="EB1318" s="335">
        <v>41059</v>
      </c>
      <c r="EC1318" s="62">
        <v>147.86000000000001</v>
      </c>
      <c r="ED1318" s="62">
        <v>1313.3199460000001</v>
      </c>
      <c r="FR1318" s="335"/>
    </row>
    <row r="1319" spans="132:174" x14ac:dyDescent="0.6">
      <c r="EB1319" s="335">
        <v>41058</v>
      </c>
      <c r="EC1319" s="62">
        <v>149.44999999999999</v>
      </c>
      <c r="ED1319" s="62">
        <v>1332.420044</v>
      </c>
      <c r="FR1319" s="335"/>
    </row>
    <row r="1320" spans="132:174" x14ac:dyDescent="0.6">
      <c r="EB1320" s="335">
        <v>41054</v>
      </c>
      <c r="EC1320" s="62">
        <v>147.11000000000001</v>
      </c>
      <c r="ED1320" s="62">
        <v>1317.8199460000001</v>
      </c>
      <c r="FR1320" s="335"/>
    </row>
    <row r="1321" spans="132:174" x14ac:dyDescent="0.6">
      <c r="EB1321" s="335">
        <v>41053</v>
      </c>
      <c r="EC1321" s="62">
        <v>147.19</v>
      </c>
      <c r="ED1321" s="62">
        <v>1320.6800539999999</v>
      </c>
      <c r="FR1321" s="335"/>
    </row>
    <row r="1322" spans="132:174" x14ac:dyDescent="0.6">
      <c r="EB1322" s="335">
        <v>41052</v>
      </c>
      <c r="EC1322" s="62">
        <v>146.76</v>
      </c>
      <c r="ED1322" s="62">
        <v>1318.8599850000001</v>
      </c>
      <c r="FR1322" s="335"/>
    </row>
    <row r="1323" spans="132:174" x14ac:dyDescent="0.6">
      <c r="EB1323" s="335">
        <v>41051</v>
      </c>
      <c r="EC1323" s="62">
        <v>145.54</v>
      </c>
      <c r="ED1323" s="62">
        <v>1316.630005</v>
      </c>
      <c r="FR1323" s="335"/>
    </row>
    <row r="1324" spans="132:174" x14ac:dyDescent="0.6">
      <c r="EB1324" s="335">
        <v>41050</v>
      </c>
      <c r="EC1324" s="62">
        <v>143.94</v>
      </c>
      <c r="ED1324" s="62">
        <v>1315.98999</v>
      </c>
      <c r="FR1324" s="335"/>
    </row>
    <row r="1325" spans="132:174" x14ac:dyDescent="0.6">
      <c r="EB1325" s="335">
        <v>41047</v>
      </c>
      <c r="EC1325" s="62">
        <v>143.25</v>
      </c>
      <c r="ED1325" s="62">
        <v>1295.219971</v>
      </c>
      <c r="FR1325" s="335"/>
    </row>
    <row r="1326" spans="132:174" x14ac:dyDescent="0.6">
      <c r="EB1326" s="335">
        <v>41046</v>
      </c>
      <c r="EC1326" s="62">
        <v>145.61000000000001</v>
      </c>
      <c r="ED1326" s="62">
        <v>1304.8599850000001</v>
      </c>
      <c r="FR1326" s="335"/>
    </row>
    <row r="1327" spans="132:174" x14ac:dyDescent="0.6">
      <c r="EB1327" s="335">
        <v>41045</v>
      </c>
      <c r="EC1327" s="62">
        <v>152.56</v>
      </c>
      <c r="ED1327" s="62">
        <v>1324.8000489999999</v>
      </c>
      <c r="FR1327" s="335"/>
    </row>
    <row r="1328" spans="132:174" x14ac:dyDescent="0.6">
      <c r="EB1328" s="335">
        <v>41044</v>
      </c>
      <c r="EC1328" s="62">
        <v>152.07</v>
      </c>
      <c r="ED1328" s="62">
        <v>1330.660034</v>
      </c>
      <c r="FR1328" s="335"/>
    </row>
    <row r="1329" spans="132:174" x14ac:dyDescent="0.6">
      <c r="EB1329" s="335">
        <v>41043</v>
      </c>
      <c r="EC1329" s="62">
        <v>151.63</v>
      </c>
      <c r="ED1329" s="62">
        <v>1338.349976</v>
      </c>
      <c r="FR1329" s="335"/>
    </row>
    <row r="1330" spans="132:174" x14ac:dyDescent="0.6">
      <c r="EB1330" s="335">
        <v>41040</v>
      </c>
      <c r="EC1330" s="62">
        <v>155.78</v>
      </c>
      <c r="ED1330" s="62">
        <v>1353.3900149999999</v>
      </c>
      <c r="FR1330" s="335"/>
    </row>
    <row r="1331" spans="132:174" x14ac:dyDescent="0.6">
      <c r="EB1331" s="335">
        <v>41039</v>
      </c>
      <c r="EC1331" s="62">
        <v>155.38</v>
      </c>
      <c r="ED1331" s="62">
        <v>1357.98999</v>
      </c>
      <c r="FR1331" s="335"/>
    </row>
    <row r="1332" spans="132:174" x14ac:dyDescent="0.6">
      <c r="EB1332" s="335">
        <v>41038</v>
      </c>
      <c r="EC1332" s="62">
        <v>153.82</v>
      </c>
      <c r="ED1332" s="62">
        <v>1354.579956</v>
      </c>
      <c r="FR1332" s="335"/>
    </row>
    <row r="1333" spans="132:174" x14ac:dyDescent="0.6">
      <c r="EB1333" s="335">
        <v>41037</v>
      </c>
      <c r="EC1333" s="62">
        <v>153.65</v>
      </c>
      <c r="ED1333" s="62">
        <v>1363.719971</v>
      </c>
      <c r="FR1333" s="335"/>
    </row>
    <row r="1334" spans="132:174" x14ac:dyDescent="0.6">
      <c r="EB1334" s="335">
        <v>41036</v>
      </c>
      <c r="EC1334" s="62">
        <v>158.25</v>
      </c>
      <c r="ED1334" s="62">
        <v>1369.579956</v>
      </c>
      <c r="FR1334" s="335"/>
    </row>
    <row r="1335" spans="132:174" x14ac:dyDescent="0.6">
      <c r="EB1335" s="335">
        <v>41033</v>
      </c>
      <c r="EC1335" s="62">
        <v>157.27000000000001</v>
      </c>
      <c r="ED1335" s="62">
        <v>1369.099976</v>
      </c>
      <c r="FR1335" s="335"/>
    </row>
    <row r="1336" spans="132:174" x14ac:dyDescent="0.6">
      <c r="EB1336" s="335">
        <v>41032</v>
      </c>
      <c r="EC1336" s="62">
        <v>158.38</v>
      </c>
      <c r="ED1336" s="62">
        <v>1391.5699460000001</v>
      </c>
      <c r="FR1336" s="335"/>
    </row>
    <row r="1337" spans="132:174" x14ac:dyDescent="0.6">
      <c r="EB1337" s="335">
        <v>41031</v>
      </c>
      <c r="EC1337" s="62">
        <v>160.52000000000001</v>
      </c>
      <c r="ED1337" s="62">
        <v>1402.3100589999999</v>
      </c>
      <c r="FR1337" s="335"/>
    </row>
    <row r="1338" spans="132:174" x14ac:dyDescent="0.6">
      <c r="EB1338" s="335">
        <v>41030</v>
      </c>
      <c r="EC1338" s="62">
        <v>158.99</v>
      </c>
      <c r="ED1338" s="62">
        <v>1405.8199460000001</v>
      </c>
      <c r="FR1338" s="335"/>
    </row>
    <row r="1339" spans="132:174" x14ac:dyDescent="0.6">
      <c r="EB1339" s="335">
        <v>41029</v>
      </c>
      <c r="EC1339" s="62">
        <v>157.91999999999999</v>
      </c>
      <c r="ED1339" s="62">
        <v>1397.910034</v>
      </c>
      <c r="FR1339" s="335"/>
    </row>
    <row r="1340" spans="132:174" x14ac:dyDescent="0.6">
      <c r="EB1340" s="335">
        <v>41026</v>
      </c>
      <c r="EC1340" s="62">
        <v>158.26</v>
      </c>
      <c r="ED1340" s="62">
        <v>1403.3599850000001</v>
      </c>
      <c r="FR1340" s="335"/>
    </row>
    <row r="1341" spans="132:174" x14ac:dyDescent="0.6">
      <c r="EB1341" s="335">
        <v>41025</v>
      </c>
      <c r="EC1341" s="62">
        <v>158.30000000000001</v>
      </c>
      <c r="ED1341" s="62">
        <v>1399.9799800000001</v>
      </c>
      <c r="FR1341" s="335"/>
    </row>
    <row r="1342" spans="132:174" x14ac:dyDescent="0.6">
      <c r="EB1342" s="335">
        <v>41024</v>
      </c>
      <c r="EC1342" s="62">
        <v>158.07</v>
      </c>
      <c r="ED1342" s="62">
        <v>1390.6899410000001</v>
      </c>
      <c r="FR1342" s="335"/>
    </row>
    <row r="1343" spans="132:174" x14ac:dyDescent="0.6">
      <c r="EB1343" s="335">
        <v>41023</v>
      </c>
      <c r="EC1343" s="62">
        <v>148.25</v>
      </c>
      <c r="ED1343" s="62">
        <v>1371.969971</v>
      </c>
      <c r="FR1343" s="335"/>
    </row>
    <row r="1344" spans="132:174" x14ac:dyDescent="0.6">
      <c r="EB1344" s="335">
        <v>41022</v>
      </c>
      <c r="EC1344" s="62">
        <v>149.18</v>
      </c>
      <c r="ED1344" s="62">
        <v>1366.9399410000001</v>
      </c>
      <c r="FR1344" s="335"/>
    </row>
    <row r="1345" spans="132:174" x14ac:dyDescent="0.6">
      <c r="EB1345" s="335">
        <v>41019</v>
      </c>
      <c r="EC1345" s="62">
        <v>150.27000000000001</v>
      </c>
      <c r="ED1345" s="62">
        <v>1378.530029</v>
      </c>
      <c r="FR1345" s="335"/>
    </row>
    <row r="1346" spans="132:174" x14ac:dyDescent="0.6">
      <c r="EB1346" s="335">
        <v>41018</v>
      </c>
      <c r="EC1346" s="62">
        <v>151.16</v>
      </c>
      <c r="ED1346" s="62">
        <v>1376.920044</v>
      </c>
      <c r="FR1346" s="335"/>
    </row>
    <row r="1347" spans="132:174" x14ac:dyDescent="0.6">
      <c r="EB1347" s="335">
        <v>41017</v>
      </c>
      <c r="EC1347" s="62">
        <v>156.78</v>
      </c>
      <c r="ED1347" s="62">
        <v>1385.1400149999999</v>
      </c>
      <c r="FR1347" s="335"/>
    </row>
    <row r="1348" spans="132:174" x14ac:dyDescent="0.6">
      <c r="EB1348" s="335">
        <v>41016</v>
      </c>
      <c r="EC1348" s="62">
        <v>160.29</v>
      </c>
      <c r="ED1348" s="62">
        <v>1390.780029</v>
      </c>
      <c r="FR1348" s="335"/>
    </row>
    <row r="1349" spans="132:174" x14ac:dyDescent="0.6">
      <c r="EB1349" s="335">
        <v>41015</v>
      </c>
      <c r="EC1349" s="62">
        <v>161.71</v>
      </c>
      <c r="ED1349" s="62">
        <v>1369.5699460000001</v>
      </c>
      <c r="FR1349" s="335"/>
    </row>
    <row r="1350" spans="132:174" x14ac:dyDescent="0.6">
      <c r="EB1350" s="335">
        <v>41012</v>
      </c>
      <c r="EC1350" s="62">
        <v>162.33000000000001</v>
      </c>
      <c r="ED1350" s="62">
        <v>1370.26001</v>
      </c>
      <c r="FR1350" s="335"/>
    </row>
    <row r="1351" spans="132:174" x14ac:dyDescent="0.6">
      <c r="EB1351" s="335">
        <v>41011</v>
      </c>
      <c r="EC1351" s="62">
        <v>161.9</v>
      </c>
      <c r="ED1351" s="62">
        <v>1387.5699460000001</v>
      </c>
      <c r="FR1351" s="335"/>
    </row>
    <row r="1352" spans="132:174" x14ac:dyDescent="0.6">
      <c r="EB1352" s="335">
        <v>41010</v>
      </c>
      <c r="EC1352" s="62">
        <v>160.55000000000001</v>
      </c>
      <c r="ED1352" s="62">
        <v>1368.709961</v>
      </c>
      <c r="FR1352" s="335"/>
    </row>
    <row r="1353" spans="132:174" x14ac:dyDescent="0.6">
      <c r="EB1353" s="335">
        <v>41009</v>
      </c>
      <c r="EC1353" s="62">
        <v>157.56</v>
      </c>
      <c r="ED1353" s="62">
        <v>1358.589966</v>
      </c>
      <c r="FR1353" s="335"/>
    </row>
    <row r="1354" spans="132:174" x14ac:dyDescent="0.6">
      <c r="EB1354" s="335">
        <v>41008</v>
      </c>
      <c r="EC1354" s="62">
        <v>160.72</v>
      </c>
      <c r="ED1354" s="62">
        <v>1382.1999510000001</v>
      </c>
      <c r="FR1354" s="335"/>
    </row>
    <row r="1355" spans="132:174" x14ac:dyDescent="0.6">
      <c r="EB1355" s="335">
        <v>41004</v>
      </c>
      <c r="EC1355" s="62">
        <v>160.99</v>
      </c>
      <c r="ED1355" s="62">
        <v>1398.079956</v>
      </c>
      <c r="FR1355" s="335"/>
    </row>
    <row r="1356" spans="132:174" x14ac:dyDescent="0.6">
      <c r="EB1356" s="335">
        <v>41003</v>
      </c>
      <c r="EC1356" s="62">
        <v>159.87</v>
      </c>
      <c r="ED1356" s="62">
        <v>1398.959961</v>
      </c>
      <c r="FR1356" s="335"/>
    </row>
    <row r="1357" spans="132:174" x14ac:dyDescent="0.6">
      <c r="EB1357" s="335">
        <v>41002</v>
      </c>
      <c r="EC1357" s="62">
        <v>162.24</v>
      </c>
      <c r="ED1357" s="62">
        <v>1413.380005</v>
      </c>
      <c r="FR1357" s="335"/>
    </row>
    <row r="1358" spans="132:174" x14ac:dyDescent="0.6">
      <c r="EB1358" s="335">
        <v>41001</v>
      </c>
      <c r="EC1358" s="62">
        <v>160.07</v>
      </c>
      <c r="ED1358" s="62">
        <v>1419.040039</v>
      </c>
      <c r="FR1358" s="335"/>
    </row>
    <row r="1359" spans="132:174" x14ac:dyDescent="0.6">
      <c r="EB1359" s="335">
        <v>40998</v>
      </c>
      <c r="EC1359" s="62">
        <v>160.91999999999999</v>
      </c>
      <c r="ED1359" s="62">
        <v>1408.469971</v>
      </c>
      <c r="FR1359" s="335"/>
    </row>
    <row r="1360" spans="132:174" x14ac:dyDescent="0.6">
      <c r="EB1360" s="335">
        <v>40997</v>
      </c>
      <c r="EC1360" s="62">
        <v>161.24</v>
      </c>
      <c r="ED1360" s="62">
        <v>1403.280029</v>
      </c>
      <c r="FR1360" s="335"/>
    </row>
    <row r="1361" spans="132:174" x14ac:dyDescent="0.6">
      <c r="EB1361" s="335">
        <v>40996</v>
      </c>
      <c r="EC1361" s="62">
        <v>161.4</v>
      </c>
      <c r="ED1361" s="62">
        <v>1405.540039</v>
      </c>
      <c r="FR1361" s="335"/>
    </row>
    <row r="1362" spans="132:174" x14ac:dyDescent="0.6">
      <c r="EB1362" s="335">
        <v>40995</v>
      </c>
      <c r="EC1362" s="62">
        <v>162.38999999999999</v>
      </c>
      <c r="ED1362" s="62">
        <v>1412.5200199999999</v>
      </c>
      <c r="FR1362" s="335"/>
    </row>
    <row r="1363" spans="132:174" x14ac:dyDescent="0.6">
      <c r="EB1363" s="335">
        <v>40994</v>
      </c>
      <c r="EC1363" s="62">
        <v>164.27</v>
      </c>
      <c r="ED1363" s="62">
        <v>1416.51001</v>
      </c>
      <c r="FR1363" s="335"/>
    </row>
    <row r="1364" spans="132:174" x14ac:dyDescent="0.6">
      <c r="EB1364" s="335">
        <v>40991</v>
      </c>
      <c r="EC1364" s="62">
        <v>160.72999999999999</v>
      </c>
      <c r="ED1364" s="62">
        <v>1397.1099850000001</v>
      </c>
      <c r="FR1364" s="335"/>
    </row>
    <row r="1365" spans="132:174" x14ac:dyDescent="0.6">
      <c r="EB1365" s="335">
        <v>40990</v>
      </c>
      <c r="EC1365" s="62">
        <v>161.85</v>
      </c>
      <c r="ED1365" s="62">
        <v>1392.780029</v>
      </c>
      <c r="FR1365" s="335"/>
    </row>
    <row r="1366" spans="132:174" x14ac:dyDescent="0.6">
      <c r="EB1366" s="335">
        <v>40989</v>
      </c>
      <c r="EC1366" s="62">
        <v>162.58000000000001</v>
      </c>
      <c r="ED1366" s="62">
        <v>1402.8900149999999</v>
      </c>
      <c r="FR1366" s="335"/>
    </row>
    <row r="1367" spans="132:174" x14ac:dyDescent="0.6">
      <c r="EB1367" s="335">
        <v>40988</v>
      </c>
      <c r="EC1367" s="62">
        <v>161.74</v>
      </c>
      <c r="ED1367" s="62">
        <v>1405.5200199999999</v>
      </c>
      <c r="FR1367" s="335"/>
    </row>
    <row r="1368" spans="132:174" x14ac:dyDescent="0.6">
      <c r="EB1368" s="335">
        <v>40987</v>
      </c>
      <c r="EC1368" s="62">
        <v>161.25</v>
      </c>
      <c r="ED1368" s="62">
        <v>1409.75</v>
      </c>
      <c r="FR1368" s="335"/>
    </row>
    <row r="1369" spans="132:174" x14ac:dyDescent="0.6">
      <c r="EB1369" s="335">
        <v>40984</v>
      </c>
      <c r="EC1369" s="62">
        <v>161.43</v>
      </c>
      <c r="ED1369" s="62">
        <v>1404.170044</v>
      </c>
      <c r="FR1369" s="335"/>
    </row>
    <row r="1370" spans="132:174" x14ac:dyDescent="0.6">
      <c r="EB1370" s="335">
        <v>40983</v>
      </c>
      <c r="EC1370" s="62">
        <v>164.71</v>
      </c>
      <c r="ED1370" s="62">
        <v>1402.599976</v>
      </c>
      <c r="FR1370" s="335"/>
    </row>
    <row r="1371" spans="132:174" x14ac:dyDescent="0.6">
      <c r="EB1371" s="335">
        <v>40982</v>
      </c>
      <c r="EC1371" s="62">
        <v>163.75</v>
      </c>
      <c r="ED1371" s="62">
        <v>1394.280029</v>
      </c>
      <c r="FR1371" s="335"/>
    </row>
    <row r="1372" spans="132:174" x14ac:dyDescent="0.6">
      <c r="EB1372" s="335">
        <v>40981</v>
      </c>
      <c r="EC1372" s="62">
        <v>164.44</v>
      </c>
      <c r="ED1372" s="62">
        <v>1395.9499510000001</v>
      </c>
      <c r="FR1372" s="335"/>
    </row>
    <row r="1373" spans="132:174" x14ac:dyDescent="0.6">
      <c r="EB1373" s="335">
        <v>40980</v>
      </c>
      <c r="EC1373" s="62">
        <v>160.53</v>
      </c>
      <c r="ED1373" s="62">
        <v>1371.089966</v>
      </c>
      <c r="FR1373" s="335"/>
    </row>
    <row r="1374" spans="132:174" x14ac:dyDescent="0.6">
      <c r="EB1374" s="335">
        <v>40977</v>
      </c>
      <c r="EC1374" s="62">
        <v>161.18</v>
      </c>
      <c r="ED1374" s="62">
        <v>1370.869995</v>
      </c>
      <c r="FR1374" s="335"/>
    </row>
    <row r="1375" spans="132:174" x14ac:dyDescent="0.6">
      <c r="EB1375" s="335">
        <v>40976</v>
      </c>
      <c r="EC1375" s="62">
        <v>159.01</v>
      </c>
      <c r="ED1375" s="62">
        <v>1365.910034</v>
      </c>
      <c r="FR1375" s="335"/>
    </row>
    <row r="1376" spans="132:174" x14ac:dyDescent="0.6">
      <c r="EB1376" s="335">
        <v>40975</v>
      </c>
      <c r="EC1376" s="62">
        <v>156.47</v>
      </c>
      <c r="ED1376" s="62">
        <v>1352.630005</v>
      </c>
      <c r="FR1376" s="335"/>
    </row>
    <row r="1377" spans="132:174" x14ac:dyDescent="0.6">
      <c r="EB1377" s="335">
        <v>40974</v>
      </c>
      <c r="EC1377" s="62">
        <v>154.19999999999999</v>
      </c>
      <c r="ED1377" s="62">
        <v>1343.3599850000001</v>
      </c>
      <c r="FR1377" s="335"/>
    </row>
    <row r="1378" spans="132:174" x14ac:dyDescent="0.6">
      <c r="EB1378" s="335">
        <v>40973</v>
      </c>
      <c r="EC1378" s="62">
        <v>155.88999999999999</v>
      </c>
      <c r="ED1378" s="62">
        <v>1364.329956</v>
      </c>
      <c r="FR1378" s="335"/>
    </row>
    <row r="1379" spans="132:174" x14ac:dyDescent="0.6">
      <c r="EB1379" s="335">
        <v>40970</v>
      </c>
      <c r="EC1379" s="62">
        <v>155.88999999999999</v>
      </c>
      <c r="ED1379" s="62">
        <v>1369.630005</v>
      </c>
      <c r="FR1379" s="335"/>
    </row>
    <row r="1380" spans="132:174" x14ac:dyDescent="0.6">
      <c r="EB1380" s="335">
        <v>40969</v>
      </c>
      <c r="EC1380" s="62">
        <v>156.09</v>
      </c>
      <c r="ED1380" s="62">
        <v>1374.089966</v>
      </c>
      <c r="FR1380" s="335"/>
    </row>
    <row r="1381" spans="132:174" x14ac:dyDescent="0.6">
      <c r="EB1381" s="335">
        <v>40968</v>
      </c>
      <c r="EC1381" s="62">
        <v>154.58000000000001</v>
      </c>
      <c r="ED1381" s="62">
        <v>1365.6800539999999</v>
      </c>
      <c r="FR1381" s="335"/>
    </row>
    <row r="1382" spans="132:174" x14ac:dyDescent="0.6">
      <c r="EB1382" s="335">
        <v>40967</v>
      </c>
      <c r="EC1382" s="62">
        <v>154.69</v>
      </c>
      <c r="ED1382" s="62">
        <v>1372.1800539999999</v>
      </c>
      <c r="FR1382" s="335"/>
    </row>
    <row r="1383" spans="132:174" x14ac:dyDescent="0.6">
      <c r="EB1383" s="335">
        <v>40966</v>
      </c>
      <c r="EC1383" s="62">
        <v>153.27000000000001</v>
      </c>
      <c r="ED1383" s="62">
        <v>1367.589966</v>
      </c>
      <c r="FR1383" s="335"/>
    </row>
    <row r="1384" spans="132:174" x14ac:dyDescent="0.6">
      <c r="EB1384" s="335">
        <v>40963</v>
      </c>
      <c r="EC1384" s="62">
        <v>152.24</v>
      </c>
      <c r="ED1384" s="62">
        <v>1365.73999</v>
      </c>
      <c r="FR1384" s="335"/>
    </row>
    <row r="1385" spans="132:174" x14ac:dyDescent="0.6">
      <c r="EB1385" s="335">
        <v>40962</v>
      </c>
      <c r="EC1385" s="62">
        <v>152.19</v>
      </c>
      <c r="ED1385" s="62">
        <v>1363.459961</v>
      </c>
      <c r="FR1385" s="335"/>
    </row>
    <row r="1386" spans="132:174" x14ac:dyDescent="0.6">
      <c r="EB1386" s="335">
        <v>40942</v>
      </c>
      <c r="EC1386" s="62">
        <v>154.96</v>
      </c>
      <c r="ED1386" s="62">
        <v>1344.900024</v>
      </c>
      <c r="FR1386" s="335"/>
    </row>
    <row r="1387" spans="132:174" x14ac:dyDescent="0.6">
      <c r="EB1387" s="335">
        <v>40941</v>
      </c>
      <c r="EC1387" s="62">
        <v>150.33000000000001</v>
      </c>
      <c r="ED1387" s="62">
        <v>1325.540039</v>
      </c>
      <c r="FR1387" s="335"/>
    </row>
    <row r="1388" spans="132:174" x14ac:dyDescent="0.6">
      <c r="EB1388" s="335">
        <v>40940</v>
      </c>
      <c r="EC1388" s="62">
        <v>150.13999999999999</v>
      </c>
      <c r="ED1388" s="62">
        <v>1324.089966</v>
      </c>
      <c r="FR1388" s="335"/>
    </row>
    <row r="1389" spans="132:174" x14ac:dyDescent="0.6">
      <c r="EB1389" s="335">
        <v>40939</v>
      </c>
      <c r="EC1389" s="62">
        <v>148.25</v>
      </c>
      <c r="ED1389" s="62">
        <v>1312.410034</v>
      </c>
      <c r="FR1389" s="335"/>
    </row>
    <row r="1390" spans="132:174" x14ac:dyDescent="0.6">
      <c r="EB1390" s="335">
        <v>40938</v>
      </c>
      <c r="EC1390" s="62">
        <v>150</v>
      </c>
      <c r="ED1390" s="62">
        <v>1313.01001</v>
      </c>
      <c r="FR1390" s="335"/>
    </row>
    <row r="1391" spans="132:174" x14ac:dyDescent="0.6">
      <c r="EB1391" s="335">
        <v>40935</v>
      </c>
      <c r="EC1391" s="62">
        <v>146.5</v>
      </c>
      <c r="ED1391" s="62">
        <v>1316.329956</v>
      </c>
      <c r="FR1391" s="335"/>
    </row>
    <row r="1392" spans="132:174" x14ac:dyDescent="0.6">
      <c r="EB1392" s="335">
        <v>40934</v>
      </c>
      <c r="EC1392" s="62">
        <v>147.01</v>
      </c>
      <c r="ED1392" s="62">
        <v>1318.4300539999999</v>
      </c>
      <c r="FR1392" s="335"/>
    </row>
    <row r="1393" spans="132:174" x14ac:dyDescent="0.6">
      <c r="EB1393" s="335">
        <v>40933</v>
      </c>
      <c r="EC1393" s="62">
        <v>148.19</v>
      </c>
      <c r="ED1393" s="62">
        <v>1326.0600589999999</v>
      </c>
      <c r="FR1393" s="335"/>
    </row>
    <row r="1394" spans="132:174" x14ac:dyDescent="0.6">
      <c r="EB1394" s="335">
        <v>40932</v>
      </c>
      <c r="EC1394" s="62">
        <v>147.24</v>
      </c>
      <c r="ED1394" s="62">
        <v>1314.650024</v>
      </c>
      <c r="FR1394" s="335"/>
    </row>
    <row r="1395" spans="132:174" x14ac:dyDescent="0.6">
      <c r="EB1395" s="335">
        <v>40931</v>
      </c>
      <c r="EC1395" s="62">
        <v>147.57</v>
      </c>
      <c r="ED1395" s="62">
        <v>1316</v>
      </c>
      <c r="FR1395" s="335"/>
    </row>
    <row r="1396" spans="132:174" x14ac:dyDescent="0.6">
      <c r="EB1396" s="335">
        <v>40928</v>
      </c>
      <c r="EC1396" s="62">
        <v>151.83000000000001</v>
      </c>
      <c r="ED1396" s="62">
        <v>1315.380005</v>
      </c>
      <c r="FR1396" s="335"/>
    </row>
    <row r="1397" spans="132:174" x14ac:dyDescent="0.6">
      <c r="EB1397" s="335">
        <v>40927</v>
      </c>
      <c r="EC1397" s="62">
        <v>150.97999999999999</v>
      </c>
      <c r="ED1397" s="62">
        <v>1314.5</v>
      </c>
      <c r="FR1397" s="335"/>
    </row>
    <row r="1398" spans="132:174" x14ac:dyDescent="0.6">
      <c r="EB1398" s="335">
        <v>40926</v>
      </c>
      <c r="EC1398" s="62">
        <v>151.13999999999999</v>
      </c>
      <c r="ED1398" s="62">
        <v>1308.040039</v>
      </c>
      <c r="FR1398" s="335"/>
    </row>
    <row r="1399" spans="132:174" x14ac:dyDescent="0.6">
      <c r="EB1399" s="335">
        <v>40925</v>
      </c>
      <c r="EC1399" s="62">
        <v>148.82</v>
      </c>
      <c r="ED1399" s="62">
        <v>1293.670044</v>
      </c>
      <c r="FR1399" s="335"/>
    </row>
    <row r="1400" spans="132:174" x14ac:dyDescent="0.6">
      <c r="EB1400" s="335">
        <v>40921</v>
      </c>
      <c r="EC1400" s="62">
        <v>146.56</v>
      </c>
      <c r="ED1400" s="62">
        <v>1289.089966</v>
      </c>
      <c r="FR1400" s="335"/>
    </row>
    <row r="1401" spans="132:174" x14ac:dyDescent="0.6">
      <c r="EB1401" s="335">
        <v>40920</v>
      </c>
      <c r="EC1401" s="62">
        <v>144.12</v>
      </c>
      <c r="ED1401" s="62">
        <v>1295.5</v>
      </c>
      <c r="FR1401" s="335"/>
    </row>
    <row r="1402" spans="132:174" x14ac:dyDescent="0.6">
      <c r="EB1402" s="335">
        <v>40919</v>
      </c>
      <c r="EC1402" s="62">
        <v>144.03</v>
      </c>
      <c r="ED1402" s="62">
        <v>1292.4799800000001</v>
      </c>
      <c r="FR1402" s="335"/>
    </row>
    <row r="1403" spans="132:174" x14ac:dyDescent="0.6">
      <c r="EB1403" s="335">
        <v>40918</v>
      </c>
      <c r="EC1403" s="62">
        <v>140.61000000000001</v>
      </c>
      <c r="ED1403" s="62">
        <v>1292.079956</v>
      </c>
      <c r="FR1403" s="335"/>
    </row>
    <row r="1404" spans="132:174" x14ac:dyDescent="0.6">
      <c r="EB1404" s="335">
        <v>40917</v>
      </c>
      <c r="EC1404" s="62">
        <v>141.22999999999999</v>
      </c>
      <c r="ED1404" s="62">
        <v>1280.6999510000001</v>
      </c>
      <c r="FR1404" s="335"/>
    </row>
    <row r="1405" spans="132:174" x14ac:dyDescent="0.6">
      <c r="EB1405" s="335">
        <v>40914</v>
      </c>
      <c r="EC1405" s="62">
        <v>139.66</v>
      </c>
      <c r="ED1405" s="62">
        <v>1277.8100589999999</v>
      </c>
      <c r="FR1405" s="335"/>
    </row>
    <row r="1406" spans="132:174" x14ac:dyDescent="0.6">
      <c r="EB1406" s="335">
        <v>40913</v>
      </c>
      <c r="EC1406" s="62">
        <v>140.22999999999999</v>
      </c>
      <c r="ED1406" s="62">
        <v>1281.0600589999999</v>
      </c>
      <c r="FR1406" s="335"/>
    </row>
    <row r="1407" spans="132:174" x14ac:dyDescent="0.6">
      <c r="EB1407" s="335">
        <v>40912</v>
      </c>
      <c r="EC1407" s="62">
        <v>137.21</v>
      </c>
      <c r="ED1407" s="62">
        <v>1277.3000489999999</v>
      </c>
      <c r="FR1407" s="335"/>
    </row>
    <row r="1408" spans="132:174" x14ac:dyDescent="0.6">
      <c r="EB1408" s="335">
        <v>40911</v>
      </c>
      <c r="EC1408" s="62">
        <v>136.19</v>
      </c>
      <c r="ED1408" s="62">
        <v>1277.0600589999999</v>
      </c>
      <c r="FR1408" s="335"/>
    </row>
    <row r="1409" spans="132:174" x14ac:dyDescent="0.6">
      <c r="EB1409" s="335">
        <v>40907</v>
      </c>
      <c r="EC1409" s="62">
        <v>141.44999999999999</v>
      </c>
      <c r="ED1409" s="62">
        <v>1257.599976</v>
      </c>
      <c r="FR1409" s="335"/>
    </row>
    <row r="1410" spans="132:174" x14ac:dyDescent="0.6">
      <c r="EB1410" s="335">
        <v>40906</v>
      </c>
      <c r="EC1410" s="62">
        <v>141.62</v>
      </c>
      <c r="ED1410" s="62">
        <v>1263.0200199999999</v>
      </c>
      <c r="FR1410" s="335"/>
    </row>
    <row r="1411" spans="132:174" x14ac:dyDescent="0.6">
      <c r="EB1411" s="335">
        <v>40905</v>
      </c>
      <c r="EC1411" s="62">
        <v>139.16999999999999</v>
      </c>
      <c r="ED1411" s="62">
        <v>1249.6400149999999</v>
      </c>
      <c r="FR1411" s="335"/>
    </row>
    <row r="1412" spans="132:174" x14ac:dyDescent="0.6">
      <c r="EB1412" s="335">
        <v>40904</v>
      </c>
      <c r="EC1412" s="62">
        <v>141.01</v>
      </c>
      <c r="ED1412" s="62">
        <v>1265.4300539999999</v>
      </c>
      <c r="FR1412" s="335"/>
    </row>
    <row r="1413" spans="132:174" x14ac:dyDescent="0.6">
      <c r="EB1413" s="335">
        <v>40900</v>
      </c>
      <c r="EC1413" s="62">
        <v>140.1</v>
      </c>
      <c r="ED1413" s="62">
        <v>1265.329956</v>
      </c>
      <c r="FR1413" s="335"/>
    </row>
    <row r="1414" spans="132:174" x14ac:dyDescent="0.6">
      <c r="EB1414" s="335">
        <v>40899</v>
      </c>
      <c r="EC1414" s="62">
        <v>138.41</v>
      </c>
      <c r="ED1414" s="62">
        <v>1254</v>
      </c>
      <c r="FR1414" s="335"/>
    </row>
    <row r="1415" spans="132:174" x14ac:dyDescent="0.6">
      <c r="EB1415" s="335">
        <v>40898</v>
      </c>
      <c r="EC1415" s="62">
        <v>140.27000000000001</v>
      </c>
      <c r="ED1415" s="62">
        <v>1243.719971</v>
      </c>
      <c r="FR1415" s="335"/>
    </row>
    <row r="1416" spans="132:174" x14ac:dyDescent="0.6">
      <c r="EB1416" s="335">
        <v>40897</v>
      </c>
      <c r="EC1416" s="62">
        <v>137.72</v>
      </c>
      <c r="ED1416" s="62">
        <v>1241.3000489999999</v>
      </c>
      <c r="FR1416" s="335"/>
    </row>
    <row r="1417" spans="132:174" x14ac:dyDescent="0.6">
      <c r="EB1417" s="335">
        <v>40896</v>
      </c>
      <c r="EC1417" s="62">
        <v>134.62</v>
      </c>
      <c r="ED1417" s="62">
        <v>1205.349976</v>
      </c>
      <c r="FR1417" s="335"/>
    </row>
    <row r="1418" spans="132:174" x14ac:dyDescent="0.6">
      <c r="EB1418" s="335">
        <v>40893</v>
      </c>
      <c r="EC1418" s="62">
        <v>135.44</v>
      </c>
      <c r="ED1418" s="62">
        <v>1219.660034</v>
      </c>
      <c r="FR1418" s="335"/>
    </row>
    <row r="1419" spans="132:174" x14ac:dyDescent="0.6">
      <c r="EB1419" s="335">
        <v>40892</v>
      </c>
      <c r="EC1419" s="62">
        <v>135.18</v>
      </c>
      <c r="ED1419" s="62">
        <v>1215.75</v>
      </c>
      <c r="FR1419" s="335"/>
    </row>
    <row r="1420" spans="132:174" x14ac:dyDescent="0.6">
      <c r="EB1420" s="335">
        <v>40891</v>
      </c>
      <c r="EC1420" s="62">
        <v>131.53</v>
      </c>
      <c r="ED1420" s="62">
        <v>1211.8199460000001</v>
      </c>
      <c r="FR1420" s="335"/>
    </row>
    <row r="1421" spans="132:174" x14ac:dyDescent="0.6">
      <c r="EB1421" s="335">
        <v>40890</v>
      </c>
      <c r="EC1421" s="62">
        <v>135.81</v>
      </c>
      <c r="ED1421" s="62">
        <v>1225.7299800000001</v>
      </c>
      <c r="FR1421" s="335"/>
    </row>
    <row r="1422" spans="132:174" x14ac:dyDescent="0.6">
      <c r="EB1422" s="335">
        <v>40889</v>
      </c>
      <c r="EC1422" s="62">
        <v>139.24</v>
      </c>
      <c r="ED1422" s="62">
        <v>1236.469971</v>
      </c>
      <c r="FR1422" s="335"/>
    </row>
    <row r="1423" spans="132:174" x14ac:dyDescent="0.6">
      <c r="EB1423" s="335">
        <v>40886</v>
      </c>
      <c r="EC1423" s="62">
        <v>140.88</v>
      </c>
      <c r="ED1423" s="62">
        <v>1255.1899410000001</v>
      </c>
      <c r="FR1423" s="335"/>
    </row>
    <row r="1424" spans="132:174" x14ac:dyDescent="0.6">
      <c r="EB1424" s="335">
        <v>40885</v>
      </c>
      <c r="EC1424" s="62">
        <v>138.46</v>
      </c>
      <c r="ED1424" s="62">
        <v>1234.349976</v>
      </c>
      <c r="FR1424" s="335"/>
    </row>
    <row r="1425" spans="132:174" x14ac:dyDescent="0.6">
      <c r="EB1425" s="335">
        <v>40884</v>
      </c>
      <c r="EC1425" s="62">
        <v>141.1</v>
      </c>
      <c r="ED1425" s="62">
        <v>1261.01001</v>
      </c>
      <c r="FR1425" s="335"/>
    </row>
    <row r="1426" spans="132:174" x14ac:dyDescent="0.6">
      <c r="EB1426" s="335">
        <v>40883</v>
      </c>
      <c r="EC1426" s="62">
        <v>141.62</v>
      </c>
      <c r="ED1426" s="62">
        <v>1258.469971</v>
      </c>
      <c r="FR1426" s="335"/>
    </row>
    <row r="1427" spans="132:174" x14ac:dyDescent="0.6">
      <c r="EB1427" s="335">
        <v>40882</v>
      </c>
      <c r="EC1427" s="62">
        <v>143.35</v>
      </c>
      <c r="ED1427" s="62">
        <v>1257.079956</v>
      </c>
      <c r="FR1427" s="335"/>
    </row>
    <row r="1428" spans="132:174" x14ac:dyDescent="0.6">
      <c r="EB1428" s="335">
        <v>40879</v>
      </c>
      <c r="EC1428" s="62">
        <v>142.1</v>
      </c>
      <c r="ED1428" s="62">
        <v>1244.280029</v>
      </c>
      <c r="FR1428" s="335"/>
    </row>
    <row r="1429" spans="132:174" x14ac:dyDescent="0.6">
      <c r="EB1429" s="335">
        <v>40878</v>
      </c>
      <c r="EC1429" s="62">
        <v>142.56</v>
      </c>
      <c r="ED1429" s="62">
        <v>1244.579956</v>
      </c>
      <c r="FR1429" s="335"/>
    </row>
    <row r="1430" spans="132:174" x14ac:dyDescent="0.6">
      <c r="EB1430" s="335">
        <v>40877</v>
      </c>
      <c r="EC1430" s="62">
        <v>143.38</v>
      </c>
      <c r="ED1430" s="62">
        <v>1246.959961</v>
      </c>
      <c r="FR1430" s="335"/>
    </row>
    <row r="1431" spans="132:174" x14ac:dyDescent="0.6">
      <c r="EB1431" s="335">
        <v>40876</v>
      </c>
      <c r="EC1431" s="62">
        <v>138.36000000000001</v>
      </c>
      <c r="ED1431" s="62">
        <v>1195.1899410000001</v>
      </c>
      <c r="FR1431" s="335"/>
    </row>
    <row r="1432" spans="132:174" x14ac:dyDescent="0.6">
      <c r="EB1432" s="335">
        <v>40875</v>
      </c>
      <c r="EC1432" s="62">
        <v>139.55000000000001</v>
      </c>
      <c r="ED1432" s="62">
        <v>1192.5500489999999</v>
      </c>
      <c r="FR1432" s="335"/>
    </row>
    <row r="1433" spans="132:174" x14ac:dyDescent="0.6">
      <c r="EB1433" s="335">
        <v>40872</v>
      </c>
      <c r="EC1433" s="62">
        <v>133.08000000000001</v>
      </c>
      <c r="ED1433" s="62">
        <v>1158.670044</v>
      </c>
      <c r="FR1433" s="335"/>
    </row>
    <row r="1434" spans="132:174" x14ac:dyDescent="0.6">
      <c r="EB1434" s="335">
        <v>40870</v>
      </c>
      <c r="EC1434" s="62">
        <v>133.12</v>
      </c>
      <c r="ED1434" s="62">
        <v>1161.790039</v>
      </c>
      <c r="FR1434" s="335"/>
    </row>
    <row r="1435" spans="132:174" x14ac:dyDescent="0.6">
      <c r="EB1435" s="335">
        <v>40869</v>
      </c>
      <c r="EC1435" s="62">
        <v>135.4</v>
      </c>
      <c r="ED1435" s="62">
        <v>1188.040039</v>
      </c>
      <c r="FR1435" s="335"/>
    </row>
    <row r="1436" spans="132:174" x14ac:dyDescent="0.6">
      <c r="EB1436" s="335">
        <v>40868</v>
      </c>
      <c r="EC1436" s="62">
        <v>132.38999999999999</v>
      </c>
      <c r="ED1436" s="62">
        <v>1192.9799800000001</v>
      </c>
      <c r="FR1436" s="335"/>
    </row>
    <row r="1437" spans="132:174" x14ac:dyDescent="0.6">
      <c r="EB1437" s="335">
        <v>40865</v>
      </c>
      <c r="EC1437" s="62">
        <v>133.97999999999999</v>
      </c>
      <c r="ED1437" s="62">
        <v>1215.650024</v>
      </c>
      <c r="FR1437" s="335"/>
    </row>
    <row r="1438" spans="132:174" x14ac:dyDescent="0.6">
      <c r="EB1438" s="335">
        <v>40864</v>
      </c>
      <c r="EC1438" s="62">
        <v>133.86000000000001</v>
      </c>
      <c r="ED1438" s="62">
        <v>1216.130005</v>
      </c>
      <c r="FR1438" s="335"/>
    </row>
    <row r="1439" spans="132:174" x14ac:dyDescent="0.6">
      <c r="EB1439" s="335">
        <v>40863</v>
      </c>
      <c r="EC1439" s="62">
        <v>134.71</v>
      </c>
      <c r="ED1439" s="62">
        <v>1236.910034</v>
      </c>
      <c r="FR1439" s="335"/>
    </row>
    <row r="1440" spans="132:174" x14ac:dyDescent="0.6">
      <c r="EB1440" s="335">
        <v>40862</v>
      </c>
      <c r="EC1440" s="62">
        <v>137.75</v>
      </c>
      <c r="ED1440" s="62">
        <v>1257.8100589999999</v>
      </c>
      <c r="FR1440" s="335"/>
    </row>
    <row r="1441" spans="132:174" x14ac:dyDescent="0.6">
      <c r="EB1441" s="335">
        <v>40861</v>
      </c>
      <c r="EC1441" s="62">
        <v>135.31</v>
      </c>
      <c r="ED1441" s="62">
        <v>1251.780029</v>
      </c>
      <c r="FR1441" s="335"/>
    </row>
    <row r="1442" spans="132:174" x14ac:dyDescent="0.6">
      <c r="EB1442" s="335">
        <v>40858</v>
      </c>
      <c r="EC1442" s="62">
        <v>136.18</v>
      </c>
      <c r="ED1442" s="62">
        <v>1263.849976</v>
      </c>
      <c r="FR1442" s="335"/>
    </row>
    <row r="1443" spans="132:174" x14ac:dyDescent="0.6">
      <c r="EB1443" s="335">
        <v>40857</v>
      </c>
      <c r="EC1443" s="62">
        <v>133.97</v>
      </c>
      <c r="ED1443" s="62">
        <v>1239.6999510000001</v>
      </c>
      <c r="FR1443" s="335"/>
    </row>
    <row r="1444" spans="132:174" x14ac:dyDescent="0.6">
      <c r="EB1444" s="335">
        <v>40856</v>
      </c>
      <c r="EC1444" s="62">
        <v>133.79</v>
      </c>
      <c r="ED1444" s="62">
        <v>1229.099976</v>
      </c>
      <c r="FR1444" s="335"/>
    </row>
    <row r="1445" spans="132:174" x14ac:dyDescent="0.6">
      <c r="EB1445" s="335">
        <v>40855</v>
      </c>
      <c r="EC1445" s="62">
        <v>135.97</v>
      </c>
      <c r="ED1445" s="62">
        <v>1275.920044</v>
      </c>
      <c r="FR1445" s="335"/>
    </row>
    <row r="1446" spans="132:174" x14ac:dyDescent="0.6">
      <c r="EB1446" s="335">
        <v>40854</v>
      </c>
      <c r="EC1446" s="62">
        <v>135.85</v>
      </c>
      <c r="ED1446" s="62">
        <v>1261.119995</v>
      </c>
      <c r="FR1446" s="335"/>
    </row>
    <row r="1447" spans="132:174" x14ac:dyDescent="0.6">
      <c r="EB1447" s="335">
        <v>40851</v>
      </c>
      <c r="EC1447" s="62">
        <v>135.57</v>
      </c>
      <c r="ED1447" s="62">
        <v>1253.2299800000001</v>
      </c>
      <c r="FR1447" s="335"/>
    </row>
    <row r="1448" spans="132:174" x14ac:dyDescent="0.6">
      <c r="EB1448" s="335">
        <v>40850</v>
      </c>
      <c r="EC1448" s="62">
        <v>135.08000000000001</v>
      </c>
      <c r="ED1448" s="62">
        <v>1261.150024</v>
      </c>
      <c r="FR1448" s="335"/>
    </row>
    <row r="1449" spans="132:174" x14ac:dyDescent="0.6">
      <c r="EB1449" s="335">
        <v>40849</v>
      </c>
      <c r="EC1449" s="62">
        <v>134.9</v>
      </c>
      <c r="ED1449" s="62">
        <v>1237.900024</v>
      </c>
      <c r="FR1449" s="335"/>
    </row>
    <row r="1450" spans="132:174" x14ac:dyDescent="0.6">
      <c r="EB1450" s="335">
        <v>40848</v>
      </c>
      <c r="EC1450" s="62">
        <v>132.13</v>
      </c>
      <c r="ED1450" s="62">
        <v>1218.280029</v>
      </c>
      <c r="FR1450" s="335"/>
    </row>
    <row r="1451" spans="132:174" x14ac:dyDescent="0.6">
      <c r="EB1451" s="335">
        <v>40847</v>
      </c>
      <c r="EC1451" s="62">
        <v>133.69</v>
      </c>
      <c r="ED1451" s="62">
        <v>1253.3000489999999</v>
      </c>
      <c r="FR1451" s="335"/>
    </row>
    <row r="1452" spans="132:174" x14ac:dyDescent="0.6">
      <c r="EB1452" s="335">
        <v>40844</v>
      </c>
      <c r="EC1452" s="62">
        <v>133.96</v>
      </c>
      <c r="ED1452" s="62">
        <v>1285.089966</v>
      </c>
      <c r="FR1452" s="335"/>
    </row>
    <row r="1453" spans="132:174" x14ac:dyDescent="0.6">
      <c r="EB1453" s="335">
        <v>40843</v>
      </c>
      <c r="EC1453" s="62">
        <v>135.49</v>
      </c>
      <c r="ED1453" s="62">
        <v>1284.589966</v>
      </c>
      <c r="FR1453" s="335"/>
    </row>
    <row r="1454" spans="132:174" x14ac:dyDescent="0.6">
      <c r="EB1454" s="335">
        <v>40842</v>
      </c>
      <c r="EC1454" s="62">
        <v>133.63999999999999</v>
      </c>
      <c r="ED1454" s="62">
        <v>1242</v>
      </c>
      <c r="FR1454" s="335"/>
    </row>
    <row r="1455" spans="132:174" x14ac:dyDescent="0.6">
      <c r="EB1455" s="335">
        <v>40841</v>
      </c>
      <c r="EC1455" s="62">
        <v>115.72</v>
      </c>
      <c r="ED1455" s="62">
        <v>1229.0500489999999</v>
      </c>
      <c r="FR1455" s="335"/>
    </row>
    <row r="1456" spans="132:174" x14ac:dyDescent="0.6">
      <c r="EB1456" s="335">
        <v>40840</v>
      </c>
      <c r="EC1456" s="62">
        <v>116.78</v>
      </c>
      <c r="ED1456" s="62">
        <v>1254.1899410000001</v>
      </c>
      <c r="FR1456" s="335"/>
    </row>
    <row r="1457" spans="132:174" x14ac:dyDescent="0.6">
      <c r="EB1457" s="335">
        <v>40837</v>
      </c>
      <c r="EC1457" s="62">
        <v>111.7</v>
      </c>
      <c r="ED1457" s="62">
        <v>1238.25</v>
      </c>
      <c r="FR1457" s="335"/>
    </row>
    <row r="1458" spans="132:174" x14ac:dyDescent="0.6">
      <c r="EB1458" s="335">
        <v>40836</v>
      </c>
      <c r="EC1458" s="62">
        <v>105.85</v>
      </c>
      <c r="ED1458" s="62">
        <v>1215.3900149999999</v>
      </c>
      <c r="FR1458" s="335"/>
    </row>
    <row r="1459" spans="132:174" x14ac:dyDescent="0.6">
      <c r="EB1459" s="335">
        <v>40835</v>
      </c>
      <c r="EC1459" s="62">
        <v>104.9</v>
      </c>
      <c r="ED1459" s="62">
        <v>1209.880005</v>
      </c>
      <c r="FR1459" s="335"/>
    </row>
    <row r="1460" spans="132:174" x14ac:dyDescent="0.6">
      <c r="EB1460" s="335">
        <v>40834</v>
      </c>
      <c r="EC1460" s="62">
        <v>108.74</v>
      </c>
      <c r="ED1460" s="62">
        <v>1225.380005</v>
      </c>
      <c r="FR1460" s="335"/>
    </row>
    <row r="1461" spans="132:174" x14ac:dyDescent="0.6">
      <c r="EB1461" s="335">
        <v>40833</v>
      </c>
      <c r="EC1461" s="62">
        <v>107.23</v>
      </c>
      <c r="ED1461" s="62">
        <v>1200.8599850000001</v>
      </c>
      <c r="FR1461" s="335"/>
    </row>
    <row r="1462" spans="132:174" x14ac:dyDescent="0.6">
      <c r="EB1462" s="335">
        <v>40830</v>
      </c>
      <c r="EC1462" s="62">
        <v>110.35</v>
      </c>
      <c r="ED1462" s="62">
        <v>1224.579956</v>
      </c>
      <c r="FR1462" s="335"/>
    </row>
    <row r="1463" spans="132:174" x14ac:dyDescent="0.6">
      <c r="EB1463" s="335">
        <v>40829</v>
      </c>
      <c r="EC1463" s="62">
        <v>111.61</v>
      </c>
      <c r="ED1463" s="62">
        <v>1203.660034</v>
      </c>
      <c r="FR1463" s="335"/>
    </row>
    <row r="1464" spans="132:174" x14ac:dyDescent="0.6">
      <c r="EB1464" s="335">
        <v>40828</v>
      </c>
      <c r="EC1464" s="62">
        <v>109.75</v>
      </c>
      <c r="ED1464" s="62">
        <v>1207.25</v>
      </c>
      <c r="FR1464" s="335"/>
    </row>
    <row r="1465" spans="132:174" x14ac:dyDescent="0.6">
      <c r="EB1465" s="335">
        <v>40827</v>
      </c>
      <c r="EC1465" s="62">
        <v>108.12</v>
      </c>
      <c r="ED1465" s="62">
        <v>1195.540039</v>
      </c>
      <c r="FR1465" s="335"/>
    </row>
    <row r="1466" spans="132:174" x14ac:dyDescent="0.6">
      <c r="EB1466" s="335">
        <v>40826</v>
      </c>
      <c r="EC1466" s="62">
        <v>108.47</v>
      </c>
      <c r="ED1466" s="62">
        <v>1194.8900149999999</v>
      </c>
      <c r="FR1466" s="335"/>
    </row>
    <row r="1467" spans="132:174" x14ac:dyDescent="0.6">
      <c r="EB1467" s="335">
        <v>40823</v>
      </c>
      <c r="EC1467" s="62">
        <v>103.98</v>
      </c>
      <c r="ED1467" s="62">
        <v>1155.459961</v>
      </c>
      <c r="FR1467" s="335"/>
    </row>
    <row r="1468" spans="132:174" x14ac:dyDescent="0.6">
      <c r="EB1468" s="335">
        <v>40822</v>
      </c>
      <c r="EC1468" s="62">
        <v>106.8</v>
      </c>
      <c r="ED1468" s="62">
        <v>1164.969971</v>
      </c>
      <c r="FR1468" s="335"/>
    </row>
    <row r="1469" spans="132:174" x14ac:dyDescent="0.6">
      <c r="EB1469" s="335">
        <v>40821</v>
      </c>
      <c r="EC1469" s="62">
        <v>106.07</v>
      </c>
      <c r="ED1469" s="62">
        <v>1144.030029</v>
      </c>
      <c r="FR1469" s="335"/>
    </row>
    <row r="1470" spans="132:174" x14ac:dyDescent="0.6">
      <c r="EB1470" s="335">
        <v>40820</v>
      </c>
      <c r="EC1470" s="62">
        <v>105.7</v>
      </c>
      <c r="ED1470" s="62">
        <v>1123.9499510000001</v>
      </c>
      <c r="FR1470" s="335"/>
    </row>
    <row r="1471" spans="132:174" x14ac:dyDescent="0.6">
      <c r="EB1471" s="335">
        <v>40819</v>
      </c>
      <c r="EC1471" s="62">
        <v>101.17</v>
      </c>
      <c r="ED1471" s="62">
        <v>1099.2299800000001</v>
      </c>
      <c r="FR1471" s="335"/>
    </row>
    <row r="1472" spans="132:174" x14ac:dyDescent="0.6">
      <c r="EB1472" s="335">
        <v>40816</v>
      </c>
      <c r="EC1472" s="62">
        <v>103.94</v>
      </c>
      <c r="ED1472" s="62">
        <v>1131.420044</v>
      </c>
      <c r="FR1472" s="335"/>
    </row>
    <row r="1473" spans="132:174" x14ac:dyDescent="0.6">
      <c r="EB1473" s="335">
        <v>40815</v>
      </c>
      <c r="EC1473" s="62">
        <v>107.68</v>
      </c>
      <c r="ED1473" s="62">
        <v>1160.400024</v>
      </c>
      <c r="FR1473" s="335"/>
    </row>
    <row r="1474" spans="132:174" x14ac:dyDescent="0.6">
      <c r="EB1474" s="335">
        <v>40814</v>
      </c>
      <c r="EC1474" s="62">
        <v>108.82</v>
      </c>
      <c r="ED1474" s="62">
        <v>1151.0600589999999</v>
      </c>
      <c r="FR1474" s="335"/>
    </row>
    <row r="1475" spans="132:174" x14ac:dyDescent="0.6">
      <c r="EB1475" s="335">
        <v>40813</v>
      </c>
      <c r="EC1475" s="62">
        <v>114.06</v>
      </c>
      <c r="ED1475" s="62">
        <v>1175.380005</v>
      </c>
      <c r="FR1475" s="335"/>
    </row>
    <row r="1476" spans="132:174" x14ac:dyDescent="0.6">
      <c r="EB1476" s="335">
        <v>40812</v>
      </c>
      <c r="EC1476" s="62">
        <v>115.77</v>
      </c>
      <c r="ED1476" s="62">
        <v>1162.9499510000001</v>
      </c>
      <c r="FR1476" s="335"/>
    </row>
    <row r="1477" spans="132:174" x14ac:dyDescent="0.6">
      <c r="EB1477" s="335">
        <v>40809</v>
      </c>
      <c r="EC1477" s="62">
        <v>111.09</v>
      </c>
      <c r="ED1477" s="62">
        <v>1136.4300539999999</v>
      </c>
      <c r="FR1477" s="335"/>
    </row>
    <row r="1478" spans="132:174" x14ac:dyDescent="0.6">
      <c r="EB1478" s="335">
        <v>40808</v>
      </c>
      <c r="EC1478" s="62">
        <v>108.26</v>
      </c>
      <c r="ED1478" s="62">
        <v>1129.5600589999999</v>
      </c>
      <c r="FR1478" s="335"/>
    </row>
    <row r="1479" spans="132:174" x14ac:dyDescent="0.6">
      <c r="EB1479" s="335">
        <v>40807</v>
      </c>
      <c r="EC1479" s="62">
        <v>112.52</v>
      </c>
      <c r="ED1479" s="62">
        <v>1166.76001</v>
      </c>
      <c r="FR1479" s="335"/>
    </row>
    <row r="1480" spans="132:174" x14ac:dyDescent="0.6">
      <c r="EB1480" s="335">
        <v>40806</v>
      </c>
      <c r="EC1480" s="62">
        <v>114.83</v>
      </c>
      <c r="ED1480" s="62">
        <v>1202.089966</v>
      </c>
      <c r="FR1480" s="335"/>
    </row>
    <row r="1481" spans="132:174" x14ac:dyDescent="0.6">
      <c r="EB1481" s="335">
        <v>40805</v>
      </c>
      <c r="EC1481" s="62">
        <v>116.15</v>
      </c>
      <c r="ED1481" s="62">
        <v>1204.089966</v>
      </c>
      <c r="FR1481" s="335"/>
    </row>
    <row r="1482" spans="132:174" x14ac:dyDescent="0.6">
      <c r="EB1482" s="335">
        <v>40802</v>
      </c>
      <c r="EC1482" s="62">
        <v>112.88</v>
      </c>
      <c r="ED1482" s="62">
        <v>1216.01001</v>
      </c>
      <c r="FR1482" s="335"/>
    </row>
    <row r="1483" spans="132:174" x14ac:dyDescent="0.6">
      <c r="EB1483" s="335">
        <v>40801</v>
      </c>
      <c r="EC1483" s="62">
        <v>112.44</v>
      </c>
      <c r="ED1483" s="62">
        <v>1209.1099850000001</v>
      </c>
      <c r="FR1483" s="335"/>
    </row>
    <row r="1484" spans="132:174" x14ac:dyDescent="0.6">
      <c r="EB1484" s="335">
        <v>40800</v>
      </c>
      <c r="EC1484" s="62">
        <v>112.23</v>
      </c>
      <c r="ED1484" s="62">
        <v>1188.6800539999999</v>
      </c>
      <c r="FR1484" s="335"/>
    </row>
    <row r="1485" spans="132:174" x14ac:dyDescent="0.6">
      <c r="EB1485" s="335">
        <v>40799</v>
      </c>
      <c r="EC1485" s="62">
        <v>109.2</v>
      </c>
      <c r="ED1485" s="62">
        <v>1172.869995</v>
      </c>
      <c r="FR1485" s="335"/>
    </row>
    <row r="1486" spans="132:174" x14ac:dyDescent="0.6">
      <c r="EB1486" s="335">
        <v>40798</v>
      </c>
      <c r="EC1486" s="62">
        <v>108.77</v>
      </c>
      <c r="ED1486" s="62">
        <v>1162.2700199999999</v>
      </c>
      <c r="FR1486" s="335"/>
    </row>
    <row r="1487" spans="132:174" x14ac:dyDescent="0.6">
      <c r="EB1487" s="335">
        <v>40795</v>
      </c>
      <c r="EC1487" s="62">
        <v>108.97</v>
      </c>
      <c r="ED1487" s="62">
        <v>1154.2299800000001</v>
      </c>
      <c r="FR1487" s="335"/>
    </row>
    <row r="1488" spans="132:174" x14ac:dyDescent="0.6">
      <c r="EB1488" s="335">
        <v>40794</v>
      </c>
      <c r="EC1488" s="62">
        <v>111.83</v>
      </c>
      <c r="ED1488" s="62">
        <v>1185.900024</v>
      </c>
      <c r="FR1488" s="335"/>
    </row>
    <row r="1489" spans="132:174" x14ac:dyDescent="0.6">
      <c r="EB1489" s="335">
        <v>40793</v>
      </c>
      <c r="EC1489" s="62">
        <v>112.5</v>
      </c>
      <c r="ED1489" s="62">
        <v>1198.619995</v>
      </c>
      <c r="FR1489" s="335"/>
    </row>
    <row r="1490" spans="132:174" x14ac:dyDescent="0.6">
      <c r="EB1490" s="335">
        <v>40792</v>
      </c>
      <c r="EC1490" s="62">
        <v>111.28</v>
      </c>
      <c r="ED1490" s="62">
        <v>1165.23999</v>
      </c>
      <c r="FR1490" s="335"/>
    </row>
    <row r="1491" spans="132:174" x14ac:dyDescent="0.6">
      <c r="EB1491" s="335">
        <v>40788</v>
      </c>
      <c r="EC1491" s="62">
        <v>110.52</v>
      </c>
      <c r="ED1491" s="62">
        <v>1173.969971</v>
      </c>
      <c r="FR1491" s="335"/>
    </row>
    <row r="1492" spans="132:174" x14ac:dyDescent="0.6">
      <c r="EB1492" s="335">
        <v>40787</v>
      </c>
      <c r="EC1492" s="62">
        <v>113.35</v>
      </c>
      <c r="ED1492" s="62">
        <v>1204.420044</v>
      </c>
      <c r="FR1492" s="335"/>
    </row>
    <row r="1493" spans="132:174" x14ac:dyDescent="0.6">
      <c r="EB1493" s="335">
        <v>40786</v>
      </c>
      <c r="EC1493" s="62">
        <v>115.15</v>
      </c>
      <c r="ED1493" s="62">
        <v>1218.8900149999999</v>
      </c>
      <c r="FR1493" s="335"/>
    </row>
    <row r="1494" spans="132:174" x14ac:dyDescent="0.6">
      <c r="EB1494" s="335">
        <v>40785</v>
      </c>
      <c r="EC1494" s="62">
        <v>115.94</v>
      </c>
      <c r="ED1494" s="62">
        <v>1212.920044</v>
      </c>
      <c r="FR1494" s="335"/>
    </row>
    <row r="1495" spans="132:174" x14ac:dyDescent="0.6">
      <c r="EB1495" s="335">
        <v>40784</v>
      </c>
      <c r="EC1495" s="62">
        <v>115.12</v>
      </c>
      <c r="ED1495" s="62">
        <v>1210.079956</v>
      </c>
      <c r="FR1495" s="335"/>
    </row>
    <row r="1496" spans="132:174" x14ac:dyDescent="0.6">
      <c r="EB1496" s="335">
        <v>40781</v>
      </c>
      <c r="EC1496" s="62">
        <v>110.95</v>
      </c>
      <c r="ED1496" s="62">
        <v>1176.8000489999999</v>
      </c>
      <c r="FR1496" s="335"/>
    </row>
    <row r="1497" spans="132:174" x14ac:dyDescent="0.6">
      <c r="EB1497" s="335">
        <v>40780</v>
      </c>
      <c r="EC1497" s="62">
        <v>107.2</v>
      </c>
      <c r="ED1497" s="62">
        <v>1159.2700199999999</v>
      </c>
      <c r="FR1497" s="335"/>
    </row>
    <row r="1498" spans="132:174" x14ac:dyDescent="0.6">
      <c r="EB1498" s="335">
        <v>40779</v>
      </c>
      <c r="EC1498" s="62">
        <v>108.56</v>
      </c>
      <c r="ED1498" s="62">
        <v>1177.599976</v>
      </c>
      <c r="FR1498" s="335"/>
    </row>
    <row r="1499" spans="132:174" x14ac:dyDescent="0.6">
      <c r="EB1499" s="335">
        <v>40778</v>
      </c>
      <c r="EC1499" s="62">
        <v>107.85</v>
      </c>
      <c r="ED1499" s="62">
        <v>1162.349976</v>
      </c>
      <c r="FR1499" s="335"/>
    </row>
    <row r="1500" spans="132:174" x14ac:dyDescent="0.6">
      <c r="EB1500" s="335">
        <v>40777</v>
      </c>
      <c r="EC1500" s="62">
        <v>103.95</v>
      </c>
      <c r="ED1500" s="62">
        <v>1123.8199460000001</v>
      </c>
      <c r="FR1500" s="335"/>
    </row>
    <row r="1501" spans="132:174" x14ac:dyDescent="0.6">
      <c r="EB1501" s="335">
        <v>40774</v>
      </c>
      <c r="EC1501" s="62">
        <v>102.45</v>
      </c>
      <c r="ED1501" s="62">
        <v>1123.530029</v>
      </c>
      <c r="FR1501" s="335"/>
    </row>
    <row r="1502" spans="132:174" x14ac:dyDescent="0.6">
      <c r="EB1502" s="335">
        <v>40773</v>
      </c>
      <c r="EC1502" s="62">
        <v>102.11</v>
      </c>
      <c r="ED1502" s="62">
        <v>1140.650024</v>
      </c>
      <c r="FR1502" s="335"/>
    </row>
    <row r="1503" spans="132:174" x14ac:dyDescent="0.6">
      <c r="EB1503" s="335">
        <v>40772</v>
      </c>
      <c r="EC1503" s="62">
        <v>106.52</v>
      </c>
      <c r="ED1503" s="62">
        <v>1193.8900149999999</v>
      </c>
      <c r="FR1503" s="335"/>
    </row>
    <row r="1504" spans="132:174" x14ac:dyDescent="0.6">
      <c r="EB1504" s="335">
        <v>40771</v>
      </c>
      <c r="EC1504" s="62">
        <v>107.5</v>
      </c>
      <c r="ED1504" s="62">
        <v>1192.76001</v>
      </c>
      <c r="FR1504" s="335"/>
    </row>
    <row r="1505" spans="132:174" x14ac:dyDescent="0.6">
      <c r="EB1505" s="335">
        <v>40770</v>
      </c>
      <c r="EC1505" s="62">
        <v>108.85</v>
      </c>
      <c r="ED1505" s="62">
        <v>1204.48999</v>
      </c>
      <c r="FR1505" s="335"/>
    </row>
    <row r="1506" spans="132:174" x14ac:dyDescent="0.6">
      <c r="EB1506" s="335">
        <v>40767</v>
      </c>
      <c r="EC1506" s="62">
        <v>107.22</v>
      </c>
      <c r="ED1506" s="62">
        <v>1178.8100589999999</v>
      </c>
      <c r="FR1506" s="335"/>
    </row>
    <row r="1507" spans="132:174" x14ac:dyDescent="0.6">
      <c r="EB1507" s="335">
        <v>40766</v>
      </c>
      <c r="EC1507" s="62">
        <v>106.04</v>
      </c>
      <c r="ED1507" s="62">
        <v>1172.6400149999999</v>
      </c>
      <c r="FR1507" s="335"/>
    </row>
    <row r="1508" spans="132:174" x14ac:dyDescent="0.6">
      <c r="EB1508" s="335">
        <v>40765</v>
      </c>
      <c r="EC1508" s="62">
        <v>99.3</v>
      </c>
      <c r="ED1508" s="62">
        <v>1120.76001</v>
      </c>
      <c r="FR1508" s="335"/>
    </row>
    <row r="1509" spans="132:174" x14ac:dyDescent="0.6">
      <c r="EB1509" s="335">
        <v>40764</v>
      </c>
      <c r="EC1509" s="62">
        <v>102.98</v>
      </c>
      <c r="ED1509" s="62">
        <v>1172.530029</v>
      </c>
      <c r="FR1509" s="335"/>
    </row>
    <row r="1510" spans="132:174" x14ac:dyDescent="0.6">
      <c r="EB1510" s="335">
        <v>40763</v>
      </c>
      <c r="EC1510" s="62">
        <v>96.68</v>
      </c>
      <c r="ED1510" s="62">
        <v>1119.459961</v>
      </c>
      <c r="FR1510" s="335"/>
    </row>
    <row r="1511" spans="132:174" x14ac:dyDescent="0.6">
      <c r="EB1511" s="335">
        <v>40760</v>
      </c>
      <c r="EC1511" s="62">
        <v>105.6</v>
      </c>
      <c r="ED1511" s="62">
        <v>1199.380005</v>
      </c>
      <c r="FR1511" s="335"/>
    </row>
    <row r="1512" spans="132:174" x14ac:dyDescent="0.6">
      <c r="EB1512" s="335">
        <v>40759</v>
      </c>
      <c r="EC1512" s="62">
        <v>105.64</v>
      </c>
      <c r="ED1512" s="62">
        <v>1200.0699460000001</v>
      </c>
      <c r="FR1512" s="335"/>
    </row>
    <row r="1513" spans="132:174" x14ac:dyDescent="0.6">
      <c r="EB1513" s="335">
        <v>40758</v>
      </c>
      <c r="EC1513" s="62">
        <v>112.5</v>
      </c>
      <c r="ED1513" s="62">
        <v>1260.339966</v>
      </c>
      <c r="FR1513" s="335"/>
    </row>
    <row r="1514" spans="132:174" x14ac:dyDescent="0.6">
      <c r="EB1514" s="335">
        <v>40757</v>
      </c>
      <c r="EC1514" s="62">
        <v>111.48</v>
      </c>
      <c r="ED1514" s="62">
        <v>1254.0500489999999</v>
      </c>
      <c r="FR1514" s="335"/>
    </row>
    <row r="1515" spans="132:174" x14ac:dyDescent="0.6">
      <c r="EB1515" s="335">
        <v>40756</v>
      </c>
      <c r="EC1515" s="62">
        <v>114.27</v>
      </c>
      <c r="ED1515" s="62">
        <v>1286.9399410000001</v>
      </c>
      <c r="FR1515" s="335"/>
    </row>
    <row r="1516" spans="132:174" x14ac:dyDescent="0.6">
      <c r="EB1516" s="335">
        <v>40753</v>
      </c>
      <c r="EC1516" s="62">
        <v>115.35</v>
      </c>
      <c r="ED1516" s="62">
        <v>1292.280029</v>
      </c>
      <c r="FR1516" s="335"/>
    </row>
    <row r="1517" spans="132:174" x14ac:dyDescent="0.6">
      <c r="EB1517" s="335">
        <v>40752</v>
      </c>
      <c r="EC1517" s="62">
        <v>115.69</v>
      </c>
      <c r="ED1517" s="62">
        <v>1300.670044</v>
      </c>
      <c r="FR1517" s="335"/>
    </row>
    <row r="1518" spans="132:174" x14ac:dyDescent="0.6">
      <c r="EB1518" s="335">
        <v>40751</v>
      </c>
      <c r="EC1518" s="62">
        <v>116.8</v>
      </c>
      <c r="ED1518" s="62">
        <v>1304.8900149999999</v>
      </c>
      <c r="FR1518" s="335"/>
    </row>
    <row r="1519" spans="132:174" x14ac:dyDescent="0.6">
      <c r="EB1519" s="335">
        <v>40750</v>
      </c>
      <c r="EC1519" s="62">
        <v>129.28</v>
      </c>
      <c r="ED1519" s="62">
        <v>1331.9399410000001</v>
      </c>
      <c r="FR1519" s="335"/>
    </row>
    <row r="1520" spans="132:174" x14ac:dyDescent="0.6">
      <c r="EB1520" s="335">
        <v>40749</v>
      </c>
      <c r="EC1520" s="62">
        <v>129.13999999999999</v>
      </c>
      <c r="ED1520" s="62">
        <v>1337.4300539999999</v>
      </c>
      <c r="FR1520" s="335"/>
    </row>
    <row r="1521" spans="132:174" x14ac:dyDescent="0.6">
      <c r="EB1521" s="335">
        <v>40746</v>
      </c>
      <c r="EC1521" s="62">
        <v>130.9</v>
      </c>
      <c r="ED1521" s="62">
        <v>1345.0200199999999</v>
      </c>
      <c r="FR1521" s="335"/>
    </row>
    <row r="1522" spans="132:174" x14ac:dyDescent="0.6">
      <c r="EB1522" s="335">
        <v>40745</v>
      </c>
      <c r="EC1522" s="62">
        <v>129.69999999999999</v>
      </c>
      <c r="ED1522" s="62">
        <v>1343.8000489999999</v>
      </c>
      <c r="FR1522" s="335"/>
    </row>
    <row r="1523" spans="132:174" x14ac:dyDescent="0.6">
      <c r="EB1523" s="335">
        <v>40744</v>
      </c>
      <c r="EC1523" s="62">
        <v>129.19</v>
      </c>
      <c r="ED1523" s="62">
        <v>1325.839966</v>
      </c>
      <c r="FR1523" s="335"/>
    </row>
    <row r="1524" spans="132:174" x14ac:dyDescent="0.6">
      <c r="EB1524" s="335">
        <v>40743</v>
      </c>
      <c r="EC1524" s="62">
        <v>131.31</v>
      </c>
      <c r="ED1524" s="62">
        <v>1326.7299800000001</v>
      </c>
      <c r="FR1524" s="335"/>
    </row>
    <row r="1525" spans="132:174" x14ac:dyDescent="0.6">
      <c r="EB1525" s="335">
        <v>40742</v>
      </c>
      <c r="EC1525" s="62">
        <v>128.33000000000001</v>
      </c>
      <c r="ED1525" s="62">
        <v>1305.4399410000001</v>
      </c>
      <c r="FR1525" s="335"/>
    </row>
    <row r="1526" spans="132:174" x14ac:dyDescent="0.6">
      <c r="EB1526" s="335">
        <v>40739</v>
      </c>
      <c r="EC1526" s="62">
        <v>130.24</v>
      </c>
      <c r="ED1526" s="62">
        <v>1316.1400149999999</v>
      </c>
      <c r="FR1526" s="335"/>
    </row>
    <row r="1527" spans="132:174" x14ac:dyDescent="0.6">
      <c r="EB1527" s="335">
        <v>40738</v>
      </c>
      <c r="EC1527" s="62">
        <v>130.6</v>
      </c>
      <c r="ED1527" s="62">
        <v>1308.869995</v>
      </c>
      <c r="FR1527" s="335"/>
    </row>
    <row r="1528" spans="132:174" x14ac:dyDescent="0.6">
      <c r="EB1528" s="335">
        <v>40737</v>
      </c>
      <c r="EC1528" s="62">
        <v>131.75</v>
      </c>
      <c r="ED1528" s="62">
        <v>1317.719971</v>
      </c>
      <c r="FR1528" s="335"/>
    </row>
    <row r="1529" spans="132:174" x14ac:dyDescent="0.6">
      <c r="EB1529" s="335">
        <v>40736</v>
      </c>
      <c r="EC1529" s="62">
        <v>130.21</v>
      </c>
      <c r="ED1529" s="62">
        <v>1313.6400149999999</v>
      </c>
      <c r="FR1529" s="335"/>
    </row>
    <row r="1530" spans="132:174" x14ac:dyDescent="0.6">
      <c r="EB1530" s="335">
        <v>40735</v>
      </c>
      <c r="EC1530" s="62">
        <v>130.12</v>
      </c>
      <c r="ED1530" s="62">
        <v>1319.48999</v>
      </c>
      <c r="FR1530" s="335"/>
    </row>
    <row r="1531" spans="132:174" x14ac:dyDescent="0.6">
      <c r="EB1531" s="335">
        <v>40732</v>
      </c>
      <c r="EC1531" s="62">
        <v>131.94</v>
      </c>
      <c r="ED1531" s="62">
        <v>1343.8000489999999</v>
      </c>
      <c r="FR1531" s="335"/>
    </row>
    <row r="1532" spans="132:174" x14ac:dyDescent="0.6">
      <c r="EB1532" s="335">
        <v>40731</v>
      </c>
      <c r="EC1532" s="62">
        <v>131.96</v>
      </c>
      <c r="ED1532" s="62">
        <v>1353.219971</v>
      </c>
      <c r="FR1532" s="335"/>
    </row>
    <row r="1533" spans="132:174" x14ac:dyDescent="0.6">
      <c r="EB1533" s="335">
        <v>40730</v>
      </c>
      <c r="EC1533" s="62">
        <v>130.21</v>
      </c>
      <c r="ED1533" s="62">
        <v>1339.219971</v>
      </c>
      <c r="FR1533" s="335"/>
    </row>
    <row r="1534" spans="132:174" x14ac:dyDescent="0.6">
      <c r="EB1534" s="335">
        <v>40729</v>
      </c>
      <c r="EC1534" s="62">
        <v>131.81</v>
      </c>
      <c r="ED1534" s="62">
        <v>1337.880005</v>
      </c>
      <c r="FR1534" s="335"/>
    </row>
    <row r="1535" spans="132:174" x14ac:dyDescent="0.6">
      <c r="EB1535" s="335">
        <v>40725</v>
      </c>
      <c r="EC1535" s="62">
        <v>130.28</v>
      </c>
      <c r="ED1535" s="62">
        <v>1339.670044</v>
      </c>
      <c r="FR1535" s="335"/>
    </row>
    <row r="1536" spans="132:174" x14ac:dyDescent="0.6">
      <c r="EB1536" s="335">
        <v>40724</v>
      </c>
      <c r="EC1536" s="62">
        <v>125.66</v>
      </c>
      <c r="ED1536" s="62">
        <v>1320.6400149999999</v>
      </c>
      <c r="FR1536" s="335"/>
    </row>
    <row r="1537" spans="132:174" x14ac:dyDescent="0.6">
      <c r="EB1537" s="335">
        <v>40723</v>
      </c>
      <c r="EC1537" s="62">
        <v>127.07</v>
      </c>
      <c r="ED1537" s="62">
        <v>1307.410034</v>
      </c>
      <c r="FR1537" s="335"/>
    </row>
    <row r="1538" spans="132:174" x14ac:dyDescent="0.6">
      <c r="EB1538" s="335">
        <v>40722</v>
      </c>
      <c r="EC1538" s="62">
        <v>127.94</v>
      </c>
      <c r="ED1538" s="62">
        <v>1296.670044</v>
      </c>
      <c r="FR1538" s="335"/>
    </row>
    <row r="1539" spans="132:174" x14ac:dyDescent="0.6">
      <c r="EB1539" s="335">
        <v>40721</v>
      </c>
      <c r="EC1539" s="62">
        <v>126.25</v>
      </c>
      <c r="ED1539" s="62">
        <v>1280.099976</v>
      </c>
      <c r="FR1539" s="335"/>
    </row>
    <row r="1540" spans="132:174" x14ac:dyDescent="0.6">
      <c r="EB1540" s="335">
        <v>40718</v>
      </c>
      <c r="EC1540" s="62">
        <v>125.66</v>
      </c>
      <c r="ED1540" s="62">
        <v>1268.4499510000001</v>
      </c>
      <c r="FR1540" s="335"/>
    </row>
    <row r="1541" spans="132:174" x14ac:dyDescent="0.6">
      <c r="EB1541" s="335">
        <v>40717</v>
      </c>
      <c r="EC1541" s="62">
        <v>124.29</v>
      </c>
      <c r="ED1541" s="62">
        <v>1283.5</v>
      </c>
      <c r="FR1541" s="335"/>
    </row>
    <row r="1542" spans="132:174" x14ac:dyDescent="0.6">
      <c r="EB1542" s="335">
        <v>40716</v>
      </c>
      <c r="EC1542" s="62">
        <v>121.19</v>
      </c>
      <c r="ED1542" s="62">
        <v>1287.1400149999999</v>
      </c>
      <c r="FR1542" s="335"/>
    </row>
    <row r="1543" spans="132:174" x14ac:dyDescent="0.6">
      <c r="EB1543" s="335">
        <v>40715</v>
      </c>
      <c r="EC1543" s="62">
        <v>121.85</v>
      </c>
      <c r="ED1543" s="62">
        <v>1295.5200199999999</v>
      </c>
      <c r="FR1543" s="335"/>
    </row>
    <row r="1544" spans="132:174" x14ac:dyDescent="0.6">
      <c r="EB1544" s="335">
        <v>40714</v>
      </c>
      <c r="EC1544" s="62">
        <v>119.85</v>
      </c>
      <c r="ED1544" s="62">
        <v>1278.3599850000001</v>
      </c>
      <c r="FR1544" s="335"/>
    </row>
    <row r="1545" spans="132:174" x14ac:dyDescent="0.6">
      <c r="EB1545" s="335">
        <v>40711</v>
      </c>
      <c r="EC1545" s="62">
        <v>117.67</v>
      </c>
      <c r="ED1545" s="62">
        <v>1271.5</v>
      </c>
      <c r="FR1545" s="335"/>
    </row>
    <row r="1546" spans="132:174" x14ac:dyDescent="0.6">
      <c r="EB1546" s="335">
        <v>40710</v>
      </c>
      <c r="EC1546" s="62">
        <v>118.25</v>
      </c>
      <c r="ED1546" s="62">
        <v>1267.6400149999999</v>
      </c>
      <c r="FR1546" s="335"/>
    </row>
    <row r="1547" spans="132:174" x14ac:dyDescent="0.6">
      <c r="EB1547" s="335">
        <v>40709</v>
      </c>
      <c r="EC1547" s="62">
        <v>118.01</v>
      </c>
      <c r="ED1547" s="62">
        <v>1265.420044</v>
      </c>
      <c r="FR1547" s="335"/>
    </row>
    <row r="1548" spans="132:174" x14ac:dyDescent="0.6">
      <c r="EB1548" s="335">
        <v>40708</v>
      </c>
      <c r="EC1548" s="62">
        <v>119.07</v>
      </c>
      <c r="ED1548" s="62">
        <v>1287.869995</v>
      </c>
      <c r="FR1548" s="335"/>
    </row>
    <row r="1549" spans="132:174" x14ac:dyDescent="0.6">
      <c r="EB1549" s="335">
        <v>40707</v>
      </c>
      <c r="EC1549" s="62">
        <v>116.38</v>
      </c>
      <c r="ED1549" s="62">
        <v>1271.829956</v>
      </c>
      <c r="FR1549" s="335"/>
    </row>
    <row r="1550" spans="132:174" x14ac:dyDescent="0.6">
      <c r="EB1550" s="335">
        <v>40704</v>
      </c>
      <c r="EC1550" s="62">
        <v>115.86</v>
      </c>
      <c r="ED1550" s="62">
        <v>1270.9799800000001</v>
      </c>
      <c r="FR1550" s="335"/>
    </row>
    <row r="1551" spans="132:174" x14ac:dyDescent="0.6">
      <c r="EB1551" s="335">
        <v>40703</v>
      </c>
      <c r="EC1551" s="62">
        <v>117.94</v>
      </c>
      <c r="ED1551" s="62">
        <v>1289</v>
      </c>
      <c r="FR1551" s="335"/>
    </row>
    <row r="1552" spans="132:174" x14ac:dyDescent="0.6">
      <c r="EB1552" s="335">
        <v>40702</v>
      </c>
      <c r="EC1552" s="62">
        <v>117.11</v>
      </c>
      <c r="ED1552" s="62">
        <v>1279.5600589999999</v>
      </c>
      <c r="FR1552" s="335"/>
    </row>
    <row r="1553" spans="132:174" x14ac:dyDescent="0.6">
      <c r="EB1553" s="335">
        <v>40701</v>
      </c>
      <c r="EC1553" s="62">
        <v>118.59</v>
      </c>
      <c r="ED1553" s="62">
        <v>1284.9399410000001</v>
      </c>
      <c r="FR1553" s="335"/>
    </row>
    <row r="1554" spans="132:174" x14ac:dyDescent="0.6">
      <c r="EB1554" s="335">
        <v>40700</v>
      </c>
      <c r="EC1554" s="62">
        <v>118.49</v>
      </c>
      <c r="ED1554" s="62">
        <v>1286.170044</v>
      </c>
      <c r="FR1554" s="335"/>
    </row>
    <row r="1555" spans="132:174" x14ac:dyDescent="0.6">
      <c r="EB1555" s="335">
        <v>40697</v>
      </c>
      <c r="EC1555" s="62">
        <v>119.82</v>
      </c>
      <c r="ED1555" s="62">
        <v>1300.160034</v>
      </c>
      <c r="FR1555" s="335"/>
    </row>
    <row r="1556" spans="132:174" x14ac:dyDescent="0.6">
      <c r="EB1556" s="335">
        <v>40696</v>
      </c>
      <c r="EC1556" s="62">
        <v>120.7</v>
      </c>
      <c r="ED1556" s="62">
        <v>1312.9399410000001</v>
      </c>
      <c r="FR1556" s="335"/>
    </row>
    <row r="1557" spans="132:174" x14ac:dyDescent="0.6">
      <c r="EB1557" s="335">
        <v>40695</v>
      </c>
      <c r="EC1557" s="62">
        <v>121.14</v>
      </c>
      <c r="ED1557" s="62">
        <v>1314.5500489999999</v>
      </c>
      <c r="FR1557" s="335"/>
    </row>
    <row r="1558" spans="132:174" x14ac:dyDescent="0.6">
      <c r="EB1558" s="335">
        <v>40694</v>
      </c>
      <c r="EC1558" s="62">
        <v>125.03</v>
      </c>
      <c r="ED1558" s="62">
        <v>1345.1999510000001</v>
      </c>
      <c r="FR1558" s="335"/>
    </row>
    <row r="1559" spans="132:174" x14ac:dyDescent="0.6">
      <c r="EB1559" s="335">
        <v>40690</v>
      </c>
      <c r="EC1559" s="62">
        <v>125.97</v>
      </c>
      <c r="ED1559" s="62">
        <v>1331.099976</v>
      </c>
      <c r="FR1559" s="335"/>
    </row>
    <row r="1560" spans="132:174" x14ac:dyDescent="0.6">
      <c r="EB1560" s="335">
        <v>40689</v>
      </c>
      <c r="EC1560" s="62">
        <v>125.74</v>
      </c>
      <c r="ED1560" s="62">
        <v>1325.6899410000001</v>
      </c>
      <c r="FR1560" s="335"/>
    </row>
    <row r="1561" spans="132:174" x14ac:dyDescent="0.6">
      <c r="EB1561" s="335">
        <v>40688</v>
      </c>
      <c r="EC1561" s="62">
        <v>123.83</v>
      </c>
      <c r="ED1561" s="62">
        <v>1320.469971</v>
      </c>
      <c r="FR1561" s="335"/>
    </row>
    <row r="1562" spans="132:174" x14ac:dyDescent="0.6">
      <c r="EB1562" s="335">
        <v>40687</v>
      </c>
      <c r="EC1562" s="62">
        <v>122.75</v>
      </c>
      <c r="ED1562" s="62">
        <v>1316.280029</v>
      </c>
      <c r="FR1562" s="335"/>
    </row>
    <row r="1563" spans="132:174" x14ac:dyDescent="0.6">
      <c r="EB1563" s="335">
        <v>40686</v>
      </c>
      <c r="EC1563" s="62">
        <v>124.47</v>
      </c>
      <c r="ED1563" s="62">
        <v>1317.369995</v>
      </c>
      <c r="FR1563" s="335"/>
    </row>
    <row r="1564" spans="132:174" x14ac:dyDescent="0.6">
      <c r="EB1564" s="335">
        <v>40683</v>
      </c>
      <c r="EC1564" s="62">
        <v>123.49</v>
      </c>
      <c r="ED1564" s="62">
        <v>1333.2700199999999</v>
      </c>
      <c r="FR1564" s="335"/>
    </row>
    <row r="1565" spans="132:174" x14ac:dyDescent="0.6">
      <c r="EB1565" s="335">
        <v>40682</v>
      </c>
      <c r="EC1565" s="62">
        <v>124.82</v>
      </c>
      <c r="ED1565" s="62">
        <v>1343.599976</v>
      </c>
      <c r="FR1565" s="335"/>
    </row>
    <row r="1566" spans="132:174" x14ac:dyDescent="0.6">
      <c r="EB1566" s="335">
        <v>40681</v>
      </c>
      <c r="EC1566" s="62">
        <v>122.91</v>
      </c>
      <c r="ED1566" s="62">
        <v>1340.6800539999999</v>
      </c>
      <c r="FR1566" s="335"/>
    </row>
    <row r="1567" spans="132:174" x14ac:dyDescent="0.6">
      <c r="EB1567" s="335">
        <v>40680</v>
      </c>
      <c r="EC1567" s="62">
        <v>121</v>
      </c>
      <c r="ED1567" s="62">
        <v>1328.9799800000001</v>
      </c>
      <c r="FR1567" s="335"/>
    </row>
    <row r="1568" spans="132:174" x14ac:dyDescent="0.6">
      <c r="EB1568" s="335">
        <v>40679</v>
      </c>
      <c r="EC1568" s="62">
        <v>121.91</v>
      </c>
      <c r="ED1568" s="62">
        <v>1329.469971</v>
      </c>
      <c r="FR1568" s="335"/>
    </row>
    <row r="1569" spans="132:174" x14ac:dyDescent="0.6">
      <c r="EB1569" s="335">
        <v>40676</v>
      </c>
      <c r="EC1569" s="62">
        <v>123.97</v>
      </c>
      <c r="ED1569" s="62">
        <v>1337.7700199999999</v>
      </c>
      <c r="FR1569" s="335"/>
    </row>
    <row r="1570" spans="132:174" x14ac:dyDescent="0.6">
      <c r="EB1570" s="335">
        <v>40675</v>
      </c>
      <c r="EC1570" s="62">
        <v>123.73</v>
      </c>
      <c r="ED1570" s="62">
        <v>1348.650024</v>
      </c>
      <c r="FR1570" s="335"/>
    </row>
    <row r="1571" spans="132:174" x14ac:dyDescent="0.6">
      <c r="EB1571" s="335">
        <v>40674</v>
      </c>
      <c r="EC1571" s="62">
        <v>122.58</v>
      </c>
      <c r="ED1571" s="62">
        <v>1342.079956</v>
      </c>
      <c r="FR1571" s="335"/>
    </row>
    <row r="1572" spans="132:174" x14ac:dyDescent="0.6">
      <c r="EB1572" s="335">
        <v>40673</v>
      </c>
      <c r="EC1572" s="62">
        <v>121.33</v>
      </c>
      <c r="ED1572" s="62">
        <v>1357.160034</v>
      </c>
      <c r="FR1572" s="335"/>
    </row>
    <row r="1573" spans="132:174" x14ac:dyDescent="0.6">
      <c r="EB1573" s="335">
        <v>40672</v>
      </c>
      <c r="EC1573" s="62">
        <v>118.84</v>
      </c>
      <c r="ED1573" s="62">
        <v>1346.290039</v>
      </c>
      <c r="FR1573" s="335"/>
    </row>
    <row r="1574" spans="132:174" x14ac:dyDescent="0.6">
      <c r="EB1574" s="335">
        <v>40669</v>
      </c>
      <c r="EC1574" s="62">
        <v>119.39</v>
      </c>
      <c r="ED1574" s="62">
        <v>1340.1999510000001</v>
      </c>
      <c r="FR1574" s="335"/>
    </row>
    <row r="1575" spans="132:174" x14ac:dyDescent="0.6">
      <c r="EB1575" s="335">
        <v>40668</v>
      </c>
      <c r="EC1575" s="62">
        <v>120.25</v>
      </c>
      <c r="ED1575" s="62">
        <v>1335.099976</v>
      </c>
      <c r="FR1575" s="335"/>
    </row>
    <row r="1576" spans="132:174" x14ac:dyDescent="0.6">
      <c r="EB1576" s="335">
        <v>40667</v>
      </c>
      <c r="EC1576" s="62">
        <v>118.52</v>
      </c>
      <c r="ED1576" s="62">
        <v>1347.3199460000001</v>
      </c>
      <c r="FR1576" s="335"/>
    </row>
    <row r="1577" spans="132:174" x14ac:dyDescent="0.6">
      <c r="EB1577" s="335">
        <v>40666</v>
      </c>
      <c r="EC1577" s="62">
        <v>117.2</v>
      </c>
      <c r="ED1577" s="62">
        <v>1356.619995</v>
      </c>
      <c r="FR1577" s="335"/>
    </row>
    <row r="1578" spans="132:174" x14ac:dyDescent="0.6">
      <c r="EB1578" s="335">
        <v>40665</v>
      </c>
      <c r="EC1578" s="62">
        <v>118.46</v>
      </c>
      <c r="ED1578" s="62">
        <v>1361.219971</v>
      </c>
      <c r="FR1578" s="335"/>
    </row>
    <row r="1579" spans="132:174" x14ac:dyDescent="0.6">
      <c r="EB1579" s="335">
        <v>40662</v>
      </c>
      <c r="EC1579" s="62">
        <v>121.11</v>
      </c>
      <c r="ED1579" s="62">
        <v>1363.6099850000001</v>
      </c>
      <c r="FR1579" s="335"/>
    </row>
    <row r="1580" spans="132:174" x14ac:dyDescent="0.6">
      <c r="EB1580" s="335">
        <v>40661</v>
      </c>
      <c r="EC1580" s="62">
        <v>121.29</v>
      </c>
      <c r="ED1580" s="62">
        <v>1360.4799800000001</v>
      </c>
      <c r="FR1580" s="335"/>
    </row>
    <row r="1581" spans="132:174" x14ac:dyDescent="0.6">
      <c r="EB1581" s="335">
        <v>40660</v>
      </c>
      <c r="EC1581" s="62">
        <v>122.61</v>
      </c>
      <c r="ED1581" s="62">
        <v>1355.660034</v>
      </c>
      <c r="FR1581" s="335"/>
    </row>
    <row r="1582" spans="132:174" x14ac:dyDescent="0.6">
      <c r="EB1582" s="335">
        <v>40659</v>
      </c>
      <c r="EC1582" s="62">
        <v>124.32</v>
      </c>
      <c r="ED1582" s="62">
        <v>1347.23999</v>
      </c>
      <c r="FR1582" s="335"/>
    </row>
    <row r="1583" spans="132:174" x14ac:dyDescent="0.6">
      <c r="EB1583" s="335">
        <v>40658</v>
      </c>
      <c r="EC1583" s="62">
        <v>126.88</v>
      </c>
      <c r="ED1583" s="62">
        <v>1335.25</v>
      </c>
      <c r="FR1583" s="335"/>
    </row>
    <row r="1584" spans="132:174" x14ac:dyDescent="0.6">
      <c r="EB1584" s="335">
        <v>40654</v>
      </c>
      <c r="EC1584" s="62">
        <v>122.07</v>
      </c>
      <c r="ED1584" s="62">
        <v>1337.380005</v>
      </c>
      <c r="FR1584" s="335"/>
    </row>
    <row r="1585" spans="132:174" x14ac:dyDescent="0.6">
      <c r="EB1585" s="335">
        <v>40653</v>
      </c>
      <c r="EC1585" s="62">
        <v>123.38</v>
      </c>
      <c r="ED1585" s="62">
        <v>1330.3599850000001</v>
      </c>
      <c r="FR1585" s="335"/>
    </row>
    <row r="1586" spans="132:174" x14ac:dyDescent="0.6">
      <c r="EB1586" s="335">
        <v>40652</v>
      </c>
      <c r="EC1586" s="62">
        <v>122.66</v>
      </c>
      <c r="ED1586" s="62">
        <v>1312.619995</v>
      </c>
      <c r="FR1586" s="335"/>
    </row>
    <row r="1587" spans="132:174" x14ac:dyDescent="0.6">
      <c r="EB1587" s="335">
        <v>40651</v>
      </c>
      <c r="EC1587" s="62">
        <v>121.93</v>
      </c>
      <c r="ED1587" s="62">
        <v>1305.1400149999999</v>
      </c>
      <c r="FR1587" s="335"/>
    </row>
    <row r="1588" spans="132:174" x14ac:dyDescent="0.6">
      <c r="EB1588" s="335">
        <v>40648</v>
      </c>
      <c r="EC1588" s="62">
        <v>124.65</v>
      </c>
      <c r="ED1588" s="62">
        <v>1319.6800539999999</v>
      </c>
      <c r="FR1588" s="335"/>
    </row>
    <row r="1589" spans="132:174" x14ac:dyDescent="0.6">
      <c r="EB1589" s="335">
        <v>40647</v>
      </c>
      <c r="EC1589" s="62">
        <v>123.42</v>
      </c>
      <c r="ED1589" s="62">
        <v>1314.5200199999999</v>
      </c>
      <c r="FR1589" s="335"/>
    </row>
    <row r="1590" spans="132:174" x14ac:dyDescent="0.6">
      <c r="EB1590" s="335">
        <v>40646</v>
      </c>
      <c r="EC1590" s="62">
        <v>123.38</v>
      </c>
      <c r="ED1590" s="62">
        <v>1314.410034</v>
      </c>
      <c r="FR1590" s="335"/>
    </row>
    <row r="1591" spans="132:174" x14ac:dyDescent="0.6">
      <c r="EB1591" s="335">
        <v>40645</v>
      </c>
      <c r="EC1591" s="62">
        <v>120.48</v>
      </c>
      <c r="ED1591" s="62">
        <v>1314.160034</v>
      </c>
      <c r="FR1591" s="335"/>
    </row>
    <row r="1592" spans="132:174" x14ac:dyDescent="0.6">
      <c r="EB1592" s="335">
        <v>40644</v>
      </c>
      <c r="EC1592" s="62">
        <v>120.5</v>
      </c>
      <c r="ED1592" s="62">
        <v>1324.459961</v>
      </c>
      <c r="FR1592" s="335"/>
    </row>
    <row r="1593" spans="132:174" x14ac:dyDescent="0.6">
      <c r="EB1593" s="335">
        <v>40641</v>
      </c>
      <c r="EC1593" s="62">
        <v>120.17</v>
      </c>
      <c r="ED1593" s="62">
        <v>1328.170044</v>
      </c>
      <c r="FR1593" s="335"/>
    </row>
    <row r="1594" spans="132:174" x14ac:dyDescent="0.6">
      <c r="EB1594" s="335">
        <v>40640</v>
      </c>
      <c r="EC1594" s="62">
        <v>122.22</v>
      </c>
      <c r="ED1594" s="62">
        <v>1333.51001</v>
      </c>
      <c r="FR1594" s="335"/>
    </row>
    <row r="1595" spans="132:174" x14ac:dyDescent="0.6">
      <c r="EB1595" s="335">
        <v>40639</v>
      </c>
      <c r="EC1595" s="62">
        <v>123.9</v>
      </c>
      <c r="ED1595" s="62">
        <v>1335.540039</v>
      </c>
      <c r="FR1595" s="335"/>
    </row>
    <row r="1596" spans="132:174" x14ac:dyDescent="0.6">
      <c r="EB1596" s="335">
        <v>40638</v>
      </c>
      <c r="EC1596" s="62">
        <v>128.69</v>
      </c>
      <c r="ED1596" s="62">
        <v>1332.630005</v>
      </c>
      <c r="FR1596" s="335"/>
    </row>
    <row r="1597" spans="132:174" x14ac:dyDescent="0.6">
      <c r="EB1597" s="335">
        <v>40637</v>
      </c>
      <c r="EC1597" s="62">
        <v>128.66999999999999</v>
      </c>
      <c r="ED1597" s="62">
        <v>1332.869995</v>
      </c>
      <c r="FR1597" s="335"/>
    </row>
    <row r="1598" spans="132:174" x14ac:dyDescent="0.6">
      <c r="EB1598" s="335">
        <v>40634</v>
      </c>
      <c r="EC1598" s="62">
        <v>127.87</v>
      </c>
      <c r="ED1598" s="62">
        <v>1332.410034</v>
      </c>
      <c r="FR1598" s="335"/>
    </row>
    <row r="1599" spans="132:174" x14ac:dyDescent="0.6">
      <c r="EB1599" s="335">
        <v>40633</v>
      </c>
      <c r="EC1599" s="62">
        <v>127</v>
      </c>
      <c r="ED1599" s="62">
        <v>1325.829956</v>
      </c>
      <c r="FR1599" s="335"/>
    </row>
    <row r="1600" spans="132:174" x14ac:dyDescent="0.6">
      <c r="EB1600" s="335">
        <v>40632</v>
      </c>
      <c r="EC1600" s="62">
        <v>126.77</v>
      </c>
      <c r="ED1600" s="62">
        <v>1328.26001</v>
      </c>
      <c r="FR1600" s="335"/>
    </row>
    <row r="1601" spans="132:174" x14ac:dyDescent="0.6">
      <c r="EB1601" s="335">
        <v>40631</v>
      </c>
      <c r="EC1601" s="62">
        <v>123.47</v>
      </c>
      <c r="ED1601" s="62">
        <v>1319.4399410000001</v>
      </c>
      <c r="FR1601" s="335"/>
    </row>
    <row r="1602" spans="132:174" x14ac:dyDescent="0.6">
      <c r="EB1602" s="335">
        <v>40630</v>
      </c>
      <c r="EC1602" s="62">
        <v>122.12</v>
      </c>
      <c r="ED1602" s="62">
        <v>1310.1899410000001</v>
      </c>
      <c r="FR1602" s="335"/>
    </row>
    <row r="1603" spans="132:174" x14ac:dyDescent="0.6">
      <c r="EB1603" s="335">
        <v>40627</v>
      </c>
      <c r="EC1603" s="62">
        <v>121.83</v>
      </c>
      <c r="ED1603" s="62">
        <v>1313.8000489999999</v>
      </c>
      <c r="FR1603" s="335"/>
    </row>
    <row r="1604" spans="132:174" x14ac:dyDescent="0.6">
      <c r="EB1604" s="335">
        <v>40626</v>
      </c>
      <c r="EC1604" s="62">
        <v>120.84</v>
      </c>
      <c r="ED1604" s="62">
        <v>1309.660034</v>
      </c>
      <c r="FR1604" s="335"/>
    </row>
    <row r="1605" spans="132:174" x14ac:dyDescent="0.6">
      <c r="EB1605" s="335">
        <v>40625</v>
      </c>
      <c r="EC1605" s="62">
        <v>119.04</v>
      </c>
      <c r="ED1605" s="62">
        <v>1297.540039</v>
      </c>
      <c r="FR1605" s="335"/>
    </row>
    <row r="1606" spans="132:174" x14ac:dyDescent="0.6">
      <c r="EB1606" s="335">
        <v>40624</v>
      </c>
      <c r="EC1606" s="62">
        <v>117.75</v>
      </c>
      <c r="ED1606" s="62">
        <v>1293.7700199999999</v>
      </c>
      <c r="FR1606" s="335"/>
    </row>
    <row r="1607" spans="132:174" x14ac:dyDescent="0.6">
      <c r="EB1607" s="335">
        <v>40623</v>
      </c>
      <c r="EC1607" s="62">
        <v>118.85</v>
      </c>
      <c r="ED1607" s="62">
        <v>1298.380005</v>
      </c>
      <c r="FR1607" s="335"/>
    </row>
    <row r="1608" spans="132:174" x14ac:dyDescent="0.6">
      <c r="EB1608" s="335">
        <v>40620</v>
      </c>
      <c r="EC1608" s="62">
        <v>118.64</v>
      </c>
      <c r="ED1608" s="62">
        <v>1279.209961</v>
      </c>
      <c r="FR1608" s="335"/>
    </row>
    <row r="1609" spans="132:174" x14ac:dyDescent="0.6">
      <c r="EB1609" s="335">
        <v>40619</v>
      </c>
      <c r="EC1609" s="62">
        <v>117.9</v>
      </c>
      <c r="ED1609" s="62">
        <v>1273.719971</v>
      </c>
      <c r="FR1609" s="335"/>
    </row>
    <row r="1610" spans="132:174" x14ac:dyDescent="0.6">
      <c r="EB1610" s="335">
        <v>40618</v>
      </c>
      <c r="EC1610" s="62">
        <v>118.47</v>
      </c>
      <c r="ED1610" s="62">
        <v>1256.880005</v>
      </c>
      <c r="FR1610" s="335"/>
    </row>
    <row r="1611" spans="132:174" x14ac:dyDescent="0.6">
      <c r="EB1611" s="335">
        <v>40617</v>
      </c>
      <c r="EC1611" s="62">
        <v>119.81</v>
      </c>
      <c r="ED1611" s="62">
        <v>1281.869995</v>
      </c>
      <c r="FR1611" s="335"/>
    </row>
    <row r="1612" spans="132:174" x14ac:dyDescent="0.6">
      <c r="EB1612" s="335">
        <v>40616</v>
      </c>
      <c r="EC1612" s="62">
        <v>120.63</v>
      </c>
      <c r="ED1612" s="62">
        <v>1296.3900149999999</v>
      </c>
      <c r="FR1612" s="335"/>
    </row>
    <row r="1613" spans="132:174" x14ac:dyDescent="0.6">
      <c r="EB1613" s="335">
        <v>40613</v>
      </c>
      <c r="EC1613" s="62">
        <v>121.98</v>
      </c>
      <c r="ED1613" s="62">
        <v>1304.280029</v>
      </c>
      <c r="FR1613" s="335"/>
    </row>
    <row r="1614" spans="132:174" x14ac:dyDescent="0.6">
      <c r="EB1614" s="335">
        <v>40612</v>
      </c>
      <c r="EC1614" s="62">
        <v>121.13</v>
      </c>
      <c r="ED1614" s="62">
        <v>1295.1099850000001</v>
      </c>
      <c r="FR1614" s="335"/>
    </row>
    <row r="1615" spans="132:174" x14ac:dyDescent="0.6">
      <c r="EB1615" s="335">
        <v>40611</v>
      </c>
      <c r="EC1615" s="62">
        <v>121.24</v>
      </c>
      <c r="ED1615" s="62">
        <v>1320.0200199999999</v>
      </c>
      <c r="FR1615" s="335"/>
    </row>
    <row r="1616" spans="132:174" x14ac:dyDescent="0.6">
      <c r="EB1616" s="335">
        <v>40610</v>
      </c>
      <c r="EC1616" s="62">
        <v>119.31</v>
      </c>
      <c r="ED1616" s="62">
        <v>1321.8199460000001</v>
      </c>
      <c r="FR1616" s="335"/>
    </row>
    <row r="1617" spans="132:174" x14ac:dyDescent="0.6">
      <c r="EB1617" s="335">
        <v>40609</v>
      </c>
      <c r="EC1617" s="62">
        <v>119.17</v>
      </c>
      <c r="ED1617" s="62">
        <v>1310.130005</v>
      </c>
      <c r="FR1617" s="335"/>
    </row>
    <row r="1618" spans="132:174" x14ac:dyDescent="0.6">
      <c r="EB1618" s="335">
        <v>40606</v>
      </c>
      <c r="EC1618" s="62">
        <v>120.24</v>
      </c>
      <c r="ED1618" s="62">
        <v>1321.150024</v>
      </c>
      <c r="FR1618" s="335"/>
    </row>
    <row r="1619" spans="132:174" x14ac:dyDescent="0.6">
      <c r="EB1619" s="335">
        <v>40605</v>
      </c>
      <c r="EC1619" s="62">
        <v>119.56</v>
      </c>
      <c r="ED1619" s="62">
        <v>1330.969971</v>
      </c>
      <c r="FR1619" s="335"/>
    </row>
    <row r="1620" spans="132:174" x14ac:dyDescent="0.6">
      <c r="EB1620" s="335">
        <v>40604</v>
      </c>
      <c r="EC1620" s="62">
        <v>116.21</v>
      </c>
      <c r="ED1620" s="62">
        <v>1308.4399410000001</v>
      </c>
      <c r="FR1620" s="335"/>
    </row>
    <row r="1621" spans="132:174" x14ac:dyDescent="0.6">
      <c r="EB1621" s="335">
        <v>40603</v>
      </c>
      <c r="EC1621" s="62">
        <v>115.83</v>
      </c>
      <c r="ED1621" s="62">
        <v>1306.329956</v>
      </c>
      <c r="FR1621" s="335"/>
    </row>
    <row r="1622" spans="132:174" x14ac:dyDescent="0.6">
      <c r="EB1622" s="335">
        <v>40602</v>
      </c>
      <c r="EC1622" s="62">
        <v>116.75</v>
      </c>
      <c r="ED1622" s="62">
        <v>1327.219971</v>
      </c>
      <c r="FR1622" s="335"/>
    </row>
    <row r="1623" spans="132:174" x14ac:dyDescent="0.6">
      <c r="EB1623" s="335">
        <v>40599</v>
      </c>
      <c r="EC1623" s="62">
        <v>116.31</v>
      </c>
      <c r="ED1623" s="62">
        <v>1319.880005</v>
      </c>
      <c r="FR1623" s="335"/>
    </row>
    <row r="1624" spans="132:174" x14ac:dyDescent="0.6">
      <c r="EB1624" s="335">
        <v>40598</v>
      </c>
      <c r="EC1624" s="62">
        <v>114.94</v>
      </c>
      <c r="ED1624" s="62">
        <v>1306.099976</v>
      </c>
      <c r="FR1624" s="335"/>
    </row>
    <row r="1625" spans="132:174" x14ac:dyDescent="0.6">
      <c r="EB1625" s="335">
        <v>40597</v>
      </c>
      <c r="EC1625" s="62">
        <v>115.65</v>
      </c>
      <c r="ED1625" s="62">
        <v>1307.400024</v>
      </c>
      <c r="FR1625" s="335"/>
    </row>
    <row r="1626" spans="132:174" x14ac:dyDescent="0.6">
      <c r="EB1626" s="335">
        <v>40596</v>
      </c>
      <c r="EC1626" s="62">
        <v>116.1</v>
      </c>
      <c r="ED1626" s="62">
        <v>1315.4399410000001</v>
      </c>
      <c r="FR1626" s="335"/>
    </row>
    <row r="1627" spans="132:174" x14ac:dyDescent="0.6">
      <c r="EB1627" s="335">
        <v>40592</v>
      </c>
      <c r="EC1627" s="62">
        <v>119.43</v>
      </c>
      <c r="ED1627" s="62">
        <v>1343.01001</v>
      </c>
      <c r="FR1627" s="335"/>
    </row>
    <row r="1628" spans="132:174" x14ac:dyDescent="0.6">
      <c r="EB1628" s="335">
        <v>40591</v>
      </c>
      <c r="EC1628" s="62">
        <v>118.18</v>
      </c>
      <c r="ED1628" s="62">
        <v>1340.4300539999999</v>
      </c>
      <c r="FR1628" s="335"/>
    </row>
    <row r="1629" spans="132:174" x14ac:dyDescent="0.6">
      <c r="EB1629" s="335">
        <v>40590</v>
      </c>
      <c r="EC1629" s="62">
        <v>117.15</v>
      </c>
      <c r="ED1629" s="62">
        <v>1336.3199460000001</v>
      </c>
      <c r="FR1629" s="335"/>
    </row>
    <row r="1630" spans="132:174" x14ac:dyDescent="0.6">
      <c r="EB1630" s="335">
        <v>40589</v>
      </c>
      <c r="EC1630" s="62">
        <v>117.02</v>
      </c>
      <c r="ED1630" s="62">
        <v>1328.01001</v>
      </c>
      <c r="FR1630" s="335"/>
    </row>
    <row r="1631" spans="132:174" x14ac:dyDescent="0.6">
      <c r="EB1631" s="335">
        <v>40588</v>
      </c>
      <c r="EC1631" s="62">
        <v>118.15</v>
      </c>
      <c r="ED1631" s="62">
        <v>1332.3199460000001</v>
      </c>
      <c r="FR1631" s="335"/>
    </row>
    <row r="1632" spans="132:174" x14ac:dyDescent="0.6">
      <c r="EB1632" s="335">
        <v>40585</v>
      </c>
      <c r="EC1632" s="62">
        <v>116.11</v>
      </c>
      <c r="ED1632" s="62">
        <v>1329.150024</v>
      </c>
      <c r="FR1632" s="335"/>
    </row>
    <row r="1633" spans="132:174" x14ac:dyDescent="0.6">
      <c r="EB1633" s="335">
        <v>40584</v>
      </c>
      <c r="EC1633" s="62">
        <v>99.71</v>
      </c>
      <c r="ED1633" s="62">
        <v>1321.869995</v>
      </c>
      <c r="FR1633" s="335"/>
    </row>
    <row r="1634" spans="132:174" x14ac:dyDescent="0.6">
      <c r="EB1634" s="335">
        <v>40583</v>
      </c>
      <c r="EC1634" s="62">
        <v>98.5</v>
      </c>
      <c r="ED1634" s="62">
        <v>1320.880005</v>
      </c>
      <c r="FR1634" s="335"/>
    </row>
    <row r="1635" spans="132:174" x14ac:dyDescent="0.6">
      <c r="EB1635" s="335">
        <v>40582</v>
      </c>
      <c r="EC1635" s="62">
        <v>97.78</v>
      </c>
      <c r="ED1635" s="62">
        <v>1324.5699460000001</v>
      </c>
      <c r="FR1635" s="335"/>
    </row>
    <row r="1636" spans="132:174" x14ac:dyDescent="0.6">
      <c r="EB1636" s="335">
        <v>40581</v>
      </c>
      <c r="EC1636" s="62">
        <v>97.05</v>
      </c>
      <c r="ED1636" s="62">
        <v>1319.0500489999999</v>
      </c>
      <c r="FR1636" s="335"/>
    </row>
    <row r="1637" spans="132:174" x14ac:dyDescent="0.6">
      <c r="EB1637" s="335">
        <v>40578</v>
      </c>
      <c r="EC1637" s="62">
        <v>98.87</v>
      </c>
      <c r="ED1637" s="62">
        <v>1310.869995</v>
      </c>
      <c r="FR1637" s="335"/>
    </row>
    <row r="1638" spans="132:174" x14ac:dyDescent="0.6">
      <c r="EB1638" s="335">
        <v>40577</v>
      </c>
      <c r="EC1638" s="62">
        <v>98.93</v>
      </c>
      <c r="ED1638" s="62">
        <v>1307.099976</v>
      </c>
      <c r="FR1638" s="335"/>
    </row>
    <row r="1639" spans="132:174" x14ac:dyDescent="0.6">
      <c r="EB1639" s="335">
        <v>40576</v>
      </c>
      <c r="EC1639" s="62">
        <v>97.88</v>
      </c>
      <c r="ED1639" s="62">
        <v>1304.030029</v>
      </c>
      <c r="FR1639" s="335"/>
    </row>
    <row r="1640" spans="132:174" x14ac:dyDescent="0.6">
      <c r="EB1640" s="335">
        <v>40575</v>
      </c>
      <c r="EC1640" s="62">
        <v>96.96</v>
      </c>
      <c r="ED1640" s="62">
        <v>1307.589966</v>
      </c>
      <c r="FR1640" s="335"/>
    </row>
    <row r="1641" spans="132:174" x14ac:dyDescent="0.6">
      <c r="EB1641" s="335">
        <v>40574</v>
      </c>
      <c r="EC1641" s="62">
        <v>95.56</v>
      </c>
      <c r="ED1641" s="62">
        <v>1286.119995</v>
      </c>
      <c r="FR1641" s="335"/>
    </row>
    <row r="1642" spans="132:174" x14ac:dyDescent="0.6">
      <c r="EB1642" s="335">
        <v>40571</v>
      </c>
      <c r="EC1642" s="62">
        <v>94.86</v>
      </c>
      <c r="ED1642" s="62">
        <v>1276.339966</v>
      </c>
      <c r="FR1642" s="335"/>
    </row>
    <row r="1643" spans="132:174" x14ac:dyDescent="0.6">
      <c r="EB1643" s="335">
        <v>40570</v>
      </c>
      <c r="EC1643" s="62">
        <v>97.14</v>
      </c>
      <c r="ED1643" s="62">
        <v>1299.540039</v>
      </c>
      <c r="FR1643" s="335"/>
    </row>
    <row r="1644" spans="132:174" x14ac:dyDescent="0.6">
      <c r="EB1644" s="335">
        <v>40569</v>
      </c>
      <c r="EC1644" s="62">
        <v>96.1</v>
      </c>
      <c r="ED1644" s="62">
        <v>1296.630005</v>
      </c>
      <c r="FR1644" s="335"/>
    </row>
    <row r="1645" spans="132:174" x14ac:dyDescent="0.6">
      <c r="EB1645" s="335">
        <v>40568</v>
      </c>
      <c r="EC1645" s="62">
        <v>97.62</v>
      </c>
      <c r="ED1645" s="62">
        <v>1291.1800539999999</v>
      </c>
      <c r="FR1645" s="335"/>
    </row>
    <row r="1646" spans="132:174" x14ac:dyDescent="0.6">
      <c r="EB1646" s="335">
        <v>40567</v>
      </c>
      <c r="EC1646" s="62">
        <v>96.96</v>
      </c>
      <c r="ED1646" s="62">
        <v>1290.839966</v>
      </c>
      <c r="FR1646" s="335"/>
    </row>
    <row r="1647" spans="132:174" x14ac:dyDescent="0.6">
      <c r="EB1647" s="335">
        <v>40564</v>
      </c>
      <c r="EC1647" s="62">
        <v>99.57</v>
      </c>
      <c r="ED1647" s="62">
        <v>1283.349976</v>
      </c>
      <c r="FR1647" s="335"/>
    </row>
    <row r="1648" spans="132:174" x14ac:dyDescent="0.6">
      <c r="EB1648" s="335">
        <v>40563</v>
      </c>
      <c r="EC1648" s="62">
        <v>100.15</v>
      </c>
      <c r="ED1648" s="62">
        <v>1280.26001</v>
      </c>
      <c r="FR1648" s="335"/>
    </row>
    <row r="1649" spans="132:174" x14ac:dyDescent="0.6">
      <c r="EB1649" s="335">
        <v>40562</v>
      </c>
      <c r="EC1649" s="62">
        <v>100.43</v>
      </c>
      <c r="ED1649" s="62">
        <v>1281.920044</v>
      </c>
      <c r="FR1649" s="335"/>
    </row>
    <row r="1650" spans="132:174" x14ac:dyDescent="0.6">
      <c r="EB1650" s="335">
        <v>40561</v>
      </c>
      <c r="EC1650" s="62">
        <v>101.75</v>
      </c>
      <c r="ED1650" s="62">
        <v>1295.0200199999999</v>
      </c>
      <c r="FR1650" s="335"/>
    </row>
    <row r="1651" spans="132:174" x14ac:dyDescent="0.6">
      <c r="EB1651" s="335">
        <v>40557</v>
      </c>
      <c r="EC1651" s="62">
        <v>102.18</v>
      </c>
      <c r="ED1651" s="62">
        <v>1293.23999</v>
      </c>
      <c r="FR1651" s="335"/>
    </row>
    <row r="1652" spans="132:174" x14ac:dyDescent="0.6">
      <c r="EB1652" s="335">
        <v>40556</v>
      </c>
      <c r="EC1652" s="62">
        <v>102.11</v>
      </c>
      <c r="ED1652" s="62">
        <v>1283.76001</v>
      </c>
      <c r="FR1652" s="335"/>
    </row>
    <row r="1653" spans="132:174" x14ac:dyDescent="0.6">
      <c r="EB1653" s="335">
        <v>40555</v>
      </c>
      <c r="EC1653" s="62">
        <v>100.34</v>
      </c>
      <c r="ED1653" s="62">
        <v>1285.959961</v>
      </c>
      <c r="FR1653" s="335"/>
    </row>
    <row r="1654" spans="132:174" x14ac:dyDescent="0.6">
      <c r="EB1654" s="335">
        <v>40554</v>
      </c>
      <c r="EC1654" s="62">
        <v>100.8</v>
      </c>
      <c r="ED1654" s="62">
        <v>1274.4799800000001</v>
      </c>
      <c r="FR1654" s="335"/>
    </row>
    <row r="1655" spans="132:174" x14ac:dyDescent="0.6">
      <c r="EB1655" s="335">
        <v>40553</v>
      </c>
      <c r="EC1655" s="62">
        <v>101.56</v>
      </c>
      <c r="ED1655" s="62">
        <v>1269.75</v>
      </c>
      <c r="FR1655" s="335"/>
    </row>
    <row r="1656" spans="132:174" x14ac:dyDescent="0.6">
      <c r="EB1656" s="335">
        <v>40550</v>
      </c>
      <c r="EC1656" s="62">
        <v>101.51</v>
      </c>
      <c r="ED1656" s="62">
        <v>1271.5</v>
      </c>
      <c r="FR1656" s="335"/>
    </row>
    <row r="1657" spans="132:174" x14ac:dyDescent="0.6">
      <c r="EB1657" s="335">
        <v>40549</v>
      </c>
      <c r="EC1657" s="62">
        <v>101.14</v>
      </c>
      <c r="ED1657" s="62">
        <v>1273.849976</v>
      </c>
      <c r="FR1657" s="335"/>
    </row>
    <row r="1658" spans="132:174" x14ac:dyDescent="0.6">
      <c r="EB1658" s="335">
        <v>40548</v>
      </c>
      <c r="EC1658" s="62">
        <v>100.54</v>
      </c>
      <c r="ED1658" s="62">
        <v>1276.5600589999999</v>
      </c>
      <c r="FR1658" s="335"/>
    </row>
    <row r="1659" spans="132:174" x14ac:dyDescent="0.6">
      <c r="EB1659" s="335">
        <v>40547</v>
      </c>
      <c r="EC1659" s="62">
        <v>100.56</v>
      </c>
      <c r="ED1659" s="62">
        <v>1270.1999510000001</v>
      </c>
      <c r="FR1659" s="335"/>
    </row>
    <row r="1660" spans="132:174" x14ac:dyDescent="0.6">
      <c r="EB1660" s="335">
        <v>40546</v>
      </c>
      <c r="EC1660" s="62">
        <v>102.42</v>
      </c>
      <c r="ED1660" s="62">
        <v>1271.869995</v>
      </c>
      <c r="FR1660" s="335"/>
    </row>
    <row r="1661" spans="132:174" x14ac:dyDescent="0.6">
      <c r="EB1661" s="335">
        <v>40543</v>
      </c>
      <c r="EC1661" s="62">
        <v>101.21</v>
      </c>
      <c r="ED1661" s="62">
        <v>1257.6400149999999</v>
      </c>
      <c r="FR1661" s="335"/>
    </row>
    <row r="1662" spans="132:174" x14ac:dyDescent="0.6">
      <c r="EB1662" s="335">
        <v>40542</v>
      </c>
      <c r="EC1662" s="62">
        <v>102.29</v>
      </c>
      <c r="ED1662" s="62">
        <v>1257.880005</v>
      </c>
      <c r="FR1662" s="335"/>
    </row>
    <row r="1663" spans="132:174" x14ac:dyDescent="0.6">
      <c r="EB1663" s="335">
        <v>40541</v>
      </c>
      <c r="EC1663" s="62">
        <v>103.64</v>
      </c>
      <c r="ED1663" s="62">
        <v>1259.780029</v>
      </c>
      <c r="FR1663" s="335"/>
    </row>
    <row r="1664" spans="132:174" x14ac:dyDescent="0.6">
      <c r="EB1664" s="335">
        <v>40540</v>
      </c>
      <c r="EC1664" s="62">
        <v>102.11</v>
      </c>
      <c r="ED1664" s="62">
        <v>1258.51001</v>
      </c>
      <c r="FR1664" s="335"/>
    </row>
    <row r="1665" spans="132:174" x14ac:dyDescent="0.6">
      <c r="EB1665" s="335">
        <v>40539</v>
      </c>
      <c r="EC1665" s="62">
        <v>102.86</v>
      </c>
      <c r="ED1665" s="62">
        <v>1257.540039</v>
      </c>
      <c r="FR1665" s="335"/>
    </row>
    <row r="1666" spans="132:174" x14ac:dyDescent="0.6">
      <c r="EB1666" s="335">
        <v>40535</v>
      </c>
      <c r="EC1666" s="62">
        <v>104.1</v>
      </c>
      <c r="ED1666" s="62">
        <v>1256.7700199999999</v>
      </c>
      <c r="FR1666" s="335"/>
    </row>
    <row r="1667" spans="132:174" x14ac:dyDescent="0.6">
      <c r="EB1667" s="335">
        <v>40534</v>
      </c>
      <c r="EC1667" s="62">
        <v>103.8</v>
      </c>
      <c r="ED1667" s="62">
        <v>1258.839966</v>
      </c>
      <c r="FR1667" s="335"/>
    </row>
    <row r="1668" spans="132:174" x14ac:dyDescent="0.6">
      <c r="EB1668" s="335">
        <v>40533</v>
      </c>
      <c r="EC1668" s="62">
        <v>105.04</v>
      </c>
      <c r="ED1668" s="62">
        <v>1254.599976</v>
      </c>
      <c r="FR1668" s="335"/>
    </row>
    <row r="1669" spans="132:174" x14ac:dyDescent="0.6">
      <c r="EB1669" s="335">
        <v>40532</v>
      </c>
      <c r="EC1669" s="62">
        <v>105.42</v>
      </c>
      <c r="ED1669" s="62">
        <v>1247.079956</v>
      </c>
      <c r="FR1669" s="335"/>
    </row>
    <row r="1670" spans="132:174" x14ac:dyDescent="0.6">
      <c r="EB1670" s="335">
        <v>40529</v>
      </c>
      <c r="EC1670" s="62">
        <v>105.75</v>
      </c>
      <c r="ED1670" s="62">
        <v>1243.910034</v>
      </c>
      <c r="FR1670" s="335"/>
    </row>
    <row r="1671" spans="132:174" x14ac:dyDescent="0.6">
      <c r="EB1671" s="335">
        <v>40528</v>
      </c>
      <c r="EC1671" s="62">
        <v>105.16</v>
      </c>
      <c r="ED1671" s="62">
        <v>1242.869995</v>
      </c>
      <c r="FR1671" s="335"/>
    </row>
    <row r="1672" spans="132:174" x14ac:dyDescent="0.6">
      <c r="EB1672" s="335">
        <v>40527</v>
      </c>
      <c r="EC1672" s="62">
        <v>104.35</v>
      </c>
      <c r="ED1672" s="62">
        <v>1235.2299800000001</v>
      </c>
      <c r="FR1672" s="335"/>
    </row>
    <row r="1673" spans="132:174" x14ac:dyDescent="0.6">
      <c r="EB1673" s="335">
        <v>40526</v>
      </c>
      <c r="EC1673" s="62">
        <v>104.3</v>
      </c>
      <c r="ED1673" s="62">
        <v>1241.589966</v>
      </c>
      <c r="FR1673" s="335"/>
    </row>
    <row r="1674" spans="132:174" x14ac:dyDescent="0.6">
      <c r="EB1674" s="335">
        <v>40525</v>
      </c>
      <c r="EC1674" s="62">
        <v>103.48</v>
      </c>
      <c r="ED1674" s="62">
        <v>1240.459961</v>
      </c>
      <c r="FR1674" s="335"/>
    </row>
    <row r="1675" spans="132:174" x14ac:dyDescent="0.6">
      <c r="EB1675" s="335">
        <v>40522</v>
      </c>
      <c r="EC1675" s="62">
        <v>106.05</v>
      </c>
      <c r="ED1675" s="62">
        <v>1240.400024</v>
      </c>
      <c r="FR1675" s="335"/>
    </row>
    <row r="1676" spans="132:174" x14ac:dyDescent="0.6">
      <c r="EB1676" s="335">
        <v>40521</v>
      </c>
      <c r="EC1676" s="62">
        <v>105.76</v>
      </c>
      <c r="ED1676" s="62">
        <v>1233</v>
      </c>
      <c r="FR1676" s="335"/>
    </row>
    <row r="1677" spans="132:174" x14ac:dyDescent="0.6">
      <c r="EB1677" s="335">
        <v>40520</v>
      </c>
      <c r="EC1677" s="62">
        <v>104.75</v>
      </c>
      <c r="ED1677" s="62">
        <v>1228.280029</v>
      </c>
      <c r="FR1677" s="335"/>
    </row>
    <row r="1678" spans="132:174" x14ac:dyDescent="0.6">
      <c r="EB1678" s="335">
        <v>40519</v>
      </c>
      <c r="EC1678" s="62">
        <v>106.42</v>
      </c>
      <c r="ED1678" s="62">
        <v>1223.75</v>
      </c>
      <c r="FR1678" s="335"/>
    </row>
    <row r="1679" spans="132:174" x14ac:dyDescent="0.6">
      <c r="EB1679" s="335">
        <v>40518</v>
      </c>
      <c r="EC1679" s="62">
        <v>102.51</v>
      </c>
      <c r="ED1679" s="62">
        <v>1223.119995</v>
      </c>
      <c r="FR1679" s="335"/>
    </row>
    <row r="1680" spans="132:174" x14ac:dyDescent="0.6">
      <c r="EB1680" s="335">
        <v>40515</v>
      </c>
      <c r="EC1680" s="62">
        <v>102.85</v>
      </c>
      <c r="ED1680" s="62">
        <v>1224.709961</v>
      </c>
      <c r="FR1680" s="335"/>
    </row>
    <row r="1681" spans="132:174" x14ac:dyDescent="0.6">
      <c r="EB1681" s="335">
        <v>40514</v>
      </c>
      <c r="EC1681" s="62">
        <v>104.47</v>
      </c>
      <c r="ED1681" s="62">
        <v>1221.530029</v>
      </c>
      <c r="FR1681" s="335"/>
    </row>
    <row r="1682" spans="132:174" x14ac:dyDescent="0.6">
      <c r="EB1682" s="335">
        <v>40513</v>
      </c>
      <c r="EC1682" s="62">
        <v>101.9</v>
      </c>
      <c r="ED1682" s="62">
        <v>1206.0699460000001</v>
      </c>
      <c r="FR1682" s="335"/>
    </row>
    <row r="1683" spans="132:174" x14ac:dyDescent="0.6">
      <c r="EB1683" s="335">
        <v>40512</v>
      </c>
      <c r="EC1683" s="62">
        <v>100.24</v>
      </c>
      <c r="ED1683" s="62">
        <v>1180.5500489999999</v>
      </c>
      <c r="FR1683" s="335"/>
    </row>
    <row r="1684" spans="132:174" x14ac:dyDescent="0.6">
      <c r="EB1684" s="335">
        <v>40511</v>
      </c>
      <c r="EC1684" s="62">
        <v>99.54</v>
      </c>
      <c r="ED1684" s="62">
        <v>1187.76001</v>
      </c>
      <c r="FR1684" s="335"/>
    </row>
    <row r="1685" spans="132:174" x14ac:dyDescent="0.6">
      <c r="EB1685" s="335">
        <v>40508</v>
      </c>
      <c r="EC1685" s="62">
        <v>100.25</v>
      </c>
      <c r="ED1685" s="62">
        <v>1189.400024</v>
      </c>
      <c r="FR1685" s="335"/>
    </row>
    <row r="1686" spans="132:174" x14ac:dyDescent="0.6">
      <c r="EB1686" s="335">
        <v>40506</v>
      </c>
      <c r="EC1686" s="62">
        <v>99.39</v>
      </c>
      <c r="ED1686" s="62">
        <v>1198.349976</v>
      </c>
      <c r="FR1686" s="335"/>
    </row>
    <row r="1687" spans="132:174" x14ac:dyDescent="0.6">
      <c r="EB1687" s="335">
        <v>40505</v>
      </c>
      <c r="EC1687" s="62">
        <v>98.23</v>
      </c>
      <c r="ED1687" s="62">
        <v>1180.7299800000001</v>
      </c>
      <c r="FR1687" s="335"/>
    </row>
    <row r="1688" spans="132:174" x14ac:dyDescent="0.6">
      <c r="EB1688" s="335">
        <v>40504</v>
      </c>
      <c r="EC1688" s="62">
        <v>98.06</v>
      </c>
      <c r="ED1688" s="62">
        <v>1197.839966</v>
      </c>
      <c r="FR1688" s="335"/>
    </row>
    <row r="1689" spans="132:174" x14ac:dyDescent="0.6">
      <c r="EB1689" s="335">
        <v>40501</v>
      </c>
      <c r="EC1689" s="62">
        <v>97</v>
      </c>
      <c r="ED1689" s="62">
        <v>1199.7299800000001</v>
      </c>
      <c r="FR1689" s="335"/>
    </row>
    <row r="1690" spans="132:174" x14ac:dyDescent="0.6">
      <c r="EB1690" s="335">
        <v>40500</v>
      </c>
      <c r="EC1690" s="62">
        <v>95.37</v>
      </c>
      <c r="ED1690" s="62">
        <v>1196.6899410000001</v>
      </c>
      <c r="FR1690" s="335"/>
    </row>
    <row r="1691" spans="132:174" x14ac:dyDescent="0.6">
      <c r="EB1691" s="335">
        <v>40499</v>
      </c>
      <c r="EC1691" s="62">
        <v>96.3</v>
      </c>
      <c r="ED1691" s="62">
        <v>1178.589966</v>
      </c>
      <c r="FR1691" s="335"/>
    </row>
    <row r="1692" spans="132:174" x14ac:dyDescent="0.6">
      <c r="EB1692" s="335">
        <v>40498</v>
      </c>
      <c r="EC1692" s="62">
        <v>93.35</v>
      </c>
      <c r="ED1692" s="62">
        <v>1178.339966</v>
      </c>
      <c r="FR1692" s="335"/>
    </row>
    <row r="1693" spans="132:174" x14ac:dyDescent="0.6">
      <c r="EB1693" s="335">
        <v>40497</v>
      </c>
      <c r="EC1693" s="62">
        <v>94.68</v>
      </c>
      <c r="ED1693" s="62">
        <v>1197.75</v>
      </c>
      <c r="FR1693" s="335"/>
    </row>
    <row r="1694" spans="132:174" x14ac:dyDescent="0.6">
      <c r="EB1694" s="335">
        <v>40494</v>
      </c>
      <c r="EC1694" s="62">
        <v>93.85</v>
      </c>
      <c r="ED1694" s="62">
        <v>1199.209961</v>
      </c>
      <c r="FR1694" s="335"/>
    </row>
    <row r="1695" spans="132:174" x14ac:dyDescent="0.6">
      <c r="EB1695" s="335">
        <v>40493</v>
      </c>
      <c r="EC1695" s="62">
        <v>95.24</v>
      </c>
      <c r="ED1695" s="62">
        <v>1213.540039</v>
      </c>
      <c r="FR1695" s="335"/>
    </row>
    <row r="1696" spans="132:174" x14ac:dyDescent="0.6">
      <c r="EB1696" s="335">
        <v>40492</v>
      </c>
      <c r="EC1696" s="62">
        <v>93.83</v>
      </c>
      <c r="ED1696" s="62">
        <v>1218.709961</v>
      </c>
      <c r="FR1696" s="335"/>
    </row>
    <row r="1697" spans="132:174" x14ac:dyDescent="0.6">
      <c r="EB1697" s="335">
        <v>40491</v>
      </c>
      <c r="EC1697" s="62">
        <v>91.82</v>
      </c>
      <c r="ED1697" s="62">
        <v>1213.400024</v>
      </c>
      <c r="FR1697" s="335"/>
    </row>
    <row r="1698" spans="132:174" x14ac:dyDescent="0.6">
      <c r="EB1698" s="335">
        <v>40490</v>
      </c>
      <c r="EC1698" s="62">
        <v>92.66</v>
      </c>
      <c r="ED1698" s="62">
        <v>1223.25</v>
      </c>
      <c r="FR1698" s="335"/>
    </row>
    <row r="1699" spans="132:174" x14ac:dyDescent="0.6">
      <c r="EB1699" s="335">
        <v>40487</v>
      </c>
      <c r="EC1699" s="62">
        <v>93.38</v>
      </c>
      <c r="ED1699" s="62">
        <v>1225.849976</v>
      </c>
      <c r="FR1699" s="335"/>
    </row>
    <row r="1700" spans="132:174" x14ac:dyDescent="0.6">
      <c r="EB1700" s="335">
        <v>40486</v>
      </c>
      <c r="EC1700" s="62">
        <v>92.84</v>
      </c>
      <c r="ED1700" s="62">
        <v>1221.0600589999999</v>
      </c>
      <c r="FR1700" s="335"/>
    </row>
    <row r="1701" spans="132:174" x14ac:dyDescent="0.6">
      <c r="EB1701" s="335">
        <v>40485</v>
      </c>
      <c r="EC1701" s="62">
        <v>91.79</v>
      </c>
      <c r="ED1701" s="62">
        <v>1197.959961</v>
      </c>
      <c r="FR1701" s="335"/>
    </row>
    <row r="1702" spans="132:174" x14ac:dyDescent="0.6">
      <c r="EB1702" s="335">
        <v>40484</v>
      </c>
      <c r="EC1702" s="62">
        <v>91.54</v>
      </c>
      <c r="ED1702" s="62">
        <v>1193.5699460000001</v>
      </c>
      <c r="FR1702" s="335"/>
    </row>
    <row r="1703" spans="132:174" x14ac:dyDescent="0.6">
      <c r="EB1703" s="335">
        <v>40483</v>
      </c>
      <c r="EC1703" s="62">
        <v>90.54</v>
      </c>
      <c r="ED1703" s="62">
        <v>1184.380005</v>
      </c>
      <c r="FR1703" s="335"/>
    </row>
    <row r="1704" spans="132:174" x14ac:dyDescent="0.6">
      <c r="EB1704" s="335">
        <v>40480</v>
      </c>
      <c r="EC1704" s="62">
        <v>89.51</v>
      </c>
      <c r="ED1704" s="62">
        <v>1183.26001</v>
      </c>
      <c r="FR1704" s="335"/>
    </row>
    <row r="1705" spans="132:174" x14ac:dyDescent="0.6">
      <c r="EB1705" s="335">
        <v>40479</v>
      </c>
      <c r="EC1705" s="62">
        <v>90.42</v>
      </c>
      <c r="ED1705" s="62">
        <v>1183.780029</v>
      </c>
      <c r="FR1705" s="335"/>
    </row>
    <row r="1706" spans="132:174" x14ac:dyDescent="0.6">
      <c r="EB1706" s="335">
        <v>40478</v>
      </c>
      <c r="EC1706" s="62">
        <v>89.52</v>
      </c>
      <c r="ED1706" s="62">
        <v>1182.4499510000001</v>
      </c>
      <c r="FR1706" s="335"/>
    </row>
    <row r="1707" spans="132:174" x14ac:dyDescent="0.6">
      <c r="EB1707" s="335">
        <v>40477</v>
      </c>
      <c r="EC1707" s="62">
        <v>94.35</v>
      </c>
      <c r="ED1707" s="62">
        <v>1185.6400149999999</v>
      </c>
      <c r="FR1707" s="335"/>
    </row>
    <row r="1708" spans="132:174" x14ac:dyDescent="0.6">
      <c r="EB1708" s="335">
        <v>40476</v>
      </c>
      <c r="EC1708" s="62">
        <v>94.23</v>
      </c>
      <c r="ED1708" s="62">
        <v>1185.619995</v>
      </c>
      <c r="FR1708" s="335"/>
    </row>
    <row r="1709" spans="132:174" x14ac:dyDescent="0.6">
      <c r="EB1709" s="335">
        <v>40473</v>
      </c>
      <c r="EC1709" s="62">
        <v>94.4</v>
      </c>
      <c r="ED1709" s="62">
        <v>1183.079956</v>
      </c>
      <c r="FR1709" s="335"/>
    </row>
    <row r="1710" spans="132:174" x14ac:dyDescent="0.6">
      <c r="EB1710" s="335">
        <v>40472</v>
      </c>
      <c r="EC1710" s="62">
        <v>89.66</v>
      </c>
      <c r="ED1710" s="62">
        <v>1180.26001</v>
      </c>
      <c r="FR1710" s="335"/>
    </row>
    <row r="1711" spans="132:174" x14ac:dyDescent="0.6">
      <c r="EB1711" s="335">
        <v>40471</v>
      </c>
      <c r="EC1711" s="62">
        <v>89.91</v>
      </c>
      <c r="ED1711" s="62">
        <v>1178.170044</v>
      </c>
      <c r="FR1711" s="335"/>
    </row>
    <row r="1712" spans="132:174" x14ac:dyDescent="0.6">
      <c r="EB1712" s="335">
        <v>40470</v>
      </c>
      <c r="EC1712" s="62">
        <v>90.46</v>
      </c>
      <c r="ED1712" s="62">
        <v>1165.900024</v>
      </c>
      <c r="FR1712" s="335"/>
    </row>
    <row r="1713" spans="132:174" x14ac:dyDescent="0.6">
      <c r="EB1713" s="335">
        <v>40469</v>
      </c>
      <c r="EC1713" s="62">
        <v>91.08</v>
      </c>
      <c r="ED1713" s="62">
        <v>1184.709961</v>
      </c>
      <c r="FR1713" s="335"/>
    </row>
    <row r="1714" spans="132:174" x14ac:dyDescent="0.6">
      <c r="EB1714" s="335">
        <v>40466</v>
      </c>
      <c r="EC1714" s="62">
        <v>92.03</v>
      </c>
      <c r="ED1714" s="62">
        <v>1176.1899410000001</v>
      </c>
      <c r="FR1714" s="335"/>
    </row>
    <row r="1715" spans="132:174" x14ac:dyDescent="0.6">
      <c r="EB1715" s="335">
        <v>40465</v>
      </c>
      <c r="EC1715" s="62">
        <v>91.74</v>
      </c>
      <c r="ED1715" s="62">
        <v>1173.8100589999999</v>
      </c>
      <c r="FR1715" s="335"/>
    </row>
    <row r="1716" spans="132:174" x14ac:dyDescent="0.6">
      <c r="EB1716" s="335">
        <v>40464</v>
      </c>
      <c r="EC1716" s="62">
        <v>90.84</v>
      </c>
      <c r="ED1716" s="62">
        <v>1178.099976</v>
      </c>
      <c r="FR1716" s="335"/>
    </row>
    <row r="1717" spans="132:174" x14ac:dyDescent="0.6">
      <c r="EB1717" s="335">
        <v>40463</v>
      </c>
      <c r="EC1717" s="62">
        <v>90.67</v>
      </c>
      <c r="ED1717" s="62">
        <v>1169.7700199999999</v>
      </c>
      <c r="FR1717" s="335"/>
    </row>
    <row r="1718" spans="132:174" x14ac:dyDescent="0.6">
      <c r="EB1718" s="335">
        <v>40462</v>
      </c>
      <c r="EC1718" s="62">
        <v>90.14</v>
      </c>
      <c r="ED1718" s="62">
        <v>1165.3199460000001</v>
      </c>
      <c r="FR1718" s="335"/>
    </row>
    <row r="1719" spans="132:174" x14ac:dyDescent="0.6">
      <c r="EB1719" s="335">
        <v>40459</v>
      </c>
      <c r="EC1719" s="62">
        <v>89.11</v>
      </c>
      <c r="ED1719" s="62">
        <v>1165.150024</v>
      </c>
      <c r="FR1719" s="335"/>
    </row>
    <row r="1720" spans="132:174" x14ac:dyDescent="0.6">
      <c r="EB1720" s="335">
        <v>40458</v>
      </c>
      <c r="EC1720" s="62">
        <v>89.85</v>
      </c>
      <c r="ED1720" s="62">
        <v>1158.0600589999999</v>
      </c>
      <c r="FR1720" s="335"/>
    </row>
    <row r="1721" spans="132:174" x14ac:dyDescent="0.6">
      <c r="EB1721" s="335">
        <v>40457</v>
      </c>
      <c r="EC1721" s="62">
        <v>88.66</v>
      </c>
      <c r="ED1721" s="62">
        <v>1159.969971</v>
      </c>
      <c r="FR1721" s="335"/>
    </row>
    <row r="1722" spans="132:174" x14ac:dyDescent="0.6">
      <c r="EB1722" s="335">
        <v>40456</v>
      </c>
      <c r="EC1722" s="62">
        <v>91.6</v>
      </c>
      <c r="ED1722" s="62">
        <v>1160.75</v>
      </c>
      <c r="FR1722" s="335"/>
    </row>
    <row r="1723" spans="132:174" x14ac:dyDescent="0.6">
      <c r="EB1723" s="335">
        <v>40455</v>
      </c>
      <c r="EC1723" s="62">
        <v>88.44</v>
      </c>
      <c r="ED1723" s="62">
        <v>1137.030029</v>
      </c>
      <c r="FR1723" s="335"/>
    </row>
    <row r="1724" spans="132:174" x14ac:dyDescent="0.6">
      <c r="EB1724" s="335">
        <v>40452</v>
      </c>
      <c r="EC1724" s="62">
        <v>88.34</v>
      </c>
      <c r="ED1724" s="62">
        <v>1146.23999</v>
      </c>
      <c r="FR1724" s="335"/>
    </row>
    <row r="1725" spans="132:174" x14ac:dyDescent="0.6">
      <c r="EB1725" s="335">
        <v>40451</v>
      </c>
      <c r="EC1725" s="62">
        <v>88.61</v>
      </c>
      <c r="ED1725" s="62">
        <v>1141.1999510000001</v>
      </c>
      <c r="FR1725" s="335"/>
    </row>
    <row r="1726" spans="132:174" x14ac:dyDescent="0.6">
      <c r="EB1726" s="335">
        <v>40450</v>
      </c>
      <c r="EC1726" s="62">
        <v>89.16</v>
      </c>
      <c r="ED1726" s="62">
        <v>1144.7299800000001</v>
      </c>
      <c r="FR1726" s="335"/>
    </row>
    <row r="1727" spans="132:174" x14ac:dyDescent="0.6">
      <c r="EB1727" s="335">
        <v>40449</v>
      </c>
      <c r="EC1727" s="62">
        <v>88.69</v>
      </c>
      <c r="ED1727" s="62">
        <v>1147.6999510000001</v>
      </c>
      <c r="FR1727" s="335"/>
    </row>
    <row r="1728" spans="132:174" x14ac:dyDescent="0.6">
      <c r="EB1728" s="335">
        <v>40448</v>
      </c>
      <c r="EC1728" s="62">
        <v>89.25</v>
      </c>
      <c r="ED1728" s="62">
        <v>1142.160034</v>
      </c>
      <c r="FR1728" s="335"/>
    </row>
    <row r="1729" spans="132:174" x14ac:dyDescent="0.6">
      <c r="EB1729" s="335">
        <v>40445</v>
      </c>
      <c r="EC1729" s="62">
        <v>87.83</v>
      </c>
      <c r="ED1729" s="62">
        <v>1148.670044</v>
      </c>
      <c r="FR1729" s="335"/>
    </row>
    <row r="1730" spans="132:174" x14ac:dyDescent="0.6">
      <c r="EB1730" s="335">
        <v>40444</v>
      </c>
      <c r="EC1730" s="62">
        <v>85.69</v>
      </c>
      <c r="ED1730" s="62">
        <v>1124.829956</v>
      </c>
      <c r="FR1730" s="335"/>
    </row>
    <row r="1731" spans="132:174" x14ac:dyDescent="0.6">
      <c r="EB1731" s="335">
        <v>40443</v>
      </c>
      <c r="EC1731" s="62">
        <v>86.98</v>
      </c>
      <c r="ED1731" s="62">
        <v>1134.280029</v>
      </c>
      <c r="FR1731" s="335"/>
    </row>
    <row r="1732" spans="132:174" x14ac:dyDescent="0.6">
      <c r="EB1732" s="335">
        <v>40442</v>
      </c>
      <c r="EC1732" s="62">
        <v>88.037499999999994</v>
      </c>
      <c r="ED1732" s="62">
        <v>1139.780029</v>
      </c>
      <c r="FR1732" s="335"/>
    </row>
    <row r="1733" spans="132:174" x14ac:dyDescent="0.6">
      <c r="EB1733" s="335">
        <v>40441</v>
      </c>
      <c r="EC1733" s="62">
        <v>88.28</v>
      </c>
      <c r="ED1733" s="62">
        <v>1142.709961</v>
      </c>
      <c r="FR1733" s="335"/>
    </row>
    <row r="1734" spans="132:174" x14ac:dyDescent="0.6">
      <c r="EB1734" s="335">
        <v>40438</v>
      </c>
      <c r="EC1734" s="62">
        <v>86.76</v>
      </c>
      <c r="ED1734" s="62">
        <v>1125.589966</v>
      </c>
      <c r="FR1734" s="335"/>
    </row>
    <row r="1735" spans="132:174" x14ac:dyDescent="0.6">
      <c r="EB1735" s="335">
        <v>40437</v>
      </c>
      <c r="EC1735" s="62">
        <v>86.62</v>
      </c>
      <c r="ED1735" s="62">
        <v>1124.660034</v>
      </c>
      <c r="FR1735" s="335"/>
    </row>
    <row r="1736" spans="132:174" x14ac:dyDescent="0.6">
      <c r="EB1736" s="335">
        <v>40436</v>
      </c>
      <c r="EC1736" s="62">
        <v>87.34</v>
      </c>
      <c r="ED1736" s="62">
        <v>1125.0699460000001</v>
      </c>
      <c r="FR1736" s="335"/>
    </row>
    <row r="1737" spans="132:174" x14ac:dyDescent="0.6">
      <c r="EB1737" s="335">
        <v>40435</v>
      </c>
      <c r="EC1737" s="62">
        <v>87.09</v>
      </c>
      <c r="ED1737" s="62">
        <v>1121.099976</v>
      </c>
      <c r="FR1737" s="335"/>
    </row>
    <row r="1738" spans="132:174" x14ac:dyDescent="0.6">
      <c r="EB1738" s="335">
        <v>40434</v>
      </c>
      <c r="EC1738" s="62">
        <v>86.89</v>
      </c>
      <c r="ED1738" s="62">
        <v>1121.900024</v>
      </c>
      <c r="FR1738" s="335"/>
    </row>
    <row r="1739" spans="132:174" x14ac:dyDescent="0.6">
      <c r="EB1739" s="335">
        <v>40431</v>
      </c>
      <c r="EC1739" s="62">
        <v>86.14</v>
      </c>
      <c r="ED1739" s="62">
        <v>1109.5500489999999</v>
      </c>
      <c r="FR1739" s="335"/>
    </row>
    <row r="1740" spans="132:174" x14ac:dyDescent="0.6">
      <c r="EB1740" s="335">
        <v>40430</v>
      </c>
      <c r="EC1740" s="62">
        <v>85.55</v>
      </c>
      <c r="ED1740" s="62">
        <v>1104.1800539999999</v>
      </c>
      <c r="FR1740" s="335"/>
    </row>
    <row r="1741" spans="132:174" x14ac:dyDescent="0.6">
      <c r="EB1741" s="335">
        <v>40429</v>
      </c>
      <c r="EC1741" s="62">
        <v>86.07</v>
      </c>
      <c r="ED1741" s="62">
        <v>1098.869995</v>
      </c>
      <c r="FR1741" s="335"/>
    </row>
    <row r="1742" spans="132:174" x14ac:dyDescent="0.6">
      <c r="EB1742" s="335">
        <v>40428</v>
      </c>
      <c r="EC1742" s="62">
        <v>85.66</v>
      </c>
      <c r="ED1742" s="62">
        <v>1091.839966</v>
      </c>
      <c r="FR1742" s="335"/>
    </row>
    <row r="1743" spans="132:174" x14ac:dyDescent="0.6">
      <c r="EB1743" s="335">
        <v>40424</v>
      </c>
      <c r="EC1743" s="62">
        <v>85.02</v>
      </c>
      <c r="ED1743" s="62">
        <v>1104.51001</v>
      </c>
      <c r="FR1743" s="335"/>
    </row>
    <row r="1744" spans="132:174" x14ac:dyDescent="0.6">
      <c r="EB1744" s="335">
        <v>40423</v>
      </c>
      <c r="EC1744" s="62">
        <v>85.21</v>
      </c>
      <c r="ED1744" s="62">
        <v>1090.099976</v>
      </c>
      <c r="FR1744" s="335"/>
    </row>
    <row r="1745" spans="132:174" x14ac:dyDescent="0.6">
      <c r="EB1745" s="335">
        <v>40422</v>
      </c>
      <c r="EC1745" s="62">
        <v>82.95</v>
      </c>
      <c r="ED1745" s="62">
        <v>1080.290039</v>
      </c>
      <c r="FR1745" s="335"/>
    </row>
    <row r="1746" spans="132:174" x14ac:dyDescent="0.6">
      <c r="EB1746" s="335">
        <v>40421</v>
      </c>
      <c r="EC1746" s="62">
        <v>79.94</v>
      </c>
      <c r="ED1746" s="62">
        <v>1049.329956</v>
      </c>
      <c r="FR1746" s="335"/>
    </row>
    <row r="1747" spans="132:174" x14ac:dyDescent="0.6">
      <c r="EB1747" s="335">
        <v>40420</v>
      </c>
      <c r="EC1747" s="62">
        <v>79.47</v>
      </c>
      <c r="ED1747" s="62">
        <v>1048.920044</v>
      </c>
      <c r="FR1747" s="335"/>
    </row>
    <row r="1748" spans="132:174" x14ac:dyDescent="0.6">
      <c r="EB1748" s="335">
        <v>40417</v>
      </c>
      <c r="EC1748" s="62">
        <v>79.81</v>
      </c>
      <c r="ED1748" s="62">
        <v>1064.589966</v>
      </c>
      <c r="FR1748" s="335"/>
    </row>
    <row r="1749" spans="132:174" x14ac:dyDescent="0.6">
      <c r="EB1749" s="335">
        <v>40416</v>
      </c>
      <c r="EC1749" s="62">
        <v>79.150000000000006</v>
      </c>
      <c r="ED1749" s="62">
        <v>1047.219971</v>
      </c>
      <c r="FR1749" s="335"/>
    </row>
    <row r="1750" spans="132:174" x14ac:dyDescent="0.6">
      <c r="EB1750" s="335">
        <v>40415</v>
      </c>
      <c r="EC1750" s="62">
        <v>78.930000000000007</v>
      </c>
      <c r="ED1750" s="62">
        <v>1055.329956</v>
      </c>
      <c r="FR1750" s="335"/>
    </row>
    <row r="1751" spans="132:174" x14ac:dyDescent="0.6">
      <c r="EB1751" s="335">
        <v>40414</v>
      </c>
      <c r="EC1751" s="62">
        <v>78.34</v>
      </c>
      <c r="ED1751" s="62">
        <v>1051.869995</v>
      </c>
      <c r="FR1751" s="335"/>
    </row>
    <row r="1752" spans="132:174" x14ac:dyDescent="0.6">
      <c r="EB1752" s="335">
        <v>40413</v>
      </c>
      <c r="EC1752" s="62">
        <v>79.260000000000005</v>
      </c>
      <c r="ED1752" s="62">
        <v>1067.3599850000001</v>
      </c>
      <c r="FR1752" s="335"/>
    </row>
    <row r="1753" spans="132:174" x14ac:dyDescent="0.6">
      <c r="EB1753" s="335">
        <v>40410</v>
      </c>
      <c r="EC1753" s="62">
        <v>79.489999999999995</v>
      </c>
      <c r="ED1753" s="62">
        <v>1071.6899410000001</v>
      </c>
      <c r="FR1753" s="335"/>
    </row>
    <row r="1754" spans="132:174" x14ac:dyDescent="0.6">
      <c r="EB1754" s="335">
        <v>40409</v>
      </c>
      <c r="EC1754" s="62">
        <v>78.650000000000006</v>
      </c>
      <c r="ED1754" s="62">
        <v>1075.630005</v>
      </c>
      <c r="FR1754" s="335"/>
    </row>
    <row r="1755" spans="132:174" x14ac:dyDescent="0.6">
      <c r="EB1755" s="335">
        <v>40408</v>
      </c>
      <c r="EC1755" s="62">
        <v>78.77</v>
      </c>
      <c r="ED1755" s="62">
        <v>1094.160034</v>
      </c>
      <c r="FR1755" s="335"/>
    </row>
    <row r="1756" spans="132:174" x14ac:dyDescent="0.6">
      <c r="EB1756" s="335">
        <v>40407</v>
      </c>
      <c r="EC1756" s="62">
        <v>76.92</v>
      </c>
      <c r="ED1756" s="62">
        <v>1092.540039</v>
      </c>
      <c r="FR1756" s="335"/>
    </row>
    <row r="1757" spans="132:174" x14ac:dyDescent="0.6">
      <c r="EB1757" s="335">
        <v>40406</v>
      </c>
      <c r="EC1757" s="62">
        <v>75.66</v>
      </c>
      <c r="ED1757" s="62">
        <v>1079.380005</v>
      </c>
      <c r="FR1757" s="335"/>
    </row>
    <row r="1758" spans="132:174" x14ac:dyDescent="0.6">
      <c r="EB1758" s="335">
        <v>40403</v>
      </c>
      <c r="EC1758" s="62">
        <v>74.16</v>
      </c>
      <c r="ED1758" s="62">
        <v>1079.25</v>
      </c>
      <c r="FR1758" s="335"/>
    </row>
    <row r="1759" spans="132:174" x14ac:dyDescent="0.6">
      <c r="EB1759" s="335">
        <v>40402</v>
      </c>
      <c r="EC1759" s="62">
        <v>75.56</v>
      </c>
      <c r="ED1759" s="62">
        <v>1083.6099850000001</v>
      </c>
      <c r="FR1759" s="335"/>
    </row>
    <row r="1760" spans="132:174" x14ac:dyDescent="0.6">
      <c r="EB1760" s="335">
        <v>40401</v>
      </c>
      <c r="EC1760" s="62">
        <v>75.8</v>
      </c>
      <c r="ED1760" s="62">
        <v>1089.469971</v>
      </c>
      <c r="FR1760" s="335"/>
    </row>
    <row r="1761" spans="132:174" x14ac:dyDescent="0.6">
      <c r="EB1761" s="335">
        <v>40400</v>
      </c>
      <c r="EC1761" s="62">
        <v>77.47</v>
      </c>
      <c r="ED1761" s="62">
        <v>1121.0600589999999</v>
      </c>
      <c r="FR1761" s="335"/>
    </row>
    <row r="1762" spans="132:174" x14ac:dyDescent="0.6">
      <c r="EB1762" s="335">
        <v>40399</v>
      </c>
      <c r="EC1762" s="62">
        <v>78.510000000000005</v>
      </c>
      <c r="ED1762" s="62">
        <v>1127.790039</v>
      </c>
      <c r="FR1762" s="335"/>
    </row>
    <row r="1763" spans="132:174" x14ac:dyDescent="0.6">
      <c r="EB1763" s="335">
        <v>40396</v>
      </c>
      <c r="EC1763" s="62">
        <v>76.95</v>
      </c>
      <c r="ED1763" s="62">
        <v>1121.6400149999999</v>
      </c>
      <c r="FR1763" s="335"/>
    </row>
    <row r="1764" spans="132:174" x14ac:dyDescent="0.6">
      <c r="EB1764" s="335">
        <v>40395</v>
      </c>
      <c r="EC1764" s="62">
        <v>75.92</v>
      </c>
      <c r="ED1764" s="62">
        <v>1125.8100589999999</v>
      </c>
      <c r="FR1764" s="335"/>
    </row>
    <row r="1765" spans="132:174" x14ac:dyDescent="0.6">
      <c r="EB1765" s="335">
        <v>40394</v>
      </c>
      <c r="EC1765" s="62">
        <v>77.7</v>
      </c>
      <c r="ED1765" s="62">
        <v>1127.23999</v>
      </c>
      <c r="FR1765" s="335"/>
    </row>
    <row r="1766" spans="132:174" x14ac:dyDescent="0.6">
      <c r="EB1766" s="335">
        <v>40393</v>
      </c>
      <c r="EC1766" s="62">
        <v>77.989999999999995</v>
      </c>
      <c r="ED1766" s="62">
        <v>1120.459961</v>
      </c>
      <c r="FR1766" s="335"/>
    </row>
    <row r="1767" spans="132:174" x14ac:dyDescent="0.6">
      <c r="EB1767" s="335">
        <v>40392</v>
      </c>
      <c r="EC1767" s="62">
        <v>77.819999999999993</v>
      </c>
      <c r="ED1767" s="62">
        <v>1125.8599850000001</v>
      </c>
      <c r="FR1767" s="335"/>
    </row>
    <row r="1768" spans="132:174" x14ac:dyDescent="0.6">
      <c r="EB1768" s="335">
        <v>40389</v>
      </c>
      <c r="EC1768" s="62">
        <v>78.209999999999994</v>
      </c>
      <c r="ED1768" s="62">
        <v>1101.599976</v>
      </c>
      <c r="FR1768" s="335"/>
    </row>
    <row r="1769" spans="132:174" x14ac:dyDescent="0.6">
      <c r="EB1769" s="335">
        <v>40388</v>
      </c>
      <c r="EC1769" s="62">
        <v>77.13</v>
      </c>
      <c r="ED1769" s="62">
        <v>1101.530029</v>
      </c>
      <c r="FR1769" s="335"/>
    </row>
    <row r="1770" spans="132:174" x14ac:dyDescent="0.6">
      <c r="EB1770" s="335">
        <v>40387</v>
      </c>
      <c r="EC1770" s="62">
        <v>78.2</v>
      </c>
      <c r="ED1770" s="62">
        <v>1106.130005</v>
      </c>
      <c r="FR1770" s="335"/>
    </row>
    <row r="1771" spans="132:174" x14ac:dyDescent="0.6">
      <c r="EB1771" s="335">
        <v>40386</v>
      </c>
      <c r="EC1771" s="62">
        <v>78.599999999999994</v>
      </c>
      <c r="ED1771" s="62">
        <v>1113.839966</v>
      </c>
      <c r="FR1771" s="335"/>
    </row>
    <row r="1772" spans="132:174" x14ac:dyDescent="0.6">
      <c r="EB1772" s="335">
        <v>40385</v>
      </c>
      <c r="EC1772" s="62">
        <v>78.27</v>
      </c>
      <c r="ED1772" s="62">
        <v>1115.01001</v>
      </c>
      <c r="FR1772" s="335"/>
    </row>
    <row r="1773" spans="132:174" x14ac:dyDescent="0.6">
      <c r="EB1773" s="335">
        <v>40382</v>
      </c>
      <c r="EC1773" s="62">
        <v>76.06</v>
      </c>
      <c r="ED1773" s="62">
        <v>1102.660034</v>
      </c>
      <c r="FR1773" s="335"/>
    </row>
    <row r="1774" spans="132:174" x14ac:dyDescent="0.6">
      <c r="EB1774" s="335">
        <v>40381</v>
      </c>
      <c r="EC1774" s="62">
        <v>76.27</v>
      </c>
      <c r="ED1774" s="62">
        <v>1093.670044</v>
      </c>
      <c r="FR1774" s="335"/>
    </row>
    <row r="1775" spans="132:174" x14ac:dyDescent="0.6">
      <c r="EB1775" s="335">
        <v>40380</v>
      </c>
      <c r="EC1775" s="62">
        <v>74.17</v>
      </c>
      <c r="ED1775" s="62">
        <v>1069.589966</v>
      </c>
      <c r="FR1775" s="335"/>
    </row>
    <row r="1776" spans="132:174" x14ac:dyDescent="0.6">
      <c r="EB1776" s="335">
        <v>40379</v>
      </c>
      <c r="EC1776" s="62">
        <v>75.06</v>
      </c>
      <c r="ED1776" s="62">
        <v>1083.4799800000001</v>
      </c>
      <c r="FR1776" s="335"/>
    </row>
    <row r="1777" spans="132:174" x14ac:dyDescent="0.6">
      <c r="EB1777" s="335">
        <v>40378</v>
      </c>
      <c r="EC1777" s="62">
        <v>74.58</v>
      </c>
      <c r="ED1777" s="62">
        <v>1071.25</v>
      </c>
      <c r="FR1777" s="335"/>
    </row>
    <row r="1778" spans="132:174" x14ac:dyDescent="0.6">
      <c r="EB1778" s="335">
        <v>40375</v>
      </c>
      <c r="EC1778" s="62">
        <v>75.430000000000007</v>
      </c>
      <c r="ED1778" s="62">
        <v>1064.880005</v>
      </c>
      <c r="FR1778" s="335"/>
    </row>
    <row r="1779" spans="132:174" x14ac:dyDescent="0.6">
      <c r="EB1779" s="335">
        <v>40374</v>
      </c>
      <c r="EC1779" s="62">
        <v>78.010000000000005</v>
      </c>
      <c r="ED1779" s="62">
        <v>1096.4799800000001</v>
      </c>
      <c r="FR1779" s="335"/>
    </row>
    <row r="1780" spans="132:174" x14ac:dyDescent="0.6">
      <c r="EB1780" s="335">
        <v>40373</v>
      </c>
      <c r="EC1780" s="62">
        <v>78.12</v>
      </c>
      <c r="ED1780" s="62">
        <v>1095.170044</v>
      </c>
      <c r="FR1780" s="335"/>
    </row>
    <row r="1781" spans="132:174" x14ac:dyDescent="0.6">
      <c r="EB1781" s="335">
        <v>40372</v>
      </c>
      <c r="EC1781" s="62">
        <v>77.7</v>
      </c>
      <c r="ED1781" s="62">
        <v>1095.339966</v>
      </c>
      <c r="FR1781" s="335"/>
    </row>
    <row r="1782" spans="132:174" x14ac:dyDescent="0.6">
      <c r="EB1782" s="335">
        <v>40371</v>
      </c>
      <c r="EC1782" s="62">
        <v>75.72</v>
      </c>
      <c r="ED1782" s="62">
        <v>1078.75</v>
      </c>
      <c r="FR1782" s="335"/>
    </row>
    <row r="1783" spans="132:174" x14ac:dyDescent="0.6">
      <c r="EB1783" s="335">
        <v>40368</v>
      </c>
      <c r="EC1783" s="62">
        <v>76.06</v>
      </c>
      <c r="ED1783" s="62">
        <v>1077.959961</v>
      </c>
      <c r="FR1783" s="335"/>
    </row>
    <row r="1784" spans="132:174" x14ac:dyDescent="0.6">
      <c r="EB1784" s="335">
        <v>40367</v>
      </c>
      <c r="EC1784" s="62">
        <v>75.3</v>
      </c>
      <c r="ED1784" s="62">
        <v>1070.25</v>
      </c>
      <c r="FR1784" s="335"/>
    </row>
    <row r="1785" spans="132:174" x14ac:dyDescent="0.6">
      <c r="EB1785" s="335">
        <v>40366</v>
      </c>
      <c r="EC1785" s="62">
        <v>73.819999999999993</v>
      </c>
      <c r="ED1785" s="62">
        <v>1060.2700199999999</v>
      </c>
      <c r="FR1785" s="335"/>
    </row>
    <row r="1786" spans="132:174" x14ac:dyDescent="0.6">
      <c r="EB1786" s="335">
        <v>40365</v>
      </c>
      <c r="EC1786" s="62">
        <v>74.08</v>
      </c>
      <c r="ED1786" s="62">
        <v>1028.0600589999999</v>
      </c>
      <c r="FR1786" s="335"/>
    </row>
    <row r="1787" spans="132:174" x14ac:dyDescent="0.6">
      <c r="EB1787" s="335">
        <v>40361</v>
      </c>
      <c r="EC1787" s="62">
        <v>76.09</v>
      </c>
      <c r="ED1787" s="62">
        <v>1022.580017</v>
      </c>
      <c r="FR1787" s="335"/>
    </row>
    <row r="1788" spans="132:174" x14ac:dyDescent="0.6">
      <c r="EB1788" s="335">
        <v>40360</v>
      </c>
      <c r="EC1788" s="62">
        <v>76.069999999999993</v>
      </c>
      <c r="ED1788" s="62">
        <v>1027.369995</v>
      </c>
      <c r="FR1788" s="335"/>
    </row>
    <row r="1789" spans="132:174" x14ac:dyDescent="0.6">
      <c r="EB1789" s="335">
        <v>40359</v>
      </c>
      <c r="EC1789" s="62">
        <v>75.290000000000006</v>
      </c>
      <c r="ED1789" s="62">
        <v>1030.709961</v>
      </c>
      <c r="FR1789" s="335"/>
    </row>
    <row r="1790" spans="132:174" x14ac:dyDescent="0.6">
      <c r="EB1790" s="335">
        <v>40358</v>
      </c>
      <c r="EC1790" s="62">
        <v>75.540000000000006</v>
      </c>
      <c r="ED1790" s="62">
        <v>1041.23999</v>
      </c>
      <c r="FR1790" s="335"/>
    </row>
    <row r="1791" spans="132:174" x14ac:dyDescent="0.6">
      <c r="EB1791" s="335">
        <v>40357</v>
      </c>
      <c r="EC1791" s="62">
        <v>78.41</v>
      </c>
      <c r="ED1791" s="62">
        <v>1074.5699460000001</v>
      </c>
      <c r="FR1791" s="335"/>
    </row>
    <row r="1792" spans="132:174" x14ac:dyDescent="0.6">
      <c r="EB1792" s="335">
        <v>40354</v>
      </c>
      <c r="EC1792" s="62">
        <v>78.98</v>
      </c>
      <c r="ED1792" s="62">
        <v>1076.76001</v>
      </c>
      <c r="FR1792" s="335"/>
    </row>
    <row r="1793" spans="132:174" x14ac:dyDescent="0.6">
      <c r="EB1793" s="335">
        <v>40353</v>
      </c>
      <c r="EC1793" s="62">
        <v>79.16</v>
      </c>
      <c r="ED1793" s="62">
        <v>1073.6899410000001</v>
      </c>
      <c r="FR1793" s="335"/>
    </row>
    <row r="1794" spans="132:174" x14ac:dyDescent="0.6">
      <c r="EB1794" s="335">
        <v>40352</v>
      </c>
      <c r="EC1794" s="62">
        <v>80.31</v>
      </c>
      <c r="ED1794" s="62">
        <v>1092.040039</v>
      </c>
      <c r="FR1794" s="335"/>
    </row>
    <row r="1795" spans="132:174" x14ac:dyDescent="0.6">
      <c r="EB1795" s="335">
        <v>40351</v>
      </c>
      <c r="EC1795" s="62">
        <v>80.010000000000005</v>
      </c>
      <c r="ED1795" s="62">
        <v>1095.3100589999999</v>
      </c>
      <c r="FR1795" s="335"/>
    </row>
    <row r="1796" spans="132:174" x14ac:dyDescent="0.6">
      <c r="EB1796" s="335">
        <v>40350</v>
      </c>
      <c r="EC1796" s="62">
        <v>82.41</v>
      </c>
      <c r="ED1796" s="62">
        <v>1113.1999510000001</v>
      </c>
      <c r="FR1796" s="335"/>
    </row>
    <row r="1797" spans="132:174" x14ac:dyDescent="0.6">
      <c r="EB1797" s="335">
        <v>40347</v>
      </c>
      <c r="EC1797" s="62">
        <v>84.01</v>
      </c>
      <c r="ED1797" s="62">
        <v>1117.51001</v>
      </c>
      <c r="FR1797" s="335"/>
    </row>
    <row r="1798" spans="132:174" x14ac:dyDescent="0.6">
      <c r="EB1798" s="335">
        <v>40346</v>
      </c>
      <c r="EC1798" s="62">
        <v>83.7</v>
      </c>
      <c r="ED1798" s="62">
        <v>1116.040039</v>
      </c>
      <c r="FR1798" s="335"/>
    </row>
    <row r="1799" spans="132:174" x14ac:dyDescent="0.6">
      <c r="EB1799" s="335">
        <v>40345</v>
      </c>
      <c r="EC1799" s="62">
        <v>84.41</v>
      </c>
      <c r="ED1799" s="62">
        <v>1114.6099850000001</v>
      </c>
      <c r="FR1799" s="335"/>
    </row>
    <row r="1800" spans="132:174" x14ac:dyDescent="0.6">
      <c r="EB1800" s="335">
        <v>40344</v>
      </c>
      <c r="EC1800" s="62">
        <v>84.81</v>
      </c>
      <c r="ED1800" s="62">
        <v>1115.2299800000001</v>
      </c>
      <c r="FR1800" s="335"/>
    </row>
    <row r="1801" spans="132:174" x14ac:dyDescent="0.6">
      <c r="EB1801" s="335">
        <v>40343</v>
      </c>
      <c r="EC1801" s="62">
        <v>83.52</v>
      </c>
      <c r="ED1801" s="62">
        <v>1089.630005</v>
      </c>
      <c r="FR1801" s="335"/>
    </row>
    <row r="1802" spans="132:174" x14ac:dyDescent="0.6">
      <c r="EB1802" s="335">
        <v>40340</v>
      </c>
      <c r="EC1802" s="62">
        <v>82.99</v>
      </c>
      <c r="ED1802" s="62">
        <v>1091.599976</v>
      </c>
      <c r="FR1802" s="335"/>
    </row>
    <row r="1803" spans="132:174" x14ac:dyDescent="0.6">
      <c r="EB1803" s="335">
        <v>40339</v>
      </c>
      <c r="EC1803" s="62">
        <v>82.46</v>
      </c>
      <c r="ED1803" s="62">
        <v>1086.839966</v>
      </c>
      <c r="FR1803" s="335"/>
    </row>
    <row r="1804" spans="132:174" x14ac:dyDescent="0.6">
      <c r="EB1804" s="335">
        <v>40338</v>
      </c>
      <c r="EC1804" s="62">
        <v>80.37</v>
      </c>
      <c r="ED1804" s="62">
        <v>1055.6899410000001</v>
      </c>
      <c r="FR1804" s="335"/>
    </row>
    <row r="1805" spans="132:174" x14ac:dyDescent="0.6">
      <c r="EB1805" s="335">
        <v>40337</v>
      </c>
      <c r="EC1805" s="62">
        <v>79.77</v>
      </c>
      <c r="ED1805" s="62">
        <v>1062</v>
      </c>
      <c r="FR1805" s="335"/>
    </row>
    <row r="1806" spans="132:174" x14ac:dyDescent="0.6">
      <c r="EB1806" s="335">
        <v>40336</v>
      </c>
      <c r="EC1806" s="62">
        <v>78.72</v>
      </c>
      <c r="ED1806" s="62">
        <v>1050.469971</v>
      </c>
      <c r="FR1806" s="335"/>
    </row>
    <row r="1807" spans="132:174" x14ac:dyDescent="0.6">
      <c r="EB1807" s="335">
        <v>40333</v>
      </c>
      <c r="EC1807" s="62">
        <v>80.69</v>
      </c>
      <c r="ED1807" s="62">
        <v>1064.880005</v>
      </c>
      <c r="FR1807" s="335"/>
    </row>
    <row r="1808" spans="132:174" x14ac:dyDescent="0.6">
      <c r="EB1808" s="335">
        <v>40332</v>
      </c>
      <c r="EC1808" s="62">
        <v>82.54</v>
      </c>
      <c r="ED1808" s="62">
        <v>1102.829956</v>
      </c>
      <c r="FR1808" s="335"/>
    </row>
    <row r="1809" spans="132:174" x14ac:dyDescent="0.6">
      <c r="EB1809" s="335">
        <v>40331</v>
      </c>
      <c r="EC1809" s="62">
        <v>82.34</v>
      </c>
      <c r="ED1809" s="62">
        <v>1098.380005</v>
      </c>
      <c r="FR1809" s="335"/>
    </row>
    <row r="1810" spans="132:174" x14ac:dyDescent="0.6">
      <c r="EB1810" s="335">
        <v>40330</v>
      </c>
      <c r="EC1810" s="62">
        <v>80.52</v>
      </c>
      <c r="ED1810" s="62">
        <v>1070.709961</v>
      </c>
      <c r="FR1810" s="335"/>
    </row>
    <row r="1811" spans="132:174" x14ac:dyDescent="0.6">
      <c r="EB1811" s="335">
        <v>40326</v>
      </c>
      <c r="EC1811" s="62">
        <v>80.83</v>
      </c>
      <c r="ED1811" s="62">
        <v>1089.410034</v>
      </c>
      <c r="FR1811" s="335"/>
    </row>
    <row r="1812" spans="132:174" x14ac:dyDescent="0.6">
      <c r="EB1812" s="335">
        <v>40325</v>
      </c>
      <c r="EC1812" s="62">
        <v>80.67</v>
      </c>
      <c r="ED1812" s="62">
        <v>1103.0600589999999</v>
      </c>
      <c r="FR1812" s="335"/>
    </row>
    <row r="1813" spans="132:174" x14ac:dyDescent="0.6">
      <c r="EB1813" s="335">
        <v>40324</v>
      </c>
      <c r="EC1813" s="62">
        <v>77.650000000000006</v>
      </c>
      <c r="ED1813" s="62">
        <v>1067.9499510000001</v>
      </c>
      <c r="FR1813" s="335"/>
    </row>
    <row r="1814" spans="132:174" x14ac:dyDescent="0.6">
      <c r="EB1814" s="335">
        <v>40323</v>
      </c>
      <c r="EC1814" s="62">
        <v>77.55</v>
      </c>
      <c r="ED1814" s="62">
        <v>1074.030029</v>
      </c>
      <c r="FR1814" s="335"/>
    </row>
    <row r="1815" spans="132:174" x14ac:dyDescent="0.6">
      <c r="EB1815" s="335">
        <v>40322</v>
      </c>
      <c r="EC1815" s="62">
        <v>77.260000000000005</v>
      </c>
      <c r="ED1815" s="62">
        <v>1073.650024</v>
      </c>
      <c r="FR1815" s="335"/>
    </row>
    <row r="1816" spans="132:174" x14ac:dyDescent="0.6">
      <c r="EB1816" s="335">
        <v>40319</v>
      </c>
      <c r="EC1816" s="62">
        <v>76.27</v>
      </c>
      <c r="ED1816" s="62">
        <v>1087.6899410000001</v>
      </c>
      <c r="FR1816" s="335"/>
    </row>
    <row r="1817" spans="132:174" x14ac:dyDescent="0.6">
      <c r="EB1817" s="335">
        <v>40318</v>
      </c>
      <c r="EC1817" s="62">
        <v>75.34</v>
      </c>
      <c r="ED1817" s="62">
        <v>1071.589966</v>
      </c>
      <c r="FR1817" s="335"/>
    </row>
    <row r="1818" spans="132:174" x14ac:dyDescent="0.6">
      <c r="EB1818" s="335">
        <v>40317</v>
      </c>
      <c r="EC1818" s="62">
        <v>76.900000000000006</v>
      </c>
      <c r="ED1818" s="62">
        <v>1115.0500489999999</v>
      </c>
      <c r="FR1818" s="335"/>
    </row>
    <row r="1819" spans="132:174" x14ac:dyDescent="0.6">
      <c r="EB1819" s="335">
        <v>40316</v>
      </c>
      <c r="EC1819" s="62">
        <v>76.56</v>
      </c>
      <c r="ED1819" s="62">
        <v>1120.8000489999999</v>
      </c>
      <c r="FR1819" s="335"/>
    </row>
    <row r="1820" spans="132:174" x14ac:dyDescent="0.6">
      <c r="EB1820" s="335">
        <v>40315</v>
      </c>
      <c r="EC1820" s="62">
        <v>77.37</v>
      </c>
      <c r="ED1820" s="62">
        <v>1136.9399410000001</v>
      </c>
      <c r="FR1820" s="335"/>
    </row>
    <row r="1821" spans="132:174" x14ac:dyDescent="0.6">
      <c r="EB1821" s="335">
        <v>40312</v>
      </c>
      <c r="EC1821" s="62">
        <v>75.989999999999995</v>
      </c>
      <c r="ED1821" s="62">
        <v>1135.6800539999999</v>
      </c>
      <c r="FR1821" s="335"/>
    </row>
    <row r="1822" spans="132:174" x14ac:dyDescent="0.6">
      <c r="EB1822" s="335">
        <v>40311</v>
      </c>
      <c r="EC1822" s="62">
        <v>77.2</v>
      </c>
      <c r="ED1822" s="62">
        <v>1157.4399410000001</v>
      </c>
      <c r="FR1822" s="335"/>
    </row>
    <row r="1823" spans="132:174" x14ac:dyDescent="0.6">
      <c r="EB1823" s="335">
        <v>40310</v>
      </c>
      <c r="EC1823" s="62">
        <v>78.680000000000007</v>
      </c>
      <c r="ED1823" s="62">
        <v>1171.670044</v>
      </c>
      <c r="FR1823" s="335"/>
    </row>
    <row r="1824" spans="132:174" x14ac:dyDescent="0.6">
      <c r="EB1824" s="335">
        <v>40309</v>
      </c>
      <c r="EC1824" s="62">
        <v>77.489999999999995</v>
      </c>
      <c r="ED1824" s="62">
        <v>1155.790039</v>
      </c>
      <c r="FR1824" s="335"/>
    </row>
    <row r="1825" spans="132:174" x14ac:dyDescent="0.6">
      <c r="EB1825" s="335">
        <v>40308</v>
      </c>
      <c r="EC1825" s="62">
        <v>78.22</v>
      </c>
      <c r="ED1825" s="62">
        <v>1159.7299800000001</v>
      </c>
      <c r="FR1825" s="335"/>
    </row>
    <row r="1826" spans="132:174" x14ac:dyDescent="0.6">
      <c r="EB1826" s="335">
        <v>40305</v>
      </c>
      <c r="EC1826" s="62">
        <v>74.31</v>
      </c>
      <c r="ED1826" s="62">
        <v>1110.880005</v>
      </c>
      <c r="FR1826" s="335"/>
    </row>
    <row r="1827" spans="132:174" x14ac:dyDescent="0.6">
      <c r="EB1827" s="335">
        <v>40304</v>
      </c>
      <c r="EC1827" s="62">
        <v>75</v>
      </c>
      <c r="ED1827" s="62">
        <v>1128.150024</v>
      </c>
      <c r="FR1827" s="335"/>
    </row>
    <row r="1828" spans="132:174" x14ac:dyDescent="0.6">
      <c r="EB1828" s="335">
        <v>40303</v>
      </c>
      <c r="EC1828" s="62">
        <v>76.709999999999994</v>
      </c>
      <c r="ED1828" s="62">
        <v>1165.869995</v>
      </c>
      <c r="FR1828" s="335"/>
    </row>
    <row r="1829" spans="132:174" x14ac:dyDescent="0.6">
      <c r="EB1829" s="335">
        <v>40302</v>
      </c>
      <c r="EC1829" s="62">
        <v>77.599999999999994</v>
      </c>
      <c r="ED1829" s="62">
        <v>1173.599976</v>
      </c>
      <c r="FR1829" s="335"/>
    </row>
    <row r="1830" spans="132:174" x14ac:dyDescent="0.6">
      <c r="EB1830" s="335">
        <v>40301</v>
      </c>
      <c r="EC1830" s="62">
        <v>78.989999999999995</v>
      </c>
      <c r="ED1830" s="62">
        <v>1202.26001</v>
      </c>
      <c r="FR1830" s="335"/>
    </row>
    <row r="1831" spans="132:174" x14ac:dyDescent="0.6">
      <c r="EB1831" s="335">
        <v>40298</v>
      </c>
      <c r="EC1831" s="62">
        <v>78.010000000000005</v>
      </c>
      <c r="ED1831" s="62">
        <v>1186.6899410000001</v>
      </c>
      <c r="FR1831" s="335"/>
    </row>
    <row r="1832" spans="132:174" x14ac:dyDescent="0.6">
      <c r="EB1832" s="335">
        <v>40297</v>
      </c>
      <c r="EC1832" s="62">
        <v>79.58</v>
      </c>
      <c r="ED1832" s="62">
        <v>1206.780029</v>
      </c>
      <c r="FR1832" s="335"/>
    </row>
    <row r="1833" spans="132:174" x14ac:dyDescent="0.6">
      <c r="EB1833" s="335">
        <v>40296</v>
      </c>
      <c r="EC1833" s="62">
        <v>79.97</v>
      </c>
      <c r="ED1833" s="62">
        <v>1191.3599850000001</v>
      </c>
      <c r="FR1833" s="335"/>
    </row>
    <row r="1834" spans="132:174" x14ac:dyDescent="0.6">
      <c r="EB1834" s="335">
        <v>40295</v>
      </c>
      <c r="EC1834" s="62">
        <v>86.2</v>
      </c>
      <c r="ED1834" s="62">
        <v>1183.709961</v>
      </c>
      <c r="FR1834" s="335"/>
    </row>
    <row r="1835" spans="132:174" x14ac:dyDescent="0.6">
      <c r="EB1835" s="335">
        <v>40294</v>
      </c>
      <c r="EC1835" s="62">
        <v>87.39</v>
      </c>
      <c r="ED1835" s="62">
        <v>1212.0500489999999</v>
      </c>
      <c r="FR1835" s="335"/>
    </row>
    <row r="1836" spans="132:174" x14ac:dyDescent="0.6">
      <c r="EB1836" s="335">
        <v>40291</v>
      </c>
      <c r="EC1836" s="62">
        <v>87.42</v>
      </c>
      <c r="ED1836" s="62">
        <v>1217.280029</v>
      </c>
      <c r="FR1836" s="335"/>
    </row>
    <row r="1837" spans="132:174" x14ac:dyDescent="0.6">
      <c r="EB1837" s="335">
        <v>40290</v>
      </c>
      <c r="EC1837" s="62">
        <v>87.77</v>
      </c>
      <c r="ED1837" s="62">
        <v>1208.670044</v>
      </c>
      <c r="FR1837" s="335"/>
    </row>
    <row r="1838" spans="132:174" x14ac:dyDescent="0.6">
      <c r="EB1838" s="335">
        <v>40289</v>
      </c>
      <c r="EC1838" s="62">
        <v>85.16</v>
      </c>
      <c r="ED1838" s="62">
        <v>1205.9399410000001</v>
      </c>
      <c r="FR1838" s="335"/>
    </row>
    <row r="1839" spans="132:174" x14ac:dyDescent="0.6">
      <c r="EB1839" s="335">
        <v>40288</v>
      </c>
      <c r="EC1839" s="62">
        <v>83.28</v>
      </c>
      <c r="ED1839" s="62">
        <v>1207.170044</v>
      </c>
      <c r="FR1839" s="335"/>
    </row>
    <row r="1840" spans="132:174" x14ac:dyDescent="0.6">
      <c r="EB1840" s="335">
        <v>40287</v>
      </c>
      <c r="EC1840" s="62">
        <v>83.16</v>
      </c>
      <c r="ED1840" s="62">
        <v>1197.5200199999999</v>
      </c>
      <c r="FR1840" s="335"/>
    </row>
    <row r="1841" spans="132:174" x14ac:dyDescent="0.6">
      <c r="EB1841" s="335">
        <v>40284</v>
      </c>
      <c r="EC1841" s="62">
        <v>83.74</v>
      </c>
      <c r="ED1841" s="62">
        <v>1192.130005</v>
      </c>
      <c r="FR1841" s="335"/>
    </row>
    <row r="1842" spans="132:174" x14ac:dyDescent="0.6">
      <c r="EB1842" s="335">
        <v>40283</v>
      </c>
      <c r="EC1842" s="62">
        <v>83.1</v>
      </c>
      <c r="ED1842" s="62">
        <v>1211.670044</v>
      </c>
      <c r="FR1842" s="335"/>
    </row>
    <row r="1843" spans="132:174" x14ac:dyDescent="0.6">
      <c r="EB1843" s="335">
        <v>40282</v>
      </c>
      <c r="EC1843" s="62">
        <v>83.07</v>
      </c>
      <c r="ED1843" s="62">
        <v>1210.650024</v>
      </c>
      <c r="FR1843" s="335"/>
    </row>
    <row r="1844" spans="132:174" x14ac:dyDescent="0.6">
      <c r="EB1844" s="335">
        <v>40281</v>
      </c>
      <c r="EC1844" s="62">
        <v>82.8</v>
      </c>
      <c r="ED1844" s="62">
        <v>1197.3000489999999</v>
      </c>
      <c r="FR1844" s="335"/>
    </row>
    <row r="1845" spans="132:174" x14ac:dyDescent="0.6">
      <c r="EB1845" s="335">
        <v>40280</v>
      </c>
      <c r="EC1845" s="62">
        <v>82.85</v>
      </c>
      <c r="ED1845" s="62">
        <v>1196.4799800000001</v>
      </c>
      <c r="FR1845" s="335"/>
    </row>
    <row r="1846" spans="132:174" x14ac:dyDescent="0.6">
      <c r="EB1846" s="335">
        <v>40277</v>
      </c>
      <c r="EC1846" s="62">
        <v>82.82</v>
      </c>
      <c r="ED1846" s="62">
        <v>1194.369995</v>
      </c>
      <c r="FR1846" s="335"/>
    </row>
    <row r="1847" spans="132:174" x14ac:dyDescent="0.6">
      <c r="EB1847" s="335">
        <v>40276</v>
      </c>
      <c r="EC1847" s="62">
        <v>82.67</v>
      </c>
      <c r="ED1847" s="62">
        <v>1186.4399410000001</v>
      </c>
      <c r="FR1847" s="335"/>
    </row>
    <row r="1848" spans="132:174" x14ac:dyDescent="0.6">
      <c r="EB1848" s="335">
        <v>40275</v>
      </c>
      <c r="EC1848" s="62">
        <v>81.72</v>
      </c>
      <c r="ED1848" s="62">
        <v>1182.4499510000001</v>
      </c>
      <c r="FR1848" s="335"/>
    </row>
    <row r="1849" spans="132:174" x14ac:dyDescent="0.6">
      <c r="EB1849" s="335">
        <v>40274</v>
      </c>
      <c r="EC1849" s="62">
        <v>81.23</v>
      </c>
      <c r="ED1849" s="62">
        <v>1189.4399410000001</v>
      </c>
      <c r="FR1849" s="335"/>
    </row>
    <row r="1850" spans="132:174" x14ac:dyDescent="0.6">
      <c r="EB1850" s="335">
        <v>40273</v>
      </c>
      <c r="EC1850" s="62">
        <v>80.28</v>
      </c>
      <c r="ED1850" s="62">
        <v>1187.4399410000001</v>
      </c>
      <c r="FR1850" s="335"/>
    </row>
    <row r="1851" spans="132:174" x14ac:dyDescent="0.6">
      <c r="EB1851" s="335">
        <v>40269</v>
      </c>
      <c r="EC1851" s="62">
        <v>76.38</v>
      </c>
      <c r="ED1851" s="62">
        <v>1178.099976</v>
      </c>
      <c r="FR1851" s="335"/>
    </row>
    <row r="1852" spans="132:174" x14ac:dyDescent="0.6">
      <c r="EB1852" s="335">
        <v>40268</v>
      </c>
      <c r="EC1852" s="62">
        <v>76.489999999999995</v>
      </c>
      <c r="ED1852" s="62">
        <v>1169.4300539999999</v>
      </c>
      <c r="FR1852" s="335"/>
    </row>
    <row r="1853" spans="132:174" x14ac:dyDescent="0.6">
      <c r="EB1853" s="335">
        <v>40267</v>
      </c>
      <c r="EC1853" s="62">
        <v>77.17</v>
      </c>
      <c r="ED1853" s="62">
        <v>1173.2700199999999</v>
      </c>
      <c r="FR1853" s="335"/>
    </row>
    <row r="1854" spans="132:174" x14ac:dyDescent="0.6">
      <c r="EB1854" s="335">
        <v>40266</v>
      </c>
      <c r="EC1854" s="62">
        <v>76.91</v>
      </c>
      <c r="ED1854" s="62">
        <v>1173.219971</v>
      </c>
      <c r="FR1854" s="335"/>
    </row>
    <row r="1855" spans="132:174" x14ac:dyDescent="0.6">
      <c r="EB1855" s="335">
        <v>40263</v>
      </c>
      <c r="EC1855" s="62">
        <v>76.91</v>
      </c>
      <c r="ED1855" s="62">
        <v>1166.589966</v>
      </c>
      <c r="FR1855" s="335"/>
    </row>
    <row r="1856" spans="132:174" x14ac:dyDescent="0.6">
      <c r="EB1856" s="335">
        <v>40262</v>
      </c>
      <c r="EC1856" s="62">
        <v>77.290000000000006</v>
      </c>
      <c r="ED1856" s="62">
        <v>1165.7299800000001</v>
      </c>
      <c r="FR1856" s="335"/>
    </row>
    <row r="1857" spans="132:174" x14ac:dyDescent="0.6">
      <c r="EB1857" s="335">
        <v>40261</v>
      </c>
      <c r="EC1857" s="62">
        <v>78.84</v>
      </c>
      <c r="ED1857" s="62">
        <v>1167.719971</v>
      </c>
      <c r="FR1857" s="335"/>
    </row>
    <row r="1858" spans="132:174" x14ac:dyDescent="0.6">
      <c r="EB1858" s="335">
        <v>40260</v>
      </c>
      <c r="EC1858" s="62">
        <v>78.84</v>
      </c>
      <c r="ED1858" s="62">
        <v>1174.170044</v>
      </c>
      <c r="FR1858" s="335"/>
    </row>
    <row r="1859" spans="132:174" x14ac:dyDescent="0.6">
      <c r="EB1859" s="335">
        <v>40259</v>
      </c>
      <c r="EC1859" s="62">
        <v>78.7</v>
      </c>
      <c r="ED1859" s="62">
        <v>1165.8100589999999</v>
      </c>
      <c r="FR1859" s="335"/>
    </row>
    <row r="1860" spans="132:174" x14ac:dyDescent="0.6">
      <c r="EB1860" s="335">
        <v>40256</v>
      </c>
      <c r="EC1860" s="62">
        <v>78.989999999999995</v>
      </c>
      <c r="ED1860" s="62">
        <v>1159.900024</v>
      </c>
      <c r="FR1860" s="335"/>
    </row>
    <row r="1861" spans="132:174" x14ac:dyDescent="0.6">
      <c r="EB1861" s="335">
        <v>40255</v>
      </c>
      <c r="EC1861" s="62">
        <v>78.59</v>
      </c>
      <c r="ED1861" s="62">
        <v>1165.829956</v>
      </c>
      <c r="FR1861" s="335"/>
    </row>
    <row r="1862" spans="132:174" x14ac:dyDescent="0.6">
      <c r="EB1862" s="335">
        <v>40254</v>
      </c>
      <c r="EC1862" s="62">
        <v>78.27</v>
      </c>
      <c r="ED1862" s="62">
        <v>1166.209961</v>
      </c>
      <c r="FR1862" s="335"/>
    </row>
    <row r="1863" spans="132:174" x14ac:dyDescent="0.6">
      <c r="EB1863" s="335">
        <v>40253</v>
      </c>
      <c r="EC1863" s="62">
        <v>78.400000000000006</v>
      </c>
      <c r="ED1863" s="62">
        <v>1159.459961</v>
      </c>
      <c r="FR1863" s="335"/>
    </row>
    <row r="1864" spans="132:174" x14ac:dyDescent="0.6">
      <c r="EB1864" s="335">
        <v>40252</v>
      </c>
      <c r="EC1864" s="62">
        <v>78.03</v>
      </c>
      <c r="ED1864" s="62">
        <v>1150.51001</v>
      </c>
      <c r="FR1864" s="335"/>
    </row>
    <row r="1865" spans="132:174" x14ac:dyDescent="0.6">
      <c r="EB1865" s="335">
        <v>40249</v>
      </c>
      <c r="EC1865" s="62">
        <v>79.150000000000006</v>
      </c>
      <c r="ED1865" s="62">
        <v>1149.98999</v>
      </c>
      <c r="FR1865" s="335"/>
    </row>
    <row r="1866" spans="132:174" x14ac:dyDescent="0.6">
      <c r="EB1866" s="335">
        <v>40248</v>
      </c>
      <c r="EC1866" s="62">
        <v>79.27</v>
      </c>
      <c r="ED1866" s="62">
        <v>1150.23999</v>
      </c>
      <c r="FR1866" s="335"/>
    </row>
    <row r="1867" spans="132:174" x14ac:dyDescent="0.6">
      <c r="EB1867" s="335">
        <v>40247</v>
      </c>
      <c r="EC1867" s="62">
        <v>77.27</v>
      </c>
      <c r="ED1867" s="62">
        <v>1145.6099850000001</v>
      </c>
      <c r="FR1867" s="335"/>
    </row>
    <row r="1868" spans="132:174" x14ac:dyDescent="0.6">
      <c r="EB1868" s="335">
        <v>40246</v>
      </c>
      <c r="EC1868" s="62">
        <v>76.81</v>
      </c>
      <c r="ED1868" s="62">
        <v>1140.4499510000001</v>
      </c>
      <c r="FR1868" s="335"/>
    </row>
    <row r="1869" spans="132:174" x14ac:dyDescent="0.6">
      <c r="EB1869" s="335">
        <v>40245</v>
      </c>
      <c r="EC1869" s="62">
        <v>78.53</v>
      </c>
      <c r="ED1869" s="62">
        <v>1138.5</v>
      </c>
      <c r="FR1869" s="335"/>
    </row>
    <row r="1870" spans="132:174" x14ac:dyDescent="0.6">
      <c r="EB1870" s="335">
        <v>40242</v>
      </c>
      <c r="EC1870" s="62">
        <v>78.040000000000006</v>
      </c>
      <c r="ED1870" s="62">
        <v>1138.6999510000001</v>
      </c>
      <c r="FR1870" s="335"/>
    </row>
    <row r="1871" spans="132:174" x14ac:dyDescent="0.6">
      <c r="EB1871" s="335">
        <v>40241</v>
      </c>
      <c r="EC1871" s="62">
        <v>74.040000000000006</v>
      </c>
      <c r="ED1871" s="62">
        <v>1122.969971</v>
      </c>
      <c r="FR1871" s="335"/>
    </row>
    <row r="1872" spans="132:174" x14ac:dyDescent="0.6">
      <c r="EB1872" s="335">
        <v>40240</v>
      </c>
      <c r="EC1872" s="62">
        <v>74.09</v>
      </c>
      <c r="ED1872" s="62">
        <v>1118.790039</v>
      </c>
      <c r="FR1872" s="335"/>
    </row>
    <row r="1873" spans="132:174" x14ac:dyDescent="0.6">
      <c r="EB1873" s="335">
        <v>40239</v>
      </c>
      <c r="EC1873" s="62">
        <v>73.92</v>
      </c>
      <c r="ED1873" s="62">
        <v>1118.3100589999999</v>
      </c>
      <c r="FR1873" s="335"/>
    </row>
    <row r="1874" spans="132:174" x14ac:dyDescent="0.6">
      <c r="EB1874" s="335">
        <v>40238</v>
      </c>
      <c r="EC1874" s="62">
        <v>73.150000000000006</v>
      </c>
      <c r="ED1874" s="62">
        <v>1115.709961</v>
      </c>
      <c r="FR1874" s="335"/>
    </row>
    <row r="1875" spans="132:174" x14ac:dyDescent="0.6">
      <c r="EB1875" s="335">
        <v>40235</v>
      </c>
      <c r="EC1875" s="62">
        <v>72.790000000000006</v>
      </c>
      <c r="ED1875" s="62">
        <v>1104.48999</v>
      </c>
      <c r="FR1875" s="335"/>
    </row>
    <row r="1876" spans="132:174" x14ac:dyDescent="0.6">
      <c r="EB1876" s="335">
        <v>40234</v>
      </c>
      <c r="EC1876" s="62">
        <v>72.760000000000005</v>
      </c>
      <c r="ED1876" s="62">
        <v>1102.9399410000001</v>
      </c>
      <c r="FR1876" s="335"/>
    </row>
    <row r="1877" spans="132:174" x14ac:dyDescent="0.6">
      <c r="EB1877" s="335">
        <v>40233</v>
      </c>
      <c r="EC1877" s="62">
        <v>73.040000000000006</v>
      </c>
      <c r="ED1877" s="62">
        <v>1105.23999</v>
      </c>
      <c r="FR1877" s="335"/>
    </row>
    <row r="1878" spans="132:174" x14ac:dyDescent="0.6">
      <c r="EB1878" s="335">
        <v>40232</v>
      </c>
      <c r="EC1878" s="62">
        <v>72.430000000000007</v>
      </c>
      <c r="ED1878" s="62">
        <v>1094.599976</v>
      </c>
      <c r="FR1878" s="335"/>
    </row>
    <row r="1879" spans="132:174" x14ac:dyDescent="0.6">
      <c r="EB1879" s="335">
        <v>40231</v>
      </c>
      <c r="EC1879" s="62">
        <v>72.819999999999993</v>
      </c>
      <c r="ED1879" s="62">
        <v>1108.01001</v>
      </c>
      <c r="FR1879" s="335"/>
    </row>
    <row r="1880" spans="132:174" x14ac:dyDescent="0.6">
      <c r="EB1880" s="335">
        <v>40228</v>
      </c>
      <c r="EC1880" s="62">
        <v>73.84</v>
      </c>
      <c r="ED1880" s="62">
        <v>1109.170044</v>
      </c>
      <c r="FR1880" s="335"/>
    </row>
    <row r="1881" spans="132:174" x14ac:dyDescent="0.6">
      <c r="EB1881" s="335">
        <v>40227</v>
      </c>
      <c r="EC1881" s="62">
        <v>73.34</v>
      </c>
      <c r="ED1881" s="62">
        <v>1106.75</v>
      </c>
      <c r="FR1881" s="335"/>
    </row>
    <row r="1882" spans="132:174" x14ac:dyDescent="0.6">
      <c r="EB1882" s="335">
        <v>40226</v>
      </c>
      <c r="EC1882" s="62">
        <v>73.23</v>
      </c>
      <c r="ED1882" s="62">
        <v>1099.51001</v>
      </c>
      <c r="FR1882" s="335"/>
    </row>
    <row r="1883" spans="132:174" x14ac:dyDescent="0.6">
      <c r="EB1883" s="335">
        <v>40225</v>
      </c>
      <c r="EC1883" s="62">
        <v>73.87</v>
      </c>
      <c r="ED1883" s="62">
        <v>1094.869995</v>
      </c>
      <c r="FR1883" s="335"/>
    </row>
    <row r="1884" spans="132:174" x14ac:dyDescent="0.6">
      <c r="EB1884" s="335">
        <v>40221</v>
      </c>
      <c r="EC1884" s="62">
        <v>73.58</v>
      </c>
      <c r="ED1884" s="62">
        <v>1075.51001</v>
      </c>
      <c r="FR1884" s="335"/>
    </row>
    <row r="1885" spans="132:174" x14ac:dyDescent="0.6">
      <c r="EB1885" s="335">
        <v>40220</v>
      </c>
      <c r="EC1885" s="62">
        <v>72.91</v>
      </c>
      <c r="ED1885" s="62">
        <v>1078.469971</v>
      </c>
      <c r="FR1885" s="335"/>
    </row>
    <row r="1886" spans="132:174" x14ac:dyDescent="0.6">
      <c r="EB1886" s="335">
        <v>40219</v>
      </c>
      <c r="EC1886" s="62">
        <v>72.37</v>
      </c>
      <c r="ED1886" s="62">
        <v>1068.130005</v>
      </c>
      <c r="FR1886" s="335"/>
    </row>
    <row r="1887" spans="132:174" x14ac:dyDescent="0.6">
      <c r="EB1887" s="335">
        <v>40218</v>
      </c>
      <c r="EC1887" s="62">
        <v>72.569999999999993</v>
      </c>
      <c r="ED1887" s="62">
        <v>1070.5200199999999</v>
      </c>
      <c r="FR1887" s="335"/>
    </row>
    <row r="1888" spans="132:174" x14ac:dyDescent="0.6">
      <c r="EB1888" s="335">
        <v>40217</v>
      </c>
      <c r="EC1888" s="62">
        <v>70.959999999999994</v>
      </c>
      <c r="ED1888" s="62">
        <v>1056.73999</v>
      </c>
      <c r="FR1888" s="335"/>
    </row>
    <row r="1889" spans="132:174" x14ac:dyDescent="0.6">
      <c r="EB1889" s="335">
        <v>40214</v>
      </c>
      <c r="EC1889" s="62">
        <v>70.599999999999994</v>
      </c>
      <c r="ED1889" s="62">
        <v>1066.1899410000001</v>
      </c>
      <c r="FR1889" s="335"/>
    </row>
    <row r="1890" spans="132:174" x14ac:dyDescent="0.6">
      <c r="EB1890" s="335">
        <v>40213</v>
      </c>
      <c r="EC1890" s="62">
        <v>71.3</v>
      </c>
      <c r="ED1890" s="62">
        <v>1063.1099850000001</v>
      </c>
      <c r="FR1890" s="335"/>
    </row>
    <row r="1891" spans="132:174" x14ac:dyDescent="0.6">
      <c r="EB1891" s="335">
        <v>40212</v>
      </c>
      <c r="EC1891" s="62">
        <v>74.069999999999993</v>
      </c>
      <c r="ED1891" s="62">
        <v>1097.280029</v>
      </c>
      <c r="FR1891" s="335"/>
    </row>
    <row r="1892" spans="132:174" x14ac:dyDescent="0.6">
      <c r="EB1892" s="335">
        <v>40211</v>
      </c>
      <c r="EC1892" s="62">
        <v>73.72</v>
      </c>
      <c r="ED1892" s="62">
        <v>1103.3199460000001</v>
      </c>
      <c r="FR1892" s="335"/>
    </row>
    <row r="1893" spans="132:174" x14ac:dyDescent="0.6">
      <c r="EB1893" s="335">
        <v>40210</v>
      </c>
      <c r="EC1893" s="62">
        <v>73.44</v>
      </c>
      <c r="ED1893" s="62">
        <v>1089.1899410000001</v>
      </c>
      <c r="FR1893" s="335"/>
    </row>
    <row r="1894" spans="132:174" x14ac:dyDescent="0.6">
      <c r="EB1894" s="335">
        <v>40207</v>
      </c>
      <c r="EC1894" s="62">
        <v>71.42</v>
      </c>
      <c r="ED1894" s="62">
        <v>1073.869995</v>
      </c>
      <c r="FR1894" s="335"/>
    </row>
    <row r="1895" spans="132:174" x14ac:dyDescent="0.6">
      <c r="EB1895" s="335">
        <v>40206</v>
      </c>
      <c r="EC1895" s="62">
        <v>72.010000000000005</v>
      </c>
      <c r="ED1895" s="62">
        <v>1084.530029</v>
      </c>
      <c r="FR1895" s="335"/>
    </row>
    <row r="1896" spans="132:174" x14ac:dyDescent="0.6">
      <c r="EB1896" s="335">
        <v>40205</v>
      </c>
      <c r="EC1896" s="62">
        <v>72</v>
      </c>
      <c r="ED1896" s="62">
        <v>1097.5</v>
      </c>
      <c r="FR1896" s="335"/>
    </row>
    <row r="1897" spans="132:174" x14ac:dyDescent="0.6">
      <c r="EB1897" s="335">
        <v>40204</v>
      </c>
      <c r="EC1897" s="62">
        <v>71.790000000000006</v>
      </c>
      <c r="ED1897" s="62">
        <v>1092.170044</v>
      </c>
      <c r="FR1897" s="335"/>
    </row>
    <row r="1898" spans="132:174" x14ac:dyDescent="0.6">
      <c r="EB1898" s="335">
        <v>40203</v>
      </c>
      <c r="EC1898" s="62">
        <v>71.64</v>
      </c>
      <c r="ED1898" s="62">
        <v>1096.780029</v>
      </c>
      <c r="FR1898" s="335"/>
    </row>
    <row r="1899" spans="132:174" x14ac:dyDescent="0.6">
      <c r="EB1899" s="335">
        <v>40200</v>
      </c>
      <c r="EC1899" s="62">
        <v>72.81</v>
      </c>
      <c r="ED1899" s="62">
        <v>1091.76001</v>
      </c>
      <c r="FR1899" s="335"/>
    </row>
    <row r="1900" spans="132:174" x14ac:dyDescent="0.6">
      <c r="EB1900" s="335">
        <v>40199</v>
      </c>
      <c r="EC1900" s="62">
        <v>73.41</v>
      </c>
      <c r="ED1900" s="62">
        <v>1116.4799800000001</v>
      </c>
      <c r="FR1900" s="335"/>
    </row>
    <row r="1901" spans="132:174" x14ac:dyDescent="0.6">
      <c r="EB1901" s="335">
        <v>40198</v>
      </c>
      <c r="EC1901" s="62">
        <v>68.39</v>
      </c>
      <c r="ED1901" s="62">
        <v>1138.040039</v>
      </c>
      <c r="FR1901" s="335"/>
    </row>
    <row r="1902" spans="132:174" x14ac:dyDescent="0.6">
      <c r="EB1902" s="335">
        <v>40197</v>
      </c>
      <c r="EC1902" s="62">
        <v>68.88</v>
      </c>
      <c r="ED1902" s="62">
        <v>1150.2299800000001</v>
      </c>
      <c r="FR1902" s="335"/>
    </row>
    <row r="1903" spans="132:174" x14ac:dyDescent="0.6">
      <c r="EB1903" s="335">
        <v>40193</v>
      </c>
      <c r="EC1903" s="62">
        <v>68.22</v>
      </c>
      <c r="ED1903" s="62">
        <v>1136.030029</v>
      </c>
      <c r="FR1903" s="335"/>
    </row>
    <row r="1904" spans="132:174" x14ac:dyDescent="0.6">
      <c r="EB1904" s="335">
        <v>40192</v>
      </c>
      <c r="EC1904" s="62">
        <v>68.819999999999993</v>
      </c>
      <c r="ED1904" s="62">
        <v>1148.459961</v>
      </c>
      <c r="FR1904" s="335"/>
    </row>
    <row r="1905" spans="132:174" x14ac:dyDescent="0.6">
      <c r="EB1905" s="335">
        <v>40191</v>
      </c>
      <c r="EC1905" s="62">
        <v>67.819999999999993</v>
      </c>
      <c r="ED1905" s="62">
        <v>1145.6800539999999</v>
      </c>
      <c r="FR1905" s="335"/>
    </row>
    <row r="1906" spans="132:174" x14ac:dyDescent="0.6">
      <c r="EB1906" s="335">
        <v>40190</v>
      </c>
      <c r="EC1906" s="62">
        <v>67.39</v>
      </c>
      <c r="ED1906" s="62">
        <v>1136.219971</v>
      </c>
      <c r="FR1906" s="335"/>
    </row>
    <row r="1907" spans="132:174" x14ac:dyDescent="0.6">
      <c r="EB1907" s="335">
        <v>40189</v>
      </c>
      <c r="EC1907" s="62">
        <v>67.53</v>
      </c>
      <c r="ED1907" s="62">
        <v>1146.9799800000001</v>
      </c>
      <c r="FR1907" s="335"/>
    </row>
    <row r="1908" spans="132:174" x14ac:dyDescent="0.6">
      <c r="EB1908" s="335">
        <v>40186</v>
      </c>
      <c r="EC1908" s="62">
        <v>66.27</v>
      </c>
      <c r="ED1908" s="62">
        <v>1144.9799800000001</v>
      </c>
      <c r="FR1908" s="335"/>
    </row>
    <row r="1909" spans="132:174" x14ac:dyDescent="0.6">
      <c r="EB1909" s="335">
        <v>40185</v>
      </c>
      <c r="EC1909" s="62">
        <v>65.650000000000006</v>
      </c>
      <c r="ED1909" s="62">
        <v>1141.6899410000001</v>
      </c>
      <c r="FR1909" s="335"/>
    </row>
    <row r="1910" spans="132:174" x14ac:dyDescent="0.6">
      <c r="EB1910" s="335">
        <v>40184</v>
      </c>
      <c r="EC1910" s="62">
        <v>65.739999999999995</v>
      </c>
      <c r="ED1910" s="62">
        <v>1137.1400149999999</v>
      </c>
      <c r="FR1910" s="335"/>
    </row>
    <row r="1911" spans="132:174" x14ac:dyDescent="0.6">
      <c r="EB1911" s="335">
        <v>40183</v>
      </c>
      <c r="EC1911" s="62">
        <v>65.89</v>
      </c>
      <c r="ED1911" s="62">
        <v>1136.5200199999999</v>
      </c>
      <c r="FR1911" s="335"/>
    </row>
    <row r="1912" spans="132:174" x14ac:dyDescent="0.6">
      <c r="EB1912" s="335">
        <v>40182</v>
      </c>
      <c r="EC1912" s="62">
        <v>66.47</v>
      </c>
      <c r="ED1912" s="62">
        <v>1132.98999</v>
      </c>
      <c r="FR1912" s="335"/>
    </row>
    <row r="1913" spans="132:174" x14ac:dyDescent="0.6">
      <c r="EB1913" s="335">
        <v>40178</v>
      </c>
      <c r="EC1913" s="62">
        <v>66.94</v>
      </c>
      <c r="ED1913" s="62">
        <v>1115.099976</v>
      </c>
      <c r="FR1913" s="335"/>
    </row>
    <row r="1914" spans="132:174" x14ac:dyDescent="0.6">
      <c r="EB1914" s="335">
        <v>40177</v>
      </c>
      <c r="EC1914" s="62">
        <v>67.94</v>
      </c>
      <c r="ED1914" s="62">
        <v>1126.420044</v>
      </c>
      <c r="FR1914" s="335"/>
    </row>
    <row r="1915" spans="132:174" x14ac:dyDescent="0.6">
      <c r="EB1915" s="335">
        <v>40176</v>
      </c>
      <c r="EC1915" s="62">
        <v>68.63</v>
      </c>
      <c r="ED1915" s="62">
        <v>1126.1999510000001</v>
      </c>
      <c r="FR1915" s="335"/>
    </row>
    <row r="1916" spans="132:174" x14ac:dyDescent="0.6">
      <c r="EB1916" s="335">
        <v>40175</v>
      </c>
      <c r="EC1916" s="62">
        <v>67.95</v>
      </c>
      <c r="ED1916" s="62">
        <v>1127.780029</v>
      </c>
      <c r="FR1916" s="335"/>
    </row>
    <row r="1917" spans="132:174" x14ac:dyDescent="0.6">
      <c r="EB1917" s="335">
        <v>40171</v>
      </c>
      <c r="EC1917" s="62">
        <v>68.22</v>
      </c>
      <c r="ED1917" s="62">
        <v>1126.4799800000001</v>
      </c>
      <c r="FR1917" s="335"/>
    </row>
    <row r="1918" spans="132:174" x14ac:dyDescent="0.6">
      <c r="EB1918" s="335">
        <v>40170</v>
      </c>
      <c r="EC1918" s="62">
        <v>68.319999999999993</v>
      </c>
      <c r="ED1918" s="62">
        <v>1120.589966</v>
      </c>
      <c r="FR1918" s="335"/>
    </row>
    <row r="1919" spans="132:174" x14ac:dyDescent="0.6">
      <c r="EB1919" s="335">
        <v>40169</v>
      </c>
      <c r="EC1919" s="62">
        <v>68.42</v>
      </c>
      <c r="ED1919" s="62">
        <v>1118.0200199999999</v>
      </c>
      <c r="FR1919" s="335"/>
    </row>
    <row r="1920" spans="132:174" x14ac:dyDescent="0.6">
      <c r="EB1920" s="335">
        <v>40168</v>
      </c>
      <c r="EC1920" s="62">
        <v>67.27</v>
      </c>
      <c r="ED1920" s="62">
        <v>1114.0500489999999</v>
      </c>
      <c r="FR1920" s="335"/>
    </row>
    <row r="1921" spans="132:174" x14ac:dyDescent="0.6">
      <c r="EB1921" s="335">
        <v>40165</v>
      </c>
      <c r="EC1921" s="62">
        <v>66.06</v>
      </c>
      <c r="ED1921" s="62">
        <v>1102.469971</v>
      </c>
      <c r="FR1921" s="335"/>
    </row>
    <row r="1922" spans="132:174" x14ac:dyDescent="0.6">
      <c r="EB1922" s="335">
        <v>40164</v>
      </c>
      <c r="EC1922" s="62">
        <v>64.86</v>
      </c>
      <c r="ED1922" s="62">
        <v>1096.079956</v>
      </c>
      <c r="FR1922" s="335"/>
    </row>
    <row r="1923" spans="132:174" x14ac:dyDescent="0.6">
      <c r="EB1923" s="335">
        <v>40163</v>
      </c>
      <c r="EC1923" s="62">
        <v>64.540000000000006</v>
      </c>
      <c r="ED1923" s="62">
        <v>1109.1800539999999</v>
      </c>
      <c r="FR1923" s="335"/>
    </row>
    <row r="1924" spans="132:174" x14ac:dyDescent="0.6">
      <c r="EB1924" s="335">
        <v>40162</v>
      </c>
      <c r="EC1924" s="62">
        <v>64.349999999999994</v>
      </c>
      <c r="ED1924" s="62">
        <v>1107.9300539999999</v>
      </c>
      <c r="FR1924" s="335"/>
    </row>
    <row r="1925" spans="132:174" x14ac:dyDescent="0.6">
      <c r="EB1925" s="335">
        <v>40161</v>
      </c>
      <c r="EC1925" s="62">
        <v>65.099999999999994</v>
      </c>
      <c r="ED1925" s="62">
        <v>1114.1099850000001</v>
      </c>
      <c r="FR1925" s="335"/>
    </row>
    <row r="1926" spans="132:174" x14ac:dyDescent="0.6">
      <c r="EB1926" s="335">
        <v>40158</v>
      </c>
      <c r="EC1926" s="62">
        <v>64.61</v>
      </c>
      <c r="ED1926" s="62">
        <v>1106.410034</v>
      </c>
      <c r="FR1926" s="335"/>
    </row>
    <row r="1927" spans="132:174" x14ac:dyDescent="0.6">
      <c r="EB1927" s="335">
        <v>40157</v>
      </c>
      <c r="EC1927" s="62">
        <v>63.88</v>
      </c>
      <c r="ED1927" s="62">
        <v>1102.349976</v>
      </c>
      <c r="FR1927" s="335"/>
    </row>
    <row r="1928" spans="132:174" x14ac:dyDescent="0.6">
      <c r="EB1928" s="335">
        <v>40156</v>
      </c>
      <c r="EC1928" s="62">
        <v>63.9</v>
      </c>
      <c r="ED1928" s="62">
        <v>1095.9499510000001</v>
      </c>
      <c r="FR1928" s="335"/>
    </row>
    <row r="1929" spans="132:174" x14ac:dyDescent="0.6">
      <c r="EB1929" s="335">
        <v>40155</v>
      </c>
      <c r="EC1929" s="62">
        <v>64.400000000000006</v>
      </c>
      <c r="ED1929" s="62">
        <v>1091.9399410000001</v>
      </c>
      <c r="FR1929" s="335"/>
    </row>
    <row r="1930" spans="132:174" x14ac:dyDescent="0.6">
      <c r="EB1930" s="335">
        <v>40154</v>
      </c>
      <c r="EC1930" s="62">
        <v>64.95</v>
      </c>
      <c r="ED1930" s="62">
        <v>1103.25</v>
      </c>
      <c r="FR1930" s="335"/>
    </row>
    <row r="1931" spans="132:174" x14ac:dyDescent="0.6">
      <c r="EB1931" s="335">
        <v>40151</v>
      </c>
      <c r="EC1931" s="62">
        <v>64.180000000000007</v>
      </c>
      <c r="ED1931" s="62">
        <v>1105.9799800000001</v>
      </c>
      <c r="FR1931" s="335"/>
    </row>
    <row r="1932" spans="132:174" x14ac:dyDescent="0.6">
      <c r="EB1932" s="335">
        <v>40150</v>
      </c>
      <c r="EC1932" s="62">
        <v>63.95</v>
      </c>
      <c r="ED1932" s="62">
        <v>1099.920044</v>
      </c>
      <c r="FR1932" s="335"/>
    </row>
    <row r="1933" spans="132:174" x14ac:dyDescent="0.6">
      <c r="EB1933" s="335">
        <v>40149</v>
      </c>
      <c r="EC1933" s="62">
        <v>65.37</v>
      </c>
      <c r="ED1933" s="62">
        <v>1109.23999</v>
      </c>
      <c r="FR1933" s="335"/>
    </row>
    <row r="1934" spans="132:174" x14ac:dyDescent="0.6">
      <c r="EB1934" s="335">
        <v>40148</v>
      </c>
      <c r="EC1934" s="62">
        <v>64.05</v>
      </c>
      <c r="ED1934" s="62">
        <v>1108.8599850000001</v>
      </c>
      <c r="FR1934" s="335"/>
    </row>
    <row r="1935" spans="132:174" x14ac:dyDescent="0.6">
      <c r="EB1935" s="335">
        <v>40147</v>
      </c>
      <c r="EC1935" s="62">
        <v>62.96</v>
      </c>
      <c r="ED1935" s="62">
        <v>1095.630005</v>
      </c>
      <c r="FR1935" s="335"/>
    </row>
    <row r="1936" spans="132:174" x14ac:dyDescent="0.6">
      <c r="EB1936" s="335">
        <v>40144</v>
      </c>
      <c r="EC1936" s="62">
        <v>63.31</v>
      </c>
      <c r="ED1936" s="62">
        <v>1091.48999</v>
      </c>
      <c r="FR1936" s="335"/>
    </row>
    <row r="1937" spans="132:174" x14ac:dyDescent="0.6">
      <c r="EB1937" s="335">
        <v>40142</v>
      </c>
      <c r="EC1937" s="62">
        <v>63.82</v>
      </c>
      <c r="ED1937" s="62">
        <v>1110.630005</v>
      </c>
      <c r="FR1937" s="335"/>
    </row>
    <row r="1938" spans="132:174" x14ac:dyDescent="0.6">
      <c r="EB1938" s="335">
        <v>40141</v>
      </c>
      <c r="EC1938" s="62">
        <v>63.78</v>
      </c>
      <c r="ED1938" s="62">
        <v>1105.650024</v>
      </c>
      <c r="FR1938" s="335"/>
    </row>
    <row r="1939" spans="132:174" x14ac:dyDescent="0.6">
      <c r="EB1939" s="335">
        <v>40140</v>
      </c>
      <c r="EC1939" s="62">
        <v>64.209999999999994</v>
      </c>
      <c r="ED1939" s="62">
        <v>1106.23999</v>
      </c>
      <c r="FR1939" s="335"/>
    </row>
    <row r="1940" spans="132:174" x14ac:dyDescent="0.6">
      <c r="EB1940" s="335">
        <v>40137</v>
      </c>
      <c r="EC1940" s="62">
        <v>63.74</v>
      </c>
      <c r="ED1940" s="62">
        <v>1091.380005</v>
      </c>
      <c r="FR1940" s="335"/>
    </row>
    <row r="1941" spans="132:174" x14ac:dyDescent="0.6">
      <c r="EB1941" s="335">
        <v>40136</v>
      </c>
      <c r="EC1941" s="62">
        <v>63.64</v>
      </c>
      <c r="ED1941" s="62">
        <v>1094.900024</v>
      </c>
      <c r="FR1941" s="335"/>
    </row>
    <row r="1942" spans="132:174" x14ac:dyDescent="0.6">
      <c r="EB1942" s="335">
        <v>40135</v>
      </c>
      <c r="EC1942" s="62">
        <v>64.28</v>
      </c>
      <c r="ED1942" s="62">
        <v>1109.8000489999999</v>
      </c>
      <c r="FR1942" s="335"/>
    </row>
    <row r="1943" spans="132:174" x14ac:dyDescent="0.6">
      <c r="EB1943" s="335">
        <v>40134</v>
      </c>
      <c r="EC1943" s="62">
        <v>62.34</v>
      </c>
      <c r="ED1943" s="62">
        <v>1110.3199460000001</v>
      </c>
      <c r="FR1943" s="335"/>
    </row>
    <row r="1944" spans="132:174" x14ac:dyDescent="0.6">
      <c r="EB1944" s="335">
        <v>40133</v>
      </c>
      <c r="EC1944" s="62">
        <v>62.42</v>
      </c>
      <c r="ED1944" s="62">
        <v>1109.3000489999999</v>
      </c>
      <c r="FR1944" s="335"/>
    </row>
    <row r="1945" spans="132:174" x14ac:dyDescent="0.6">
      <c r="EB1945" s="335">
        <v>40130</v>
      </c>
      <c r="EC1945" s="62">
        <v>61.51</v>
      </c>
      <c r="ED1945" s="62">
        <v>1093.4799800000001</v>
      </c>
      <c r="FR1945" s="335"/>
    </row>
    <row r="1946" spans="132:174" x14ac:dyDescent="0.6">
      <c r="EB1946" s="335">
        <v>40129</v>
      </c>
      <c r="EC1946" s="62">
        <v>61.45</v>
      </c>
      <c r="ED1946" s="62">
        <v>1087.23999</v>
      </c>
      <c r="FR1946" s="335"/>
    </row>
    <row r="1947" spans="132:174" x14ac:dyDescent="0.6">
      <c r="EB1947" s="335">
        <v>40128</v>
      </c>
      <c r="EC1947" s="62">
        <v>62.79</v>
      </c>
      <c r="ED1947" s="62">
        <v>1098.51001</v>
      </c>
      <c r="FR1947" s="335"/>
    </row>
    <row r="1948" spans="132:174" x14ac:dyDescent="0.6">
      <c r="EB1948" s="335">
        <v>40127</v>
      </c>
      <c r="EC1948" s="62">
        <v>62.51</v>
      </c>
      <c r="ED1948" s="62">
        <v>1093.01001</v>
      </c>
      <c r="FR1948" s="335"/>
    </row>
    <row r="1949" spans="132:174" x14ac:dyDescent="0.6">
      <c r="EB1949" s="335">
        <v>40126</v>
      </c>
      <c r="EC1949" s="62">
        <v>62.59</v>
      </c>
      <c r="ED1949" s="62">
        <v>1093.079956</v>
      </c>
      <c r="FR1949" s="335"/>
    </row>
    <row r="1950" spans="132:174" x14ac:dyDescent="0.6">
      <c r="EB1950" s="335">
        <v>40123</v>
      </c>
      <c r="EC1950" s="62">
        <v>61.39</v>
      </c>
      <c r="ED1950" s="62">
        <v>1069.3000489999999</v>
      </c>
      <c r="FR1950" s="335"/>
    </row>
    <row r="1951" spans="132:174" x14ac:dyDescent="0.6">
      <c r="EB1951" s="335">
        <v>40122</v>
      </c>
      <c r="EC1951" s="62">
        <v>61.41</v>
      </c>
      <c r="ED1951" s="62">
        <v>1066.630005</v>
      </c>
      <c r="FR1951" s="335"/>
    </row>
    <row r="1952" spans="132:174" x14ac:dyDescent="0.6">
      <c r="EB1952" s="335">
        <v>40121</v>
      </c>
      <c r="EC1952" s="62">
        <v>60.72</v>
      </c>
      <c r="ED1952" s="62">
        <v>1046.5</v>
      </c>
      <c r="FR1952" s="335"/>
    </row>
    <row r="1953" spans="132:174" x14ac:dyDescent="0.6">
      <c r="EB1953" s="335">
        <v>40120</v>
      </c>
      <c r="EC1953" s="62">
        <v>60.79</v>
      </c>
      <c r="ED1953" s="62">
        <v>1045.410034</v>
      </c>
      <c r="FR1953" s="335"/>
    </row>
    <row r="1954" spans="132:174" x14ac:dyDescent="0.6">
      <c r="EB1954" s="335">
        <v>40119</v>
      </c>
      <c r="EC1954" s="62">
        <v>60.25</v>
      </c>
      <c r="ED1954" s="62">
        <v>1042.880005</v>
      </c>
      <c r="FR1954" s="335"/>
    </row>
    <row r="1955" spans="132:174" x14ac:dyDescent="0.6">
      <c r="EB1955" s="335">
        <v>40116</v>
      </c>
      <c r="EC1955" s="62">
        <v>59.98</v>
      </c>
      <c r="ED1955" s="62">
        <v>1036.1899410000001</v>
      </c>
      <c r="FR1955" s="335"/>
    </row>
    <row r="1956" spans="132:174" x14ac:dyDescent="0.6">
      <c r="EB1956" s="335">
        <v>40115</v>
      </c>
      <c r="EC1956" s="62">
        <v>61.2</v>
      </c>
      <c r="ED1956" s="62">
        <v>1066.1099850000001</v>
      </c>
      <c r="FR1956" s="335"/>
    </row>
    <row r="1957" spans="132:174" x14ac:dyDescent="0.6">
      <c r="EB1957" s="335">
        <v>40114</v>
      </c>
      <c r="EC1957" s="62">
        <v>58.74</v>
      </c>
      <c r="ED1957" s="62">
        <v>1042.630005</v>
      </c>
      <c r="FR1957" s="335"/>
    </row>
    <row r="1958" spans="132:174" x14ac:dyDescent="0.6">
      <c r="EB1958" s="335">
        <v>40113</v>
      </c>
      <c r="EC1958" s="62">
        <v>55.1</v>
      </c>
      <c r="ED1958" s="62">
        <v>1063.410034</v>
      </c>
      <c r="FR1958" s="335"/>
    </row>
    <row r="1959" spans="132:174" x14ac:dyDescent="0.6">
      <c r="EB1959" s="335">
        <v>40112</v>
      </c>
      <c r="EC1959" s="62">
        <v>55.61</v>
      </c>
      <c r="ED1959" s="62">
        <v>1066.9499510000001</v>
      </c>
      <c r="FR1959" s="335"/>
    </row>
    <row r="1960" spans="132:174" x14ac:dyDescent="0.6">
      <c r="EB1960" s="335">
        <v>40109</v>
      </c>
      <c r="EC1960" s="62">
        <v>55.95</v>
      </c>
      <c r="ED1960" s="62">
        <v>1079.599976</v>
      </c>
      <c r="FR1960" s="335"/>
    </row>
    <row r="1961" spans="132:174" x14ac:dyDescent="0.6">
      <c r="EB1961" s="335">
        <v>40108</v>
      </c>
      <c r="EC1961" s="62">
        <v>55.59</v>
      </c>
      <c r="ED1961" s="62">
        <v>1092.910034</v>
      </c>
      <c r="FR1961" s="335"/>
    </row>
    <row r="1962" spans="132:174" x14ac:dyDescent="0.6">
      <c r="EB1962" s="335">
        <v>40107</v>
      </c>
      <c r="EC1962" s="62">
        <v>54.36</v>
      </c>
      <c r="ED1962" s="62">
        <v>1081.400024</v>
      </c>
      <c r="FR1962" s="335"/>
    </row>
    <row r="1963" spans="132:174" x14ac:dyDescent="0.6">
      <c r="EB1963" s="335">
        <v>40106</v>
      </c>
      <c r="EC1963" s="62">
        <v>56.15</v>
      </c>
      <c r="ED1963" s="62">
        <v>1091.0600589999999</v>
      </c>
      <c r="FR1963" s="335"/>
    </row>
    <row r="1964" spans="132:174" x14ac:dyDescent="0.6">
      <c r="EB1964" s="335">
        <v>40105</v>
      </c>
      <c r="EC1964" s="62">
        <v>57.22</v>
      </c>
      <c r="ED1964" s="62">
        <v>1097.910034</v>
      </c>
      <c r="FR1964" s="335"/>
    </row>
    <row r="1965" spans="132:174" x14ac:dyDescent="0.6">
      <c r="EB1965" s="335">
        <v>40102</v>
      </c>
      <c r="EC1965" s="62">
        <v>56.37</v>
      </c>
      <c r="ED1965" s="62">
        <v>1087.6800539999999</v>
      </c>
      <c r="FR1965" s="335"/>
    </row>
    <row r="1966" spans="132:174" x14ac:dyDescent="0.6">
      <c r="EB1966" s="335">
        <v>40101</v>
      </c>
      <c r="EC1966" s="62">
        <v>55.5</v>
      </c>
      <c r="ED1966" s="62">
        <v>1096.5600589999999</v>
      </c>
      <c r="FR1966" s="335"/>
    </row>
    <row r="1967" spans="132:174" x14ac:dyDescent="0.6">
      <c r="EB1967" s="335">
        <v>40100</v>
      </c>
      <c r="EC1967" s="62">
        <v>55.23</v>
      </c>
      <c r="ED1967" s="62">
        <v>1092.0200199999999</v>
      </c>
      <c r="FR1967" s="335"/>
    </row>
    <row r="1968" spans="132:174" x14ac:dyDescent="0.6">
      <c r="EB1968" s="335">
        <v>40099</v>
      </c>
      <c r="EC1968" s="62">
        <v>54.83</v>
      </c>
      <c r="ED1968" s="62">
        <v>1073.1899410000001</v>
      </c>
      <c r="FR1968" s="335"/>
    </row>
    <row r="1969" spans="132:174" x14ac:dyDescent="0.6">
      <c r="EB1969" s="335">
        <v>40098</v>
      </c>
      <c r="EC1969" s="62">
        <v>55.55</v>
      </c>
      <c r="ED1969" s="62">
        <v>1076.1899410000001</v>
      </c>
      <c r="FR1969" s="335"/>
    </row>
    <row r="1970" spans="132:174" x14ac:dyDescent="0.6">
      <c r="EB1970" s="335">
        <v>40095</v>
      </c>
      <c r="EC1970" s="62">
        <v>55.64</v>
      </c>
      <c r="ED1970" s="62">
        <v>1071.48999</v>
      </c>
      <c r="FR1970" s="335"/>
    </row>
    <row r="1971" spans="132:174" x14ac:dyDescent="0.6">
      <c r="EB1971" s="335">
        <v>40094</v>
      </c>
      <c r="EC1971" s="62">
        <v>55.15</v>
      </c>
      <c r="ED1971" s="62">
        <v>1065.4799800000001</v>
      </c>
      <c r="FR1971" s="335"/>
    </row>
    <row r="1972" spans="132:174" x14ac:dyDescent="0.6">
      <c r="EB1972" s="335">
        <v>40093</v>
      </c>
      <c r="EC1972" s="62">
        <v>54.36</v>
      </c>
      <c r="ED1972" s="62">
        <v>1057.579956</v>
      </c>
      <c r="FR1972" s="335"/>
    </row>
    <row r="1973" spans="132:174" x14ac:dyDescent="0.6">
      <c r="EB1973" s="335">
        <v>40092</v>
      </c>
      <c r="EC1973" s="62">
        <v>54.82</v>
      </c>
      <c r="ED1973" s="62">
        <v>1054.719971</v>
      </c>
      <c r="FR1973" s="335"/>
    </row>
    <row r="1974" spans="132:174" x14ac:dyDescent="0.6">
      <c r="EB1974" s="335">
        <v>40091</v>
      </c>
      <c r="EC1974" s="62">
        <v>53.53</v>
      </c>
      <c r="ED1974" s="62">
        <v>1040.459961</v>
      </c>
      <c r="FR1974" s="335"/>
    </row>
    <row r="1975" spans="132:174" x14ac:dyDescent="0.6">
      <c r="EB1975" s="335">
        <v>40088</v>
      </c>
      <c r="EC1975" s="62">
        <v>53.24</v>
      </c>
      <c r="ED1975" s="62">
        <v>1025.209961</v>
      </c>
      <c r="FR1975" s="335"/>
    </row>
    <row r="1976" spans="132:174" x14ac:dyDescent="0.6">
      <c r="EB1976" s="335">
        <v>40087</v>
      </c>
      <c r="EC1976" s="62">
        <v>53.48</v>
      </c>
      <c r="ED1976" s="62">
        <v>1029.849976</v>
      </c>
      <c r="FR1976" s="335"/>
    </row>
    <row r="1977" spans="132:174" x14ac:dyDescent="0.6">
      <c r="EB1977" s="335">
        <v>40086</v>
      </c>
      <c r="EC1977" s="62">
        <v>55</v>
      </c>
      <c r="ED1977" s="62">
        <v>1057.079956</v>
      </c>
      <c r="FR1977" s="335"/>
    </row>
    <row r="1978" spans="132:174" x14ac:dyDescent="0.6">
      <c r="EB1978" s="335">
        <v>40085</v>
      </c>
      <c r="EC1978" s="62">
        <v>55.32</v>
      </c>
      <c r="ED1978" s="62">
        <v>1060.6099850000001</v>
      </c>
      <c r="FR1978" s="335"/>
    </row>
    <row r="1979" spans="132:174" x14ac:dyDescent="0.6">
      <c r="EB1979" s="335">
        <v>40084</v>
      </c>
      <c r="EC1979" s="62">
        <v>54.99</v>
      </c>
      <c r="ED1979" s="62">
        <v>1062.9799800000001</v>
      </c>
      <c r="FR1979" s="335"/>
    </row>
    <row r="1980" spans="132:174" x14ac:dyDescent="0.6">
      <c r="EB1980" s="335">
        <v>40081</v>
      </c>
      <c r="EC1980" s="62">
        <v>54.95</v>
      </c>
      <c r="ED1980" s="62">
        <v>1044.380005</v>
      </c>
      <c r="FR1980" s="335"/>
    </row>
    <row r="1981" spans="132:174" x14ac:dyDescent="0.6">
      <c r="EB1981" s="335">
        <v>40080</v>
      </c>
      <c r="EC1981" s="62">
        <v>55.1</v>
      </c>
      <c r="ED1981" s="62">
        <v>1050.780029</v>
      </c>
      <c r="FR1981" s="335"/>
    </row>
    <row r="1982" spans="132:174" x14ac:dyDescent="0.6">
      <c r="EB1982" s="335">
        <v>40079</v>
      </c>
      <c r="EC1982" s="62">
        <v>54.96</v>
      </c>
      <c r="ED1982" s="62">
        <v>1060.869995</v>
      </c>
      <c r="FR1982" s="335"/>
    </row>
    <row r="1983" spans="132:174" x14ac:dyDescent="0.6">
      <c r="EB1983" s="335">
        <v>40078</v>
      </c>
      <c r="EC1983" s="62">
        <v>56.07</v>
      </c>
      <c r="ED1983" s="62">
        <v>1071.660034</v>
      </c>
      <c r="FR1983" s="335"/>
    </row>
    <row r="1984" spans="132:174" x14ac:dyDescent="0.6">
      <c r="EB1984" s="335">
        <v>40077</v>
      </c>
      <c r="EC1984" s="62">
        <v>57.52</v>
      </c>
      <c r="ED1984" s="62">
        <v>1064.660034</v>
      </c>
      <c r="FR1984" s="335"/>
    </row>
    <row r="1985" spans="132:174" x14ac:dyDescent="0.6">
      <c r="EB1985" s="335">
        <v>40074</v>
      </c>
      <c r="EC1985" s="62">
        <v>58.05</v>
      </c>
      <c r="ED1985" s="62">
        <v>1068.3000489999999</v>
      </c>
      <c r="FR1985" s="335"/>
    </row>
    <row r="1986" spans="132:174" x14ac:dyDescent="0.6">
      <c r="EB1986" s="335">
        <v>40073</v>
      </c>
      <c r="EC1986" s="62">
        <v>56.32</v>
      </c>
      <c r="ED1986" s="62">
        <v>1065.48999</v>
      </c>
      <c r="FR1986" s="335"/>
    </row>
    <row r="1987" spans="132:174" x14ac:dyDescent="0.6">
      <c r="EB1987" s="335">
        <v>40072</v>
      </c>
      <c r="EC1987" s="62">
        <v>56.77</v>
      </c>
      <c r="ED1987" s="62">
        <v>1068.76001</v>
      </c>
      <c r="FR1987" s="335"/>
    </row>
    <row r="1988" spans="132:174" x14ac:dyDescent="0.6">
      <c r="EB1988" s="335">
        <v>40071</v>
      </c>
      <c r="EC1988" s="62">
        <v>56.17</v>
      </c>
      <c r="ED1988" s="62">
        <v>1052.630005</v>
      </c>
      <c r="FR1988" s="335"/>
    </row>
    <row r="1989" spans="132:174" x14ac:dyDescent="0.6">
      <c r="EB1989" s="335">
        <v>40070</v>
      </c>
      <c r="EC1989" s="62">
        <v>55.37</v>
      </c>
      <c r="ED1989" s="62">
        <v>1049.339966</v>
      </c>
      <c r="FR1989" s="335"/>
    </row>
    <row r="1990" spans="132:174" x14ac:dyDescent="0.6">
      <c r="EB1990" s="335">
        <v>40067</v>
      </c>
      <c r="EC1990" s="62">
        <v>54.3</v>
      </c>
      <c r="ED1990" s="62">
        <v>1042.7299800000001</v>
      </c>
      <c r="FR1990" s="335"/>
    </row>
    <row r="1991" spans="132:174" x14ac:dyDescent="0.6">
      <c r="EB1991" s="335">
        <v>40066</v>
      </c>
      <c r="EC1991" s="62">
        <v>53.97</v>
      </c>
      <c r="ED1991" s="62">
        <v>1044.1400149999999</v>
      </c>
      <c r="FR1991" s="335"/>
    </row>
    <row r="1992" spans="132:174" x14ac:dyDescent="0.6">
      <c r="EB1992" s="335">
        <v>40065</v>
      </c>
      <c r="EC1992" s="62">
        <v>53.92</v>
      </c>
      <c r="ED1992" s="62">
        <v>1033.369995</v>
      </c>
      <c r="FR1992" s="335"/>
    </row>
    <row r="1993" spans="132:174" x14ac:dyDescent="0.6">
      <c r="EB1993" s="335">
        <v>40064</v>
      </c>
      <c r="EC1993" s="62">
        <v>54.08</v>
      </c>
      <c r="ED1993" s="62">
        <v>1025.3900149999999</v>
      </c>
      <c r="FR1993" s="335"/>
    </row>
    <row r="1994" spans="132:174" x14ac:dyDescent="0.6">
      <c r="EB1994" s="335">
        <v>40060</v>
      </c>
      <c r="EC1994" s="62">
        <v>53.3</v>
      </c>
      <c r="ED1994" s="62">
        <v>1016.400024</v>
      </c>
      <c r="FR1994" s="335"/>
    </row>
    <row r="1995" spans="132:174" x14ac:dyDescent="0.6">
      <c r="EB1995" s="335">
        <v>40059</v>
      </c>
      <c r="EC1995" s="62">
        <v>52.82</v>
      </c>
      <c r="ED1995" s="62">
        <v>1003.23999</v>
      </c>
      <c r="FR1995" s="335"/>
    </row>
    <row r="1996" spans="132:174" x14ac:dyDescent="0.6">
      <c r="EB1996" s="335">
        <v>40058</v>
      </c>
      <c r="EC1996" s="62">
        <v>51.98</v>
      </c>
      <c r="ED1996" s="62">
        <v>994.75</v>
      </c>
      <c r="FR1996" s="335"/>
    </row>
    <row r="1997" spans="132:174" x14ac:dyDescent="0.6">
      <c r="EB1997" s="335">
        <v>40057</v>
      </c>
      <c r="EC1997" s="62">
        <v>51.82</v>
      </c>
      <c r="ED1997" s="62">
        <v>998.03997800000002</v>
      </c>
      <c r="FR1997" s="335"/>
    </row>
    <row r="1998" spans="132:174" x14ac:dyDescent="0.6">
      <c r="EB1998" s="335">
        <v>40056</v>
      </c>
      <c r="EC1998" s="62">
        <v>52.21</v>
      </c>
      <c r="ED1998" s="62">
        <v>1020.619995</v>
      </c>
      <c r="FR1998" s="335"/>
    </row>
    <row r="1999" spans="132:174" x14ac:dyDescent="0.6">
      <c r="EB1999" s="335">
        <v>40053</v>
      </c>
      <c r="EC1999" s="62">
        <v>53.24</v>
      </c>
      <c r="ED1999" s="62">
        <v>1028.9300539999999</v>
      </c>
      <c r="FR1999" s="335"/>
    </row>
    <row r="2000" spans="132:174" x14ac:dyDescent="0.6">
      <c r="EB2000" s="335">
        <v>40052</v>
      </c>
      <c r="EC2000" s="62">
        <v>53.86</v>
      </c>
      <c r="ED2000" s="62">
        <v>1030.9799800000001</v>
      </c>
      <c r="FR2000" s="335"/>
    </row>
    <row r="2001" spans="132:174" x14ac:dyDescent="0.6">
      <c r="EB2001" s="335">
        <v>40051</v>
      </c>
      <c r="EC2001" s="62">
        <v>53.75</v>
      </c>
      <c r="ED2001" s="62">
        <v>1028.119995</v>
      </c>
      <c r="FR2001" s="335"/>
    </row>
    <row r="2002" spans="132:174" x14ac:dyDescent="0.6">
      <c r="EB2002" s="335">
        <v>40050</v>
      </c>
      <c r="EC2002" s="62">
        <v>53.35</v>
      </c>
      <c r="ED2002" s="62">
        <v>1028</v>
      </c>
      <c r="FR2002" s="335"/>
    </row>
    <row r="2003" spans="132:174" x14ac:dyDescent="0.6">
      <c r="EB2003" s="335">
        <v>40049</v>
      </c>
      <c r="EC2003" s="62">
        <v>53.06</v>
      </c>
      <c r="ED2003" s="62">
        <v>1025.5699460000001</v>
      </c>
      <c r="FR2003" s="335"/>
    </row>
    <row r="2004" spans="132:174" x14ac:dyDescent="0.6">
      <c r="EB2004" s="335">
        <v>40046</v>
      </c>
      <c r="EC2004" s="62">
        <v>53.68</v>
      </c>
      <c r="ED2004" s="62">
        <v>1026.130005</v>
      </c>
      <c r="FR2004" s="335"/>
    </row>
    <row r="2005" spans="132:174" x14ac:dyDescent="0.6">
      <c r="EB2005" s="335">
        <v>40045</v>
      </c>
      <c r="EC2005" s="62">
        <v>52.93</v>
      </c>
      <c r="ED2005" s="62">
        <v>1007.369995</v>
      </c>
      <c r="FR2005" s="335"/>
    </row>
    <row r="2006" spans="132:174" x14ac:dyDescent="0.6">
      <c r="EB2006" s="335">
        <v>40044</v>
      </c>
      <c r="EC2006" s="62">
        <v>52.15</v>
      </c>
      <c r="ED2006" s="62">
        <v>996.46002199999998</v>
      </c>
      <c r="FR2006" s="335"/>
    </row>
    <row r="2007" spans="132:174" x14ac:dyDescent="0.6">
      <c r="EB2007" s="335">
        <v>40043</v>
      </c>
      <c r="EC2007" s="62">
        <v>52.8</v>
      </c>
      <c r="ED2007" s="62">
        <v>989.669983</v>
      </c>
      <c r="FR2007" s="335"/>
    </row>
    <row r="2008" spans="132:174" x14ac:dyDescent="0.6">
      <c r="EB2008" s="335">
        <v>40042</v>
      </c>
      <c r="EC2008" s="62">
        <v>52.03</v>
      </c>
      <c r="ED2008" s="62">
        <v>979.72997999999995</v>
      </c>
      <c r="FR2008" s="335"/>
    </row>
    <row r="2009" spans="132:174" x14ac:dyDescent="0.6">
      <c r="EB2009" s="335">
        <v>40039</v>
      </c>
      <c r="EC2009" s="62">
        <v>53.42</v>
      </c>
      <c r="ED2009" s="62">
        <v>1004.090027</v>
      </c>
      <c r="FR2009" s="335"/>
    </row>
    <row r="2010" spans="132:174" x14ac:dyDescent="0.6">
      <c r="EB2010" s="335">
        <v>40038</v>
      </c>
      <c r="EC2010" s="62">
        <v>54.09</v>
      </c>
      <c r="ED2010" s="62">
        <v>1012.72998</v>
      </c>
      <c r="FR2010" s="335"/>
    </row>
    <row r="2011" spans="132:174" x14ac:dyDescent="0.6">
      <c r="EB2011" s="335">
        <v>40037</v>
      </c>
      <c r="EC2011" s="62">
        <v>53.76</v>
      </c>
      <c r="ED2011" s="62">
        <v>1005.809998</v>
      </c>
      <c r="FR2011" s="335"/>
    </row>
    <row r="2012" spans="132:174" x14ac:dyDescent="0.6">
      <c r="EB2012" s="335">
        <v>40036</v>
      </c>
      <c r="EC2012" s="62">
        <v>53.14</v>
      </c>
      <c r="ED2012" s="62">
        <v>994.34997599999997</v>
      </c>
      <c r="FR2012" s="335"/>
    </row>
    <row r="2013" spans="132:174" x14ac:dyDescent="0.6">
      <c r="EB2013" s="335">
        <v>40035</v>
      </c>
      <c r="EC2013" s="62">
        <v>53.5</v>
      </c>
      <c r="ED2013" s="62">
        <v>1007.099976</v>
      </c>
      <c r="FR2013" s="335"/>
    </row>
    <row r="2014" spans="132:174" x14ac:dyDescent="0.6">
      <c r="EB2014" s="335">
        <v>40032</v>
      </c>
      <c r="EC2014" s="62">
        <v>54.12</v>
      </c>
      <c r="ED2014" s="62">
        <v>1010.47998</v>
      </c>
      <c r="FR2014" s="335"/>
    </row>
    <row r="2015" spans="132:174" x14ac:dyDescent="0.6">
      <c r="EB2015" s="335">
        <v>40031</v>
      </c>
      <c r="EC2015" s="62">
        <v>53.65</v>
      </c>
      <c r="ED2015" s="62">
        <v>997.080017</v>
      </c>
      <c r="FR2015" s="335"/>
    </row>
    <row r="2016" spans="132:174" x14ac:dyDescent="0.6">
      <c r="EB2016" s="335">
        <v>40030</v>
      </c>
      <c r="EC2016" s="62">
        <v>54.84</v>
      </c>
      <c r="ED2016" s="62">
        <v>1002.719971</v>
      </c>
      <c r="FR2016" s="335"/>
    </row>
    <row r="2017" spans="132:174" x14ac:dyDescent="0.6">
      <c r="EB2017" s="335">
        <v>40029</v>
      </c>
      <c r="EC2017" s="62">
        <v>55.36</v>
      </c>
      <c r="ED2017" s="62">
        <v>1005.650024</v>
      </c>
      <c r="FR2017" s="335"/>
    </row>
    <row r="2018" spans="132:174" x14ac:dyDescent="0.6">
      <c r="EB2018" s="335">
        <v>40028</v>
      </c>
      <c r="EC2018" s="62">
        <v>55.2</v>
      </c>
      <c r="ED2018" s="62">
        <v>1002.630005</v>
      </c>
      <c r="FR2018" s="335"/>
    </row>
    <row r="2019" spans="132:174" x14ac:dyDescent="0.6">
      <c r="EB2019" s="335">
        <v>40025</v>
      </c>
      <c r="EC2019" s="62">
        <v>54.92</v>
      </c>
      <c r="ED2019" s="62">
        <v>987.47997999999995</v>
      </c>
      <c r="FR2019" s="335"/>
    </row>
    <row r="2020" spans="132:174" x14ac:dyDescent="0.6">
      <c r="EB2020" s="335">
        <v>40024</v>
      </c>
      <c r="EC2020" s="62">
        <v>54.26</v>
      </c>
      <c r="ED2020" s="62">
        <v>986.75</v>
      </c>
      <c r="FR2020" s="335"/>
    </row>
    <row r="2021" spans="132:174" x14ac:dyDescent="0.6">
      <c r="EB2021" s="335">
        <v>40023</v>
      </c>
      <c r="EC2021" s="62">
        <v>53.89</v>
      </c>
      <c r="ED2021" s="62">
        <v>975.15002400000003</v>
      </c>
      <c r="FR2021" s="335"/>
    </row>
    <row r="2022" spans="132:174" x14ac:dyDescent="0.6">
      <c r="EB2022" s="335">
        <v>40022</v>
      </c>
      <c r="EC2022" s="62">
        <v>56.84</v>
      </c>
      <c r="ED2022" s="62">
        <v>979.61999500000002</v>
      </c>
      <c r="FR2022" s="335"/>
    </row>
    <row r="2023" spans="132:174" x14ac:dyDescent="0.6">
      <c r="EB2023" s="335">
        <v>40021</v>
      </c>
      <c r="EC2023" s="62">
        <v>56.38</v>
      </c>
      <c r="ED2023" s="62">
        <v>982.17999299999997</v>
      </c>
      <c r="FR2023" s="335"/>
    </row>
    <row r="2024" spans="132:174" x14ac:dyDescent="0.6">
      <c r="EB2024" s="335">
        <v>40018</v>
      </c>
      <c r="EC2024" s="62">
        <v>55.18</v>
      </c>
      <c r="ED2024" s="62">
        <v>979.26000999999997</v>
      </c>
      <c r="FR2024" s="335"/>
    </row>
    <row r="2025" spans="132:174" x14ac:dyDescent="0.6">
      <c r="EB2025" s="335">
        <v>40017</v>
      </c>
      <c r="EC2025" s="62">
        <v>54.94</v>
      </c>
      <c r="ED2025" s="62">
        <v>976.28997800000002</v>
      </c>
      <c r="FR2025" s="335"/>
    </row>
    <row r="2026" spans="132:174" x14ac:dyDescent="0.6">
      <c r="EB2026" s="335">
        <v>40016</v>
      </c>
      <c r="EC2026" s="62">
        <v>53.47</v>
      </c>
      <c r="ED2026" s="62">
        <v>954.07000700000003</v>
      </c>
      <c r="FR2026" s="335"/>
    </row>
    <row r="2027" spans="132:174" x14ac:dyDescent="0.6">
      <c r="EB2027" s="335">
        <v>40015</v>
      </c>
      <c r="EC2027" s="62">
        <v>52.82</v>
      </c>
      <c r="ED2027" s="62">
        <v>954.580017</v>
      </c>
      <c r="FR2027" s="335"/>
    </row>
    <row r="2028" spans="132:174" x14ac:dyDescent="0.6">
      <c r="EB2028" s="335">
        <v>40014</v>
      </c>
      <c r="EC2028" s="62">
        <v>54.31</v>
      </c>
      <c r="ED2028" s="62">
        <v>951.13000499999998</v>
      </c>
      <c r="FR2028" s="335"/>
    </row>
    <row r="2029" spans="132:174" x14ac:dyDescent="0.6">
      <c r="EB2029" s="335">
        <v>40011</v>
      </c>
      <c r="EC2029" s="62">
        <v>53.58</v>
      </c>
      <c r="ED2029" s="62">
        <v>940.38000499999998</v>
      </c>
      <c r="FR2029" s="335"/>
    </row>
    <row r="2030" spans="132:174" x14ac:dyDescent="0.6">
      <c r="EB2030" s="335">
        <v>40010</v>
      </c>
      <c r="EC2030" s="62">
        <v>53.75</v>
      </c>
      <c r="ED2030" s="62">
        <v>940.73999000000003</v>
      </c>
      <c r="FR2030" s="335"/>
    </row>
    <row r="2031" spans="132:174" x14ac:dyDescent="0.6">
      <c r="EB2031" s="335">
        <v>40009</v>
      </c>
      <c r="EC2031" s="62">
        <v>53.53</v>
      </c>
      <c r="ED2031" s="62">
        <v>932.67999299999997</v>
      </c>
      <c r="FR2031" s="335"/>
    </row>
    <row r="2032" spans="132:174" x14ac:dyDescent="0.6">
      <c r="EB2032" s="335">
        <v>40008</v>
      </c>
      <c r="EC2032" s="62">
        <v>53.15</v>
      </c>
      <c r="ED2032" s="62">
        <v>905.84002699999996</v>
      </c>
      <c r="FR2032" s="335"/>
    </row>
    <row r="2033" spans="132:174" x14ac:dyDescent="0.6">
      <c r="EB2033" s="335">
        <v>40007</v>
      </c>
      <c r="EC2033" s="62">
        <v>51.52</v>
      </c>
      <c r="ED2033" s="62">
        <v>901.04998799999998</v>
      </c>
      <c r="FR2033" s="335"/>
    </row>
    <row r="2034" spans="132:174" x14ac:dyDescent="0.6">
      <c r="EB2034" s="335">
        <v>40004</v>
      </c>
      <c r="EC2034" s="62">
        <v>50.19</v>
      </c>
      <c r="ED2034" s="62">
        <v>879.13000499999998</v>
      </c>
      <c r="FR2034" s="335"/>
    </row>
    <row r="2035" spans="132:174" x14ac:dyDescent="0.6">
      <c r="EB2035" s="335">
        <v>40003</v>
      </c>
      <c r="EC2035" s="62">
        <v>49.17</v>
      </c>
      <c r="ED2035" s="62">
        <v>882.67999299999997</v>
      </c>
      <c r="FR2035" s="335"/>
    </row>
    <row r="2036" spans="132:174" x14ac:dyDescent="0.6">
      <c r="EB2036" s="335">
        <v>40002</v>
      </c>
      <c r="EC2036" s="62">
        <v>49.01</v>
      </c>
      <c r="ED2036" s="62">
        <v>879.55999799999995</v>
      </c>
      <c r="FR2036" s="335"/>
    </row>
    <row r="2037" spans="132:174" x14ac:dyDescent="0.6">
      <c r="EB2037" s="335">
        <v>40001</v>
      </c>
      <c r="EC2037" s="62">
        <v>48.59</v>
      </c>
      <c r="ED2037" s="62">
        <v>881.03002900000001</v>
      </c>
      <c r="FR2037" s="335"/>
    </row>
    <row r="2038" spans="132:174" x14ac:dyDescent="0.6">
      <c r="EB2038" s="335">
        <v>40000</v>
      </c>
      <c r="EC2038" s="62">
        <v>48.98</v>
      </c>
      <c r="ED2038" s="62">
        <v>898.71997099999999</v>
      </c>
      <c r="FR2038" s="335"/>
    </row>
    <row r="2039" spans="132:174" x14ac:dyDescent="0.6">
      <c r="EB2039" s="335">
        <v>39996</v>
      </c>
      <c r="EC2039" s="62">
        <v>48.79</v>
      </c>
      <c r="ED2039" s="62">
        <v>896.419983</v>
      </c>
      <c r="FR2039" s="335"/>
    </row>
    <row r="2040" spans="132:174" x14ac:dyDescent="0.6">
      <c r="EB2040" s="335">
        <v>39995</v>
      </c>
      <c r="EC2040" s="62">
        <v>50.53</v>
      </c>
      <c r="ED2040" s="62">
        <v>923.330017</v>
      </c>
      <c r="FR2040" s="335"/>
    </row>
    <row r="2041" spans="132:174" x14ac:dyDescent="0.6">
      <c r="EB2041" s="335">
        <v>39994</v>
      </c>
      <c r="EC2041" s="62">
        <v>49.86</v>
      </c>
      <c r="ED2041" s="62">
        <v>919.32000700000003</v>
      </c>
      <c r="FR2041" s="335"/>
    </row>
    <row r="2042" spans="132:174" x14ac:dyDescent="0.6">
      <c r="EB2042" s="335">
        <v>39993</v>
      </c>
      <c r="EC2042" s="62">
        <v>50.02</v>
      </c>
      <c r="ED2042" s="62">
        <v>927.22997999999995</v>
      </c>
      <c r="FR2042" s="335"/>
    </row>
    <row r="2043" spans="132:174" x14ac:dyDescent="0.6">
      <c r="EB2043" s="335">
        <v>39990</v>
      </c>
      <c r="EC2043" s="62">
        <v>51.3</v>
      </c>
      <c r="ED2043" s="62">
        <v>918.90002400000003</v>
      </c>
      <c r="FR2043" s="335"/>
    </row>
    <row r="2044" spans="132:174" x14ac:dyDescent="0.6">
      <c r="EB2044" s="335">
        <v>39989</v>
      </c>
      <c r="EC2044" s="62">
        <v>50.95</v>
      </c>
      <c r="ED2044" s="62">
        <v>920.26000999999997</v>
      </c>
      <c r="FR2044" s="335"/>
    </row>
    <row r="2045" spans="132:174" x14ac:dyDescent="0.6">
      <c r="EB2045" s="335">
        <v>39988</v>
      </c>
      <c r="EC2045" s="62">
        <v>50.05</v>
      </c>
      <c r="ED2045" s="62">
        <v>900.94000200000005</v>
      </c>
      <c r="FR2045" s="335"/>
    </row>
    <row r="2046" spans="132:174" x14ac:dyDescent="0.6">
      <c r="EB2046" s="335">
        <v>39987</v>
      </c>
      <c r="EC2046" s="62">
        <v>49.97</v>
      </c>
      <c r="ED2046" s="62">
        <v>895.09997599999997</v>
      </c>
      <c r="FR2046" s="335"/>
    </row>
    <row r="2047" spans="132:174" x14ac:dyDescent="0.6">
      <c r="EB2047" s="335">
        <v>39986</v>
      </c>
      <c r="EC2047" s="62">
        <v>51.35</v>
      </c>
      <c r="ED2047" s="62">
        <v>893.03997800000002</v>
      </c>
      <c r="FR2047" s="335"/>
    </row>
    <row r="2048" spans="132:174" x14ac:dyDescent="0.6">
      <c r="EB2048" s="335">
        <v>39983</v>
      </c>
      <c r="EC2048" s="62">
        <v>51.57</v>
      </c>
      <c r="ED2048" s="62">
        <v>921.22997999999995</v>
      </c>
      <c r="FR2048" s="335"/>
    </row>
    <row r="2049" spans="132:174" x14ac:dyDescent="0.6">
      <c r="EB2049" s="335">
        <v>39982</v>
      </c>
      <c r="EC2049" s="62">
        <v>51.15</v>
      </c>
      <c r="ED2049" s="62">
        <v>918.36999500000002</v>
      </c>
      <c r="FR2049" s="335"/>
    </row>
    <row r="2050" spans="132:174" x14ac:dyDescent="0.6">
      <c r="EB2050" s="335">
        <v>39981</v>
      </c>
      <c r="EC2050" s="62">
        <v>50.46</v>
      </c>
      <c r="ED2050" s="62">
        <v>910.71002199999998</v>
      </c>
      <c r="FR2050" s="335"/>
    </row>
    <row r="2051" spans="132:174" x14ac:dyDescent="0.6">
      <c r="EB2051" s="335">
        <v>39980</v>
      </c>
      <c r="EC2051" s="62">
        <v>49.84</v>
      </c>
      <c r="ED2051" s="62">
        <v>911.96997099999999</v>
      </c>
      <c r="FR2051" s="335"/>
    </row>
    <row r="2052" spans="132:174" x14ac:dyDescent="0.6">
      <c r="EB2052" s="335">
        <v>39979</v>
      </c>
      <c r="EC2052" s="62">
        <v>50.53</v>
      </c>
      <c r="ED2052" s="62">
        <v>923.71997099999999</v>
      </c>
      <c r="FR2052" s="335"/>
    </row>
    <row r="2053" spans="132:174" x14ac:dyDescent="0.6">
      <c r="EB2053" s="335">
        <v>39976</v>
      </c>
      <c r="EC2053" s="62">
        <v>51.48</v>
      </c>
      <c r="ED2053" s="62">
        <v>946.21002199999998</v>
      </c>
      <c r="FR2053" s="335"/>
    </row>
    <row r="2054" spans="132:174" x14ac:dyDescent="0.6">
      <c r="EB2054" s="335">
        <v>39975</v>
      </c>
      <c r="EC2054" s="62">
        <v>51.01</v>
      </c>
      <c r="ED2054" s="62">
        <v>944.89001499999995</v>
      </c>
      <c r="FR2054" s="335"/>
    </row>
    <row r="2055" spans="132:174" x14ac:dyDescent="0.6">
      <c r="EB2055" s="335">
        <v>39974</v>
      </c>
      <c r="EC2055" s="62">
        <v>52.81</v>
      </c>
      <c r="ED2055" s="62">
        <v>939.15002400000003</v>
      </c>
      <c r="FR2055" s="335"/>
    </row>
    <row r="2056" spans="132:174" x14ac:dyDescent="0.6">
      <c r="EB2056" s="335">
        <v>39973</v>
      </c>
      <c r="EC2056" s="62">
        <v>53.1</v>
      </c>
      <c r="ED2056" s="62">
        <v>942.42999299999997</v>
      </c>
      <c r="FR2056" s="335"/>
    </row>
    <row r="2057" spans="132:174" x14ac:dyDescent="0.6">
      <c r="EB2057" s="335">
        <v>39972</v>
      </c>
      <c r="EC2057" s="62">
        <v>52.05</v>
      </c>
      <c r="ED2057" s="62">
        <v>939.14001499999995</v>
      </c>
      <c r="FR2057" s="335"/>
    </row>
    <row r="2058" spans="132:174" x14ac:dyDescent="0.6">
      <c r="EB2058" s="335">
        <v>39969</v>
      </c>
      <c r="EC2058" s="62">
        <v>52.58</v>
      </c>
      <c r="ED2058" s="62">
        <v>940.09002699999996</v>
      </c>
      <c r="FR2058" s="335"/>
    </row>
    <row r="2059" spans="132:174" x14ac:dyDescent="0.6">
      <c r="EB2059" s="335">
        <v>39968</v>
      </c>
      <c r="EC2059" s="62">
        <v>53.31</v>
      </c>
      <c r="ED2059" s="62">
        <v>942.46002199999998</v>
      </c>
      <c r="FR2059" s="335"/>
    </row>
    <row r="2060" spans="132:174" x14ac:dyDescent="0.6">
      <c r="EB2060" s="335">
        <v>39967</v>
      </c>
      <c r="EC2060" s="62">
        <v>52.86</v>
      </c>
      <c r="ED2060" s="62">
        <v>931.76000999999997</v>
      </c>
      <c r="FR2060" s="335"/>
    </row>
    <row r="2061" spans="132:174" x14ac:dyDescent="0.6">
      <c r="EB2061" s="335">
        <v>39966</v>
      </c>
      <c r="EC2061" s="62">
        <v>53.35</v>
      </c>
      <c r="ED2061" s="62">
        <v>944.73999000000003</v>
      </c>
      <c r="FR2061" s="335"/>
    </row>
    <row r="2062" spans="132:174" x14ac:dyDescent="0.6">
      <c r="EB2062" s="335">
        <v>39965</v>
      </c>
      <c r="EC2062" s="62">
        <v>53.85</v>
      </c>
      <c r="ED2062" s="62">
        <v>942.86999500000002</v>
      </c>
      <c r="FR2062" s="335"/>
    </row>
    <row r="2063" spans="132:174" x14ac:dyDescent="0.6">
      <c r="EB2063" s="335">
        <v>39962</v>
      </c>
      <c r="EC2063" s="62">
        <v>53.24</v>
      </c>
      <c r="ED2063" s="62">
        <v>919.14001499999995</v>
      </c>
      <c r="FR2063" s="335"/>
    </row>
    <row r="2064" spans="132:174" x14ac:dyDescent="0.6">
      <c r="EB2064" s="335">
        <v>39961</v>
      </c>
      <c r="EC2064" s="62">
        <v>52.65</v>
      </c>
      <c r="ED2064" s="62">
        <v>906.830017</v>
      </c>
      <c r="FR2064" s="335"/>
    </row>
    <row r="2065" spans="132:174" x14ac:dyDescent="0.6">
      <c r="EB2065" s="335">
        <v>39960</v>
      </c>
      <c r="EC2065" s="62">
        <v>53.19</v>
      </c>
      <c r="ED2065" s="62">
        <v>893.05999799999995</v>
      </c>
      <c r="FR2065" s="335"/>
    </row>
    <row r="2066" spans="132:174" x14ac:dyDescent="0.6">
      <c r="EB2066" s="335">
        <v>39959</v>
      </c>
      <c r="EC2066" s="62">
        <v>52.41</v>
      </c>
      <c r="ED2066" s="62">
        <v>910.330017</v>
      </c>
      <c r="FR2066" s="335"/>
    </row>
    <row r="2067" spans="132:174" x14ac:dyDescent="0.6">
      <c r="EB2067" s="335">
        <v>39955</v>
      </c>
      <c r="EC2067" s="62">
        <v>49.62</v>
      </c>
      <c r="ED2067" s="62">
        <v>887</v>
      </c>
      <c r="FR2067" s="335"/>
    </row>
    <row r="2068" spans="132:174" x14ac:dyDescent="0.6">
      <c r="EB2068" s="335">
        <v>39954</v>
      </c>
      <c r="EC2068" s="62">
        <v>50.72</v>
      </c>
      <c r="ED2068" s="62">
        <v>888.330017</v>
      </c>
      <c r="FR2068" s="335"/>
    </row>
    <row r="2069" spans="132:174" x14ac:dyDescent="0.6">
      <c r="EB2069" s="335">
        <v>39953</v>
      </c>
      <c r="EC2069" s="62">
        <v>51.33</v>
      </c>
      <c r="ED2069" s="62">
        <v>903.46997099999999</v>
      </c>
      <c r="FR2069" s="335"/>
    </row>
    <row r="2070" spans="132:174" x14ac:dyDescent="0.6">
      <c r="EB2070" s="335">
        <v>39952</v>
      </c>
      <c r="EC2070" s="62">
        <v>51.97</v>
      </c>
      <c r="ED2070" s="62">
        <v>908.13000499999998</v>
      </c>
      <c r="FR2070" s="335"/>
    </row>
    <row r="2071" spans="132:174" x14ac:dyDescent="0.6">
      <c r="EB2071" s="335">
        <v>39951</v>
      </c>
      <c r="EC2071" s="62">
        <v>52.55</v>
      </c>
      <c r="ED2071" s="62">
        <v>909.71002199999998</v>
      </c>
      <c r="FR2071" s="335"/>
    </row>
    <row r="2072" spans="132:174" x14ac:dyDescent="0.6">
      <c r="EB2072" s="335">
        <v>39948</v>
      </c>
      <c r="EC2072" s="62">
        <v>51.02</v>
      </c>
      <c r="ED2072" s="62">
        <v>882.88000499999998</v>
      </c>
      <c r="FR2072" s="335"/>
    </row>
    <row r="2073" spans="132:174" x14ac:dyDescent="0.6">
      <c r="EB2073" s="335">
        <v>39947</v>
      </c>
      <c r="EC2073" s="62">
        <v>50.86</v>
      </c>
      <c r="ED2073" s="62">
        <v>893.07000700000003</v>
      </c>
      <c r="FR2073" s="335"/>
    </row>
    <row r="2074" spans="132:174" x14ac:dyDescent="0.6">
      <c r="EB2074" s="335">
        <v>39946</v>
      </c>
      <c r="EC2074" s="62">
        <v>50.01</v>
      </c>
      <c r="ED2074" s="62">
        <v>883.919983</v>
      </c>
      <c r="FR2074" s="335"/>
    </row>
    <row r="2075" spans="132:174" x14ac:dyDescent="0.6">
      <c r="EB2075" s="335">
        <v>39945</v>
      </c>
      <c r="EC2075" s="62">
        <v>51.79</v>
      </c>
      <c r="ED2075" s="62">
        <v>908.34997599999997</v>
      </c>
      <c r="FR2075" s="335"/>
    </row>
    <row r="2076" spans="132:174" x14ac:dyDescent="0.6">
      <c r="EB2076" s="335">
        <v>39944</v>
      </c>
      <c r="EC2076" s="62">
        <v>53.02</v>
      </c>
      <c r="ED2076" s="62">
        <v>909.23999000000003</v>
      </c>
      <c r="FR2076" s="335"/>
    </row>
    <row r="2077" spans="132:174" x14ac:dyDescent="0.6">
      <c r="EB2077" s="335">
        <v>39941</v>
      </c>
      <c r="EC2077" s="62">
        <v>52.92</v>
      </c>
      <c r="ED2077" s="62">
        <v>929.22997999999995</v>
      </c>
      <c r="FR2077" s="335"/>
    </row>
    <row r="2078" spans="132:174" x14ac:dyDescent="0.6">
      <c r="EB2078" s="335">
        <v>39940</v>
      </c>
      <c r="EC2078" s="62">
        <v>54.03</v>
      </c>
      <c r="ED2078" s="62">
        <v>907.39001499999995</v>
      </c>
      <c r="FR2078" s="335"/>
    </row>
    <row r="2079" spans="132:174" x14ac:dyDescent="0.6">
      <c r="EB2079" s="335">
        <v>39939</v>
      </c>
      <c r="EC2079" s="62">
        <v>55.15</v>
      </c>
      <c r="ED2079" s="62">
        <v>919.53002900000001</v>
      </c>
      <c r="FR2079" s="335"/>
    </row>
    <row r="2080" spans="132:174" x14ac:dyDescent="0.6">
      <c r="EB2080" s="335">
        <v>39938</v>
      </c>
      <c r="EC2080" s="62">
        <v>57.29</v>
      </c>
      <c r="ED2080" s="62">
        <v>903.79998799999998</v>
      </c>
      <c r="FR2080" s="335"/>
    </row>
    <row r="2081" spans="132:174" x14ac:dyDescent="0.6">
      <c r="EB2081" s="335">
        <v>39937</v>
      </c>
      <c r="EC2081" s="62">
        <v>57.05</v>
      </c>
      <c r="ED2081" s="62">
        <v>907.23999000000003</v>
      </c>
      <c r="FR2081" s="335"/>
    </row>
    <row r="2082" spans="132:174" x14ac:dyDescent="0.6">
      <c r="EB2082" s="335">
        <v>39934</v>
      </c>
      <c r="EC2082" s="62">
        <v>55.91</v>
      </c>
      <c r="ED2082" s="62">
        <v>877.52002000000005</v>
      </c>
      <c r="FR2082" s="335"/>
    </row>
    <row r="2083" spans="132:174" x14ac:dyDescent="0.6">
      <c r="EB2083" s="335">
        <v>39933</v>
      </c>
      <c r="EC2083" s="62">
        <v>56.01</v>
      </c>
      <c r="ED2083" s="62">
        <v>872.80999799999995</v>
      </c>
      <c r="FR2083" s="335"/>
    </row>
    <row r="2084" spans="132:174" x14ac:dyDescent="0.6">
      <c r="EB2084" s="335">
        <v>39932</v>
      </c>
      <c r="EC2084" s="62">
        <v>55.37</v>
      </c>
      <c r="ED2084" s="62">
        <v>873.64001499999995</v>
      </c>
      <c r="FR2084" s="335"/>
    </row>
    <row r="2085" spans="132:174" x14ac:dyDescent="0.6">
      <c r="EB2085" s="335">
        <v>39931</v>
      </c>
      <c r="EC2085" s="62">
        <v>62.93</v>
      </c>
      <c r="ED2085" s="62">
        <v>855.15997300000004</v>
      </c>
      <c r="FR2085" s="335"/>
    </row>
    <row r="2086" spans="132:174" x14ac:dyDescent="0.6">
      <c r="EB2086" s="335">
        <v>39930</v>
      </c>
      <c r="EC2086" s="62">
        <v>63.3</v>
      </c>
      <c r="ED2086" s="62">
        <v>857.51000999999997</v>
      </c>
      <c r="FR2086" s="335"/>
    </row>
    <row r="2087" spans="132:174" x14ac:dyDescent="0.6">
      <c r="EB2087" s="335">
        <v>39927</v>
      </c>
      <c r="EC2087" s="62">
        <v>63.75</v>
      </c>
      <c r="ED2087" s="62">
        <v>866.22997999999995</v>
      </c>
      <c r="FR2087" s="335"/>
    </row>
    <row r="2088" spans="132:174" x14ac:dyDescent="0.6">
      <c r="EB2088" s="335">
        <v>39926</v>
      </c>
      <c r="EC2088" s="62">
        <v>62.45</v>
      </c>
      <c r="ED2088" s="62">
        <v>851.919983</v>
      </c>
      <c r="FR2088" s="335"/>
    </row>
    <row r="2089" spans="132:174" x14ac:dyDescent="0.6">
      <c r="EB2089" s="335">
        <v>39925</v>
      </c>
      <c r="EC2089" s="62">
        <v>62.69</v>
      </c>
      <c r="ED2089" s="62">
        <v>843.54998799999998</v>
      </c>
      <c r="FR2089" s="335"/>
    </row>
    <row r="2090" spans="132:174" x14ac:dyDescent="0.6">
      <c r="EB2090" s="335">
        <v>39924</v>
      </c>
      <c r="EC2090" s="62">
        <v>60.08</v>
      </c>
      <c r="ED2090" s="62">
        <v>850.080017</v>
      </c>
      <c r="FR2090" s="335"/>
    </row>
    <row r="2091" spans="132:174" x14ac:dyDescent="0.6">
      <c r="EB2091" s="335">
        <v>39923</v>
      </c>
      <c r="EC2091" s="62">
        <v>57.92</v>
      </c>
      <c r="ED2091" s="62">
        <v>832.39001499999995</v>
      </c>
      <c r="FR2091" s="335"/>
    </row>
    <row r="2092" spans="132:174" x14ac:dyDescent="0.6">
      <c r="EB2092" s="335">
        <v>39920</v>
      </c>
      <c r="EC2092" s="62">
        <v>59.86</v>
      </c>
      <c r="ED2092" s="62">
        <v>869.59997599999997</v>
      </c>
      <c r="FR2092" s="335"/>
    </row>
    <row r="2093" spans="132:174" x14ac:dyDescent="0.6">
      <c r="EB2093" s="335">
        <v>39919</v>
      </c>
      <c r="EC2093" s="62">
        <v>58.88</v>
      </c>
      <c r="ED2093" s="62">
        <v>865.29998799999998</v>
      </c>
      <c r="FR2093" s="335"/>
    </row>
    <row r="2094" spans="132:174" x14ac:dyDescent="0.6">
      <c r="EB2094" s="335">
        <v>39918</v>
      </c>
      <c r="EC2094" s="62">
        <v>56.46</v>
      </c>
      <c r="ED2094" s="62">
        <v>852.05999799999995</v>
      </c>
      <c r="FR2094" s="335"/>
    </row>
    <row r="2095" spans="132:174" x14ac:dyDescent="0.6">
      <c r="EB2095" s="335">
        <v>39917</v>
      </c>
      <c r="EC2095" s="62">
        <v>56.56</v>
      </c>
      <c r="ED2095" s="62">
        <v>841.5</v>
      </c>
      <c r="FR2095" s="335"/>
    </row>
    <row r="2096" spans="132:174" x14ac:dyDescent="0.6">
      <c r="EB2096" s="335">
        <v>39916</v>
      </c>
      <c r="EC2096" s="62">
        <v>57.51</v>
      </c>
      <c r="ED2096" s="62">
        <v>858.72997999999995</v>
      </c>
      <c r="FR2096" s="335"/>
    </row>
    <row r="2097" spans="132:174" x14ac:dyDescent="0.6">
      <c r="EB2097" s="335">
        <v>39912</v>
      </c>
      <c r="EC2097" s="62">
        <v>57.6</v>
      </c>
      <c r="ED2097" s="62">
        <v>856.55999799999995</v>
      </c>
      <c r="FR2097" s="335"/>
    </row>
    <row r="2098" spans="132:174" x14ac:dyDescent="0.6">
      <c r="EB2098" s="335">
        <v>39911</v>
      </c>
      <c r="EC2098" s="62">
        <v>55.57</v>
      </c>
      <c r="ED2098" s="62">
        <v>825.15997300000004</v>
      </c>
      <c r="FR2098" s="335"/>
    </row>
    <row r="2099" spans="132:174" x14ac:dyDescent="0.6">
      <c r="EB2099" s="335">
        <v>39910</v>
      </c>
      <c r="EC2099" s="62">
        <v>54.82</v>
      </c>
      <c r="ED2099" s="62">
        <v>815.54998799999998</v>
      </c>
      <c r="FR2099" s="335"/>
    </row>
    <row r="2100" spans="132:174" x14ac:dyDescent="0.6">
      <c r="EB2100" s="335">
        <v>39909</v>
      </c>
      <c r="EC2100" s="62">
        <v>57.46</v>
      </c>
      <c r="ED2100" s="62">
        <v>835.47997999999995</v>
      </c>
      <c r="FR2100" s="335"/>
    </row>
    <row r="2101" spans="132:174" x14ac:dyDescent="0.6">
      <c r="EB2101" s="335">
        <v>39906</v>
      </c>
      <c r="EC2101" s="62">
        <v>57.96</v>
      </c>
      <c r="ED2101" s="62">
        <v>842.5</v>
      </c>
      <c r="FR2101" s="335"/>
    </row>
    <row r="2102" spans="132:174" x14ac:dyDescent="0.6">
      <c r="EB2102" s="335">
        <v>39905</v>
      </c>
      <c r="EC2102" s="62">
        <v>57.12</v>
      </c>
      <c r="ED2102" s="62">
        <v>834.38000499999998</v>
      </c>
      <c r="FR2102" s="335"/>
    </row>
    <row r="2103" spans="132:174" x14ac:dyDescent="0.6">
      <c r="EB2103" s="335">
        <v>39904</v>
      </c>
      <c r="EC2103" s="62">
        <v>56.03</v>
      </c>
      <c r="ED2103" s="62">
        <v>811.080017</v>
      </c>
      <c r="FR2103" s="335"/>
    </row>
    <row r="2104" spans="132:174" x14ac:dyDescent="0.6">
      <c r="EB2104" s="335">
        <v>39903</v>
      </c>
      <c r="EC2104" s="62">
        <v>55.9</v>
      </c>
      <c r="ED2104" s="62">
        <v>797.86999500000002</v>
      </c>
      <c r="FR2104" s="335"/>
    </row>
    <row r="2105" spans="132:174" x14ac:dyDescent="0.6">
      <c r="EB2105" s="335">
        <v>39902</v>
      </c>
      <c r="EC2105" s="62">
        <v>54.82</v>
      </c>
      <c r="ED2105" s="62">
        <v>787.53002900000001</v>
      </c>
      <c r="FR2105" s="335"/>
    </row>
    <row r="2106" spans="132:174" x14ac:dyDescent="0.6">
      <c r="EB2106" s="335">
        <v>39899</v>
      </c>
      <c r="EC2106" s="62">
        <v>56.44</v>
      </c>
      <c r="ED2106" s="62">
        <v>815.94000200000005</v>
      </c>
      <c r="FR2106" s="335"/>
    </row>
    <row r="2107" spans="132:174" x14ac:dyDescent="0.6">
      <c r="EB2107" s="335">
        <v>39898</v>
      </c>
      <c r="EC2107" s="62">
        <v>58.03</v>
      </c>
      <c r="ED2107" s="62">
        <v>832.85998500000005</v>
      </c>
      <c r="FR2107" s="335"/>
    </row>
    <row r="2108" spans="132:174" x14ac:dyDescent="0.6">
      <c r="EB2108" s="335">
        <v>39897</v>
      </c>
      <c r="EC2108" s="62">
        <v>54.43</v>
      </c>
      <c r="ED2108" s="62">
        <v>813.88000499999998</v>
      </c>
      <c r="FR2108" s="335"/>
    </row>
    <row r="2109" spans="132:174" x14ac:dyDescent="0.6">
      <c r="EB2109" s="335">
        <v>39896</v>
      </c>
      <c r="EC2109" s="62">
        <v>53.84</v>
      </c>
      <c r="ED2109" s="62">
        <v>806.11999500000002</v>
      </c>
      <c r="FR2109" s="335"/>
    </row>
    <row r="2110" spans="132:174" x14ac:dyDescent="0.6">
      <c r="EB2110" s="335">
        <v>39895</v>
      </c>
      <c r="EC2110" s="62">
        <v>54.83</v>
      </c>
      <c r="ED2110" s="62">
        <v>822.919983</v>
      </c>
      <c r="FR2110" s="335"/>
    </row>
    <row r="2111" spans="132:174" x14ac:dyDescent="0.6">
      <c r="EB2111" s="335">
        <v>39892</v>
      </c>
      <c r="EC2111" s="62">
        <v>52.15</v>
      </c>
      <c r="ED2111" s="62">
        <v>768.53997800000002</v>
      </c>
      <c r="FR2111" s="335"/>
    </row>
    <row r="2112" spans="132:174" x14ac:dyDescent="0.6">
      <c r="EB2112" s="335">
        <v>39891</v>
      </c>
      <c r="EC2112" s="62">
        <v>53.42</v>
      </c>
      <c r="ED2112" s="62">
        <v>784.03997800000002</v>
      </c>
      <c r="FR2112" s="335"/>
    </row>
    <row r="2113" spans="132:174" x14ac:dyDescent="0.6">
      <c r="EB2113" s="335">
        <v>39890</v>
      </c>
      <c r="EC2113" s="62">
        <v>54.46</v>
      </c>
      <c r="ED2113" s="62">
        <v>794.34997599999997</v>
      </c>
      <c r="FR2113" s="335"/>
    </row>
    <row r="2114" spans="132:174" x14ac:dyDescent="0.6">
      <c r="EB2114" s="335">
        <v>39889</v>
      </c>
      <c r="EC2114" s="62">
        <v>51.29</v>
      </c>
      <c r="ED2114" s="62">
        <v>778.11999500000002</v>
      </c>
      <c r="FR2114" s="335"/>
    </row>
    <row r="2115" spans="132:174" x14ac:dyDescent="0.6">
      <c r="EB2115" s="335">
        <v>39888</v>
      </c>
      <c r="EC2115" s="62">
        <v>50.21</v>
      </c>
      <c r="ED2115" s="62">
        <v>753.89001499999995</v>
      </c>
      <c r="FR2115" s="335"/>
    </row>
    <row r="2116" spans="132:174" x14ac:dyDescent="0.6">
      <c r="EB2116" s="335">
        <v>39885</v>
      </c>
      <c r="EC2116" s="62">
        <v>51.56</v>
      </c>
      <c r="ED2116" s="62">
        <v>756.54998799999998</v>
      </c>
      <c r="FR2116" s="335"/>
    </row>
    <row r="2117" spans="132:174" x14ac:dyDescent="0.6">
      <c r="EB2117" s="335">
        <v>39884</v>
      </c>
      <c r="EC2117" s="62">
        <v>51.19</v>
      </c>
      <c r="ED2117" s="62">
        <v>750.73999000000003</v>
      </c>
      <c r="FR2117" s="335"/>
    </row>
    <row r="2118" spans="132:174" x14ac:dyDescent="0.6">
      <c r="EB2118" s="335">
        <v>39883</v>
      </c>
      <c r="EC2118" s="62">
        <v>48.89</v>
      </c>
      <c r="ED2118" s="62">
        <v>721.35998500000005</v>
      </c>
      <c r="FR2118" s="335"/>
    </row>
    <row r="2119" spans="132:174" x14ac:dyDescent="0.6">
      <c r="EB2119" s="335">
        <v>39882</v>
      </c>
      <c r="EC2119" s="62">
        <v>48.16</v>
      </c>
      <c r="ED2119" s="62">
        <v>719.59997599999997</v>
      </c>
      <c r="FR2119" s="335"/>
    </row>
    <row r="2120" spans="132:174" x14ac:dyDescent="0.6">
      <c r="EB2120" s="335">
        <v>39881</v>
      </c>
      <c r="EC2120" s="62">
        <v>45.64</v>
      </c>
      <c r="ED2120" s="62">
        <v>676.53002900000001</v>
      </c>
      <c r="FR2120" s="335"/>
    </row>
    <row r="2121" spans="132:174" x14ac:dyDescent="0.6">
      <c r="EB2121" s="335">
        <v>39878</v>
      </c>
      <c r="EC2121" s="62">
        <v>44.18</v>
      </c>
      <c r="ED2121" s="62">
        <v>683.38000499999998</v>
      </c>
      <c r="FR2121" s="335"/>
    </row>
    <row r="2122" spans="132:174" x14ac:dyDescent="0.6">
      <c r="EB2122" s="335">
        <v>39877</v>
      </c>
      <c r="EC2122" s="62">
        <v>44.08</v>
      </c>
      <c r="ED2122" s="62">
        <v>682.54998799999998</v>
      </c>
      <c r="FR2122" s="335"/>
    </row>
    <row r="2123" spans="132:174" x14ac:dyDescent="0.6">
      <c r="EB2123" s="335">
        <v>39876</v>
      </c>
      <c r="EC2123" s="62">
        <v>44</v>
      </c>
      <c r="ED2123" s="62">
        <v>712.86999500000002</v>
      </c>
      <c r="FR2123" s="335"/>
    </row>
    <row r="2124" spans="132:174" x14ac:dyDescent="0.6">
      <c r="EB2124" s="335">
        <v>39875</v>
      </c>
      <c r="EC2124" s="62">
        <v>43.33</v>
      </c>
      <c r="ED2124" s="62">
        <v>696.330017</v>
      </c>
      <c r="FR2124" s="335"/>
    </row>
    <row r="2125" spans="132:174" x14ac:dyDescent="0.6">
      <c r="EB2125" s="335">
        <v>39874</v>
      </c>
      <c r="EC2125" s="62">
        <v>43.78</v>
      </c>
      <c r="ED2125" s="62">
        <v>700.82000700000003</v>
      </c>
      <c r="FR2125" s="335"/>
    </row>
    <row r="2126" spans="132:174" x14ac:dyDescent="0.6">
      <c r="EB2126" s="335">
        <v>39871</v>
      </c>
      <c r="EC2126" s="62">
        <v>44.04</v>
      </c>
      <c r="ED2126" s="62">
        <v>735.09002699999996</v>
      </c>
      <c r="FR2126" s="335"/>
    </row>
    <row r="2127" spans="132:174" x14ac:dyDescent="0.6">
      <c r="EB2127" s="335">
        <v>39870</v>
      </c>
      <c r="EC2127" s="62">
        <v>44.6</v>
      </c>
      <c r="ED2127" s="62">
        <v>752.830017</v>
      </c>
      <c r="FR2127" s="335"/>
    </row>
    <row r="2128" spans="132:174" x14ac:dyDescent="0.6">
      <c r="EB2128" s="335">
        <v>39869</v>
      </c>
      <c r="EC2128" s="62">
        <v>45.73</v>
      </c>
      <c r="ED2128" s="62">
        <v>764.90002400000003</v>
      </c>
      <c r="FR2128" s="335"/>
    </row>
    <row r="2129" spans="132:174" x14ac:dyDescent="0.6">
      <c r="EB2129" s="335">
        <v>39868</v>
      </c>
      <c r="EC2129" s="62">
        <v>46.35</v>
      </c>
      <c r="ED2129" s="62">
        <v>773.14001499999995</v>
      </c>
      <c r="FR2129" s="335"/>
    </row>
    <row r="2130" spans="132:174" x14ac:dyDescent="0.6">
      <c r="EB2130" s="335">
        <v>39867</v>
      </c>
      <c r="EC2130" s="62">
        <v>45.67</v>
      </c>
      <c r="ED2130" s="62">
        <v>743.330017</v>
      </c>
      <c r="FR2130" s="335"/>
    </row>
    <row r="2131" spans="132:174" x14ac:dyDescent="0.6">
      <c r="EB2131" s="335">
        <v>39864</v>
      </c>
      <c r="EC2131" s="62">
        <v>46.28</v>
      </c>
      <c r="ED2131" s="62">
        <v>770.04998799999998</v>
      </c>
      <c r="FR2131" s="335"/>
    </row>
    <row r="2132" spans="132:174" x14ac:dyDescent="0.6">
      <c r="EB2132" s="335">
        <v>39863</v>
      </c>
      <c r="EC2132" s="62">
        <v>45.73</v>
      </c>
      <c r="ED2132" s="62">
        <v>778.94000200000005</v>
      </c>
      <c r="FR2132" s="335"/>
    </row>
    <row r="2133" spans="132:174" x14ac:dyDescent="0.6">
      <c r="EB2133" s="335">
        <v>39862</v>
      </c>
      <c r="EC2133" s="62">
        <v>44.69</v>
      </c>
      <c r="ED2133" s="62">
        <v>788.419983</v>
      </c>
      <c r="FR2133" s="335"/>
    </row>
    <row r="2134" spans="132:174" x14ac:dyDescent="0.6">
      <c r="EB2134" s="335">
        <v>39861</v>
      </c>
      <c r="EC2134" s="62">
        <v>46.07</v>
      </c>
      <c r="ED2134" s="62">
        <v>789.169983</v>
      </c>
      <c r="FR2134" s="335"/>
    </row>
    <row r="2135" spans="132:174" x14ac:dyDescent="0.6">
      <c r="EB2135" s="335">
        <v>39857</v>
      </c>
      <c r="EC2135" s="62">
        <v>47</v>
      </c>
      <c r="ED2135" s="62">
        <v>826.84002699999996</v>
      </c>
      <c r="FR2135" s="335"/>
    </row>
    <row r="2136" spans="132:174" x14ac:dyDescent="0.6">
      <c r="EB2136" s="335">
        <v>39856</v>
      </c>
      <c r="EC2136" s="62">
        <v>49.05</v>
      </c>
      <c r="ED2136" s="62">
        <v>835.19000200000005</v>
      </c>
      <c r="FR2136" s="335"/>
    </row>
    <row r="2137" spans="132:174" x14ac:dyDescent="0.6">
      <c r="EB2137" s="335">
        <v>39855</v>
      </c>
      <c r="EC2137" s="62">
        <v>46.43</v>
      </c>
      <c r="ED2137" s="62">
        <v>833.73999000000003</v>
      </c>
      <c r="FR2137" s="335"/>
    </row>
    <row r="2138" spans="132:174" x14ac:dyDescent="0.6">
      <c r="EB2138" s="335">
        <v>39854</v>
      </c>
      <c r="EC2138" s="62">
        <v>45.93</v>
      </c>
      <c r="ED2138" s="62">
        <v>827.15997300000004</v>
      </c>
      <c r="FR2138" s="335"/>
    </row>
    <row r="2139" spans="132:174" x14ac:dyDescent="0.6">
      <c r="EB2139" s="335">
        <v>39853</v>
      </c>
      <c r="EC2139" s="62">
        <v>47.64</v>
      </c>
      <c r="ED2139" s="62">
        <v>869.89001499999995</v>
      </c>
      <c r="FR2139" s="335"/>
    </row>
    <row r="2140" spans="132:174" x14ac:dyDescent="0.6">
      <c r="EB2140" s="335">
        <v>39850</v>
      </c>
      <c r="EC2140" s="62">
        <v>47.54</v>
      </c>
      <c r="ED2140" s="62">
        <v>868.59997599999997</v>
      </c>
      <c r="FR2140" s="335"/>
    </row>
    <row r="2141" spans="132:174" x14ac:dyDescent="0.6">
      <c r="EB2141" s="335">
        <v>39849</v>
      </c>
      <c r="EC2141" s="62">
        <v>47.31</v>
      </c>
      <c r="ED2141" s="62">
        <v>845.84997599999997</v>
      </c>
      <c r="FR2141" s="335"/>
    </row>
    <row r="2142" spans="132:174" x14ac:dyDescent="0.6">
      <c r="EB2142" s="335">
        <v>39848</v>
      </c>
      <c r="EC2142" s="62">
        <v>47.26</v>
      </c>
      <c r="ED2142" s="62">
        <v>832.22997999999995</v>
      </c>
      <c r="FR2142" s="335"/>
    </row>
    <row r="2143" spans="132:174" x14ac:dyDescent="0.6">
      <c r="EB2143" s="335">
        <v>39847</v>
      </c>
      <c r="EC2143" s="62">
        <v>47.82</v>
      </c>
      <c r="ED2143" s="62">
        <v>838.51000999999997</v>
      </c>
      <c r="FR2143" s="335"/>
    </row>
    <row r="2144" spans="132:174" x14ac:dyDescent="0.6">
      <c r="EB2144" s="335">
        <v>39846</v>
      </c>
      <c r="EC2144" s="62">
        <v>45.84</v>
      </c>
      <c r="ED2144" s="62">
        <v>825.44000200000005</v>
      </c>
      <c r="FR2144" s="335"/>
    </row>
    <row r="2145" spans="132:174" x14ac:dyDescent="0.6">
      <c r="EB2145" s="335">
        <v>39843</v>
      </c>
      <c r="EC2145" s="62">
        <v>46.98</v>
      </c>
      <c r="ED2145" s="62">
        <v>825.88000499999998</v>
      </c>
      <c r="FR2145" s="335"/>
    </row>
    <row r="2146" spans="132:174" x14ac:dyDescent="0.6">
      <c r="EB2146" s="335">
        <v>39842</v>
      </c>
      <c r="EC2146" s="62">
        <v>47.81</v>
      </c>
      <c r="ED2146" s="62">
        <v>845.14001499999995</v>
      </c>
      <c r="FR2146" s="335"/>
    </row>
    <row r="2147" spans="132:174" x14ac:dyDescent="0.6">
      <c r="EB2147" s="335">
        <v>39841</v>
      </c>
      <c r="EC2147" s="62">
        <v>49.26</v>
      </c>
      <c r="ED2147" s="62">
        <v>874.09002699999996</v>
      </c>
      <c r="FR2147" s="335"/>
    </row>
    <row r="2148" spans="132:174" x14ac:dyDescent="0.6">
      <c r="EB2148" s="335">
        <v>39840</v>
      </c>
      <c r="EC2148" s="62">
        <v>48.93</v>
      </c>
      <c r="ED2148" s="62">
        <v>845.71002199999998</v>
      </c>
      <c r="FR2148" s="335"/>
    </row>
    <row r="2149" spans="132:174" x14ac:dyDescent="0.6">
      <c r="EB2149" s="335">
        <v>39839</v>
      </c>
      <c r="EC2149" s="62">
        <v>49.78</v>
      </c>
      <c r="ED2149" s="62">
        <v>836.57000700000003</v>
      </c>
      <c r="FR2149" s="335"/>
    </row>
    <row r="2150" spans="132:174" x14ac:dyDescent="0.6">
      <c r="EB2150" s="335">
        <v>39836</v>
      </c>
      <c r="EC2150" s="62">
        <v>48.09</v>
      </c>
      <c r="ED2150" s="62">
        <v>831.95001200000002</v>
      </c>
      <c r="FR2150" s="335"/>
    </row>
    <row r="2151" spans="132:174" x14ac:dyDescent="0.6">
      <c r="EB2151" s="335">
        <v>39835</v>
      </c>
      <c r="EC2151" s="62">
        <v>47.42</v>
      </c>
      <c r="ED2151" s="62">
        <v>827.5</v>
      </c>
      <c r="FR2151" s="335"/>
    </row>
    <row r="2152" spans="132:174" x14ac:dyDescent="0.6">
      <c r="EB2152" s="335">
        <v>39834</v>
      </c>
      <c r="EC2152" s="62">
        <v>46.32</v>
      </c>
      <c r="ED2152" s="62">
        <v>840.23999000000003</v>
      </c>
      <c r="FR2152" s="335"/>
    </row>
    <row r="2153" spans="132:174" x14ac:dyDescent="0.6">
      <c r="EB2153" s="335">
        <v>39833</v>
      </c>
      <c r="EC2153" s="62">
        <v>45.21</v>
      </c>
      <c r="ED2153" s="62">
        <v>805.21997099999999</v>
      </c>
      <c r="FR2153" s="335"/>
    </row>
    <row r="2154" spans="132:174" x14ac:dyDescent="0.6">
      <c r="EB2154" s="335">
        <v>39829</v>
      </c>
      <c r="EC2154" s="62">
        <v>48.03</v>
      </c>
      <c r="ED2154" s="62">
        <v>850.11999500000002</v>
      </c>
      <c r="FR2154" s="335"/>
    </row>
    <row r="2155" spans="132:174" x14ac:dyDescent="0.6">
      <c r="EB2155" s="335">
        <v>39828</v>
      </c>
      <c r="EC2155" s="62">
        <v>46.39</v>
      </c>
      <c r="ED2155" s="62">
        <v>843.73999000000003</v>
      </c>
      <c r="FR2155" s="335"/>
    </row>
    <row r="2156" spans="132:174" x14ac:dyDescent="0.6">
      <c r="EB2156" s="335">
        <v>39827</v>
      </c>
      <c r="EC2156" s="62">
        <v>45.97</v>
      </c>
      <c r="ED2156" s="62">
        <v>842.61999500000002</v>
      </c>
      <c r="FR2156" s="335"/>
    </row>
    <row r="2157" spans="132:174" x14ac:dyDescent="0.6">
      <c r="EB2157" s="335">
        <v>39826</v>
      </c>
      <c r="EC2157" s="62">
        <v>49.63</v>
      </c>
      <c r="ED2157" s="62">
        <v>871.78997800000002</v>
      </c>
      <c r="FR2157" s="335"/>
    </row>
    <row r="2158" spans="132:174" x14ac:dyDescent="0.6">
      <c r="EB2158" s="335">
        <v>39825</v>
      </c>
      <c r="EC2158" s="62">
        <v>51.72</v>
      </c>
      <c r="ED2158" s="62">
        <v>870.26000999999997</v>
      </c>
      <c r="FR2158" s="335"/>
    </row>
    <row r="2159" spans="132:174" x14ac:dyDescent="0.6">
      <c r="EB2159" s="335">
        <v>39822</v>
      </c>
      <c r="EC2159" s="62">
        <v>51.31</v>
      </c>
      <c r="ED2159" s="62">
        <v>890.34997599999997</v>
      </c>
      <c r="FR2159" s="335"/>
    </row>
    <row r="2160" spans="132:174" x14ac:dyDescent="0.6">
      <c r="EB2160" s="335">
        <v>39821</v>
      </c>
      <c r="EC2160" s="62">
        <v>52.05</v>
      </c>
      <c r="ED2160" s="62">
        <v>909.72997999999995</v>
      </c>
      <c r="FR2160" s="335"/>
    </row>
    <row r="2161" spans="132:174" x14ac:dyDescent="0.6">
      <c r="EB2161" s="335">
        <v>39820</v>
      </c>
      <c r="EC2161" s="62">
        <v>50.79</v>
      </c>
      <c r="ED2161" s="62">
        <v>906.65002400000003</v>
      </c>
      <c r="FR2161" s="335"/>
    </row>
    <row r="2162" spans="132:174" x14ac:dyDescent="0.6">
      <c r="EB2162" s="335">
        <v>39819</v>
      </c>
      <c r="EC2162" s="62">
        <v>53.2</v>
      </c>
      <c r="ED2162" s="62">
        <v>934.70001200000002</v>
      </c>
      <c r="FR2162" s="335"/>
    </row>
    <row r="2163" spans="132:174" x14ac:dyDescent="0.6">
      <c r="EB2163" s="335">
        <v>39818</v>
      </c>
      <c r="EC2163" s="62">
        <v>53.6</v>
      </c>
      <c r="ED2163" s="62">
        <v>927.45001200000002</v>
      </c>
      <c r="FR2163" s="335"/>
    </row>
    <row r="2164" spans="132:174" x14ac:dyDescent="0.6">
      <c r="EB2164" s="335">
        <v>39815</v>
      </c>
      <c r="EC2164" s="62">
        <v>53.94</v>
      </c>
      <c r="ED2164" s="62">
        <v>931.79998799999998</v>
      </c>
      <c r="FR2164" s="335"/>
    </row>
    <row r="2165" spans="132:174" x14ac:dyDescent="0.6">
      <c r="EB2165" s="335">
        <v>39813</v>
      </c>
      <c r="EC2165" s="62">
        <v>52.24</v>
      </c>
      <c r="ED2165" s="62">
        <v>903.25</v>
      </c>
      <c r="FR2165" s="335"/>
    </row>
    <row r="2166" spans="132:174" x14ac:dyDescent="0.6">
      <c r="EB2166" s="335">
        <v>39812</v>
      </c>
      <c r="EC2166" s="62">
        <v>50.22</v>
      </c>
      <c r="ED2166" s="62">
        <v>890.64001499999995</v>
      </c>
      <c r="FR2166" s="335"/>
    </row>
    <row r="2167" spans="132:174" x14ac:dyDescent="0.6">
      <c r="EB2167" s="335">
        <v>39811</v>
      </c>
      <c r="EC2167" s="62">
        <v>49.17</v>
      </c>
      <c r="ED2167" s="62">
        <v>869.419983</v>
      </c>
      <c r="FR2167" s="335"/>
    </row>
    <row r="2168" spans="132:174" x14ac:dyDescent="0.6">
      <c r="EB2168" s="335">
        <v>39808</v>
      </c>
      <c r="EC2168" s="62">
        <v>49.76</v>
      </c>
      <c r="ED2168" s="62">
        <v>872.79998799999998</v>
      </c>
      <c r="FR2168" s="335"/>
    </row>
    <row r="2169" spans="132:174" x14ac:dyDescent="0.6">
      <c r="EB2169" s="335">
        <v>39806</v>
      </c>
      <c r="EC2169" s="62">
        <v>49.6</v>
      </c>
      <c r="ED2169" s="62">
        <v>868.15002400000003</v>
      </c>
      <c r="FR2169" s="335"/>
    </row>
    <row r="2170" spans="132:174" x14ac:dyDescent="0.6">
      <c r="EB2170" s="335">
        <v>39805</v>
      </c>
      <c r="EC2170" s="62">
        <v>50.21</v>
      </c>
      <c r="ED2170" s="62">
        <v>863.15997300000004</v>
      </c>
      <c r="FR2170" s="335"/>
    </row>
    <row r="2171" spans="132:174" x14ac:dyDescent="0.6">
      <c r="EB2171" s="335">
        <v>39804</v>
      </c>
      <c r="EC2171" s="62">
        <v>52.17</v>
      </c>
      <c r="ED2171" s="62">
        <v>871.63000499999998</v>
      </c>
      <c r="FR2171" s="335"/>
    </row>
    <row r="2172" spans="132:174" x14ac:dyDescent="0.6">
      <c r="EB2172" s="335">
        <v>39801</v>
      </c>
      <c r="EC2172" s="62">
        <v>54.66</v>
      </c>
      <c r="ED2172" s="62">
        <v>887.88000499999998</v>
      </c>
      <c r="FR2172" s="335"/>
    </row>
    <row r="2173" spans="132:174" x14ac:dyDescent="0.6">
      <c r="EB2173" s="335">
        <v>39800</v>
      </c>
      <c r="EC2173" s="62">
        <v>55.14</v>
      </c>
      <c r="ED2173" s="62">
        <v>885.28002900000001</v>
      </c>
      <c r="FR2173" s="335"/>
    </row>
    <row r="2174" spans="132:174" x14ac:dyDescent="0.6">
      <c r="EB2174" s="335">
        <v>39799</v>
      </c>
      <c r="EC2174" s="62">
        <v>55.91</v>
      </c>
      <c r="ED2174" s="62">
        <v>904.419983</v>
      </c>
      <c r="FR2174" s="335"/>
    </row>
    <row r="2175" spans="132:174" x14ac:dyDescent="0.6">
      <c r="EB2175" s="335">
        <v>39798</v>
      </c>
      <c r="EC2175" s="62">
        <v>54.67</v>
      </c>
      <c r="ED2175" s="62">
        <v>913.17999299999997</v>
      </c>
      <c r="FR2175" s="335"/>
    </row>
    <row r="2176" spans="132:174" x14ac:dyDescent="0.6">
      <c r="EB2176" s="335">
        <v>39797</v>
      </c>
      <c r="EC2176" s="62">
        <v>51.36</v>
      </c>
      <c r="ED2176" s="62">
        <v>868.57000700000003</v>
      </c>
      <c r="FR2176" s="335"/>
    </row>
    <row r="2177" spans="132:174" x14ac:dyDescent="0.6">
      <c r="EB2177" s="335">
        <v>39794</v>
      </c>
      <c r="EC2177" s="62">
        <v>50.5</v>
      </c>
      <c r="ED2177" s="62">
        <v>879.72997999999995</v>
      </c>
      <c r="FR2177" s="335"/>
    </row>
    <row r="2178" spans="132:174" x14ac:dyDescent="0.6">
      <c r="EB2178" s="335">
        <v>39793</v>
      </c>
      <c r="EC2178" s="62">
        <v>48.15</v>
      </c>
      <c r="ED2178" s="62">
        <v>873.59002699999996</v>
      </c>
      <c r="FR2178" s="335"/>
    </row>
    <row r="2179" spans="132:174" x14ac:dyDescent="0.6">
      <c r="EB2179" s="335">
        <v>39792</v>
      </c>
      <c r="EC2179" s="62">
        <v>51.5</v>
      </c>
      <c r="ED2179" s="62">
        <v>899.23999000000003</v>
      </c>
      <c r="FR2179" s="335"/>
    </row>
    <row r="2180" spans="132:174" x14ac:dyDescent="0.6">
      <c r="EB2180" s="335">
        <v>39791</v>
      </c>
      <c r="EC2180" s="62">
        <v>51.49</v>
      </c>
      <c r="ED2180" s="62">
        <v>888.669983</v>
      </c>
      <c r="FR2180" s="335"/>
    </row>
    <row r="2181" spans="132:174" x14ac:dyDescent="0.6">
      <c r="EB2181" s="335">
        <v>39790</v>
      </c>
      <c r="EC2181" s="62">
        <v>51.83</v>
      </c>
      <c r="ED2181" s="62">
        <v>909.70001200000002</v>
      </c>
      <c r="FR2181" s="335"/>
    </row>
    <row r="2182" spans="132:174" x14ac:dyDescent="0.6">
      <c r="EB2182" s="335">
        <v>39787</v>
      </c>
      <c r="EC2182" s="62">
        <v>50.68</v>
      </c>
      <c r="ED2182" s="62">
        <v>876.07000700000003</v>
      </c>
      <c r="FR2182" s="335"/>
    </row>
    <row r="2183" spans="132:174" x14ac:dyDescent="0.6">
      <c r="EB2183" s="335">
        <v>39786</v>
      </c>
      <c r="EC2183" s="62">
        <v>48.04</v>
      </c>
      <c r="ED2183" s="62">
        <v>845.21997099999999</v>
      </c>
      <c r="FR2183" s="335"/>
    </row>
    <row r="2184" spans="132:174" x14ac:dyDescent="0.6">
      <c r="EB2184" s="335">
        <v>39785</v>
      </c>
      <c r="EC2184" s="62">
        <v>45.93</v>
      </c>
      <c r="ED2184" s="62">
        <v>870.73999000000003</v>
      </c>
      <c r="FR2184" s="335"/>
    </row>
    <row r="2185" spans="132:174" x14ac:dyDescent="0.6">
      <c r="EB2185" s="335">
        <v>39784</v>
      </c>
      <c r="EC2185" s="62">
        <v>43.99</v>
      </c>
      <c r="ED2185" s="62">
        <v>848.80999799999995</v>
      </c>
      <c r="FR2185" s="335"/>
    </row>
    <row r="2186" spans="132:174" x14ac:dyDescent="0.6">
      <c r="EB2186" s="335">
        <v>39783</v>
      </c>
      <c r="EC2186" s="62">
        <v>43.84</v>
      </c>
      <c r="ED2186" s="62">
        <v>816.21002199999998</v>
      </c>
      <c r="FR2186" s="335"/>
    </row>
    <row r="2187" spans="132:174" x14ac:dyDescent="0.6">
      <c r="EB2187" s="335">
        <v>39780</v>
      </c>
      <c r="EC2187" s="62">
        <v>44.44</v>
      </c>
      <c r="ED2187" s="62">
        <v>896.23999000000003</v>
      </c>
      <c r="FR2187" s="335"/>
    </row>
    <row r="2188" spans="132:174" x14ac:dyDescent="0.6">
      <c r="EB2188" s="335">
        <v>39778</v>
      </c>
      <c r="EC2188" s="62">
        <v>43.99</v>
      </c>
      <c r="ED2188" s="62">
        <v>887.67999299999997</v>
      </c>
      <c r="FR2188" s="335"/>
    </row>
    <row r="2189" spans="132:174" x14ac:dyDescent="0.6">
      <c r="EB2189" s="335">
        <v>39777</v>
      </c>
      <c r="EC2189" s="62">
        <v>43.04</v>
      </c>
      <c r="ED2189" s="62">
        <v>857.39001499999995</v>
      </c>
      <c r="FR2189" s="335"/>
    </row>
    <row r="2190" spans="132:174" x14ac:dyDescent="0.6">
      <c r="EB2190" s="335">
        <v>39776</v>
      </c>
      <c r="EC2190" s="62">
        <v>40.25</v>
      </c>
      <c r="ED2190" s="62">
        <v>851.80999799999995</v>
      </c>
      <c r="FR2190" s="335"/>
    </row>
    <row r="2191" spans="132:174" x14ac:dyDescent="0.6">
      <c r="EB2191" s="335">
        <v>39773</v>
      </c>
      <c r="EC2191" s="62">
        <v>37.4</v>
      </c>
      <c r="ED2191" s="62">
        <v>800.03002900000001</v>
      </c>
      <c r="FR2191" s="335"/>
    </row>
    <row r="2192" spans="132:174" x14ac:dyDescent="0.6">
      <c r="EB2192" s="335">
        <v>39772</v>
      </c>
      <c r="EC2192" s="62">
        <v>36.36</v>
      </c>
      <c r="ED2192" s="62">
        <v>752.44000200000005</v>
      </c>
      <c r="FR2192" s="335"/>
    </row>
    <row r="2193" spans="132:174" x14ac:dyDescent="0.6">
      <c r="EB2193" s="335">
        <v>39771</v>
      </c>
      <c r="EC2193" s="62">
        <v>37.200000000000003</v>
      </c>
      <c r="ED2193" s="62">
        <v>806.580017</v>
      </c>
      <c r="FR2193" s="335"/>
    </row>
    <row r="2194" spans="132:174" x14ac:dyDescent="0.6">
      <c r="EB2194" s="335">
        <v>39770</v>
      </c>
      <c r="EC2194" s="62">
        <v>39.770000000000003</v>
      </c>
      <c r="ED2194" s="62">
        <v>859.11999500000002</v>
      </c>
      <c r="FR2194" s="335"/>
    </row>
    <row r="2195" spans="132:174" x14ac:dyDescent="0.6">
      <c r="EB2195" s="335">
        <v>39769</v>
      </c>
      <c r="EC2195" s="62">
        <v>38.58</v>
      </c>
      <c r="ED2195" s="62">
        <v>850.75</v>
      </c>
      <c r="FR2195" s="335"/>
    </row>
    <row r="2196" spans="132:174" x14ac:dyDescent="0.6">
      <c r="EB2196" s="335">
        <v>39766</v>
      </c>
      <c r="EC2196" s="62">
        <v>39.08</v>
      </c>
      <c r="ED2196" s="62">
        <v>873.28997800000002</v>
      </c>
      <c r="FR2196" s="335"/>
    </row>
    <row r="2197" spans="132:174" x14ac:dyDescent="0.6">
      <c r="EB2197" s="335">
        <v>39765</v>
      </c>
      <c r="EC2197" s="62">
        <v>39.72</v>
      </c>
      <c r="ED2197" s="62">
        <v>911.28997800000002</v>
      </c>
      <c r="FR2197" s="335"/>
    </row>
    <row r="2198" spans="132:174" x14ac:dyDescent="0.6">
      <c r="EB2198" s="335">
        <v>39764</v>
      </c>
      <c r="EC2198" s="62">
        <v>37.31</v>
      </c>
      <c r="ED2198" s="62">
        <v>852.29998799999998</v>
      </c>
      <c r="FR2198" s="335"/>
    </row>
    <row r="2199" spans="132:174" x14ac:dyDescent="0.6">
      <c r="EB2199" s="335">
        <v>39763</v>
      </c>
      <c r="EC2199" s="62">
        <v>39.96</v>
      </c>
      <c r="ED2199" s="62">
        <v>898.95001200000002</v>
      </c>
      <c r="FR2199" s="335"/>
    </row>
    <row r="2200" spans="132:174" x14ac:dyDescent="0.6">
      <c r="EB2200" s="335">
        <v>39762</v>
      </c>
      <c r="EC2200" s="62">
        <v>41.73</v>
      </c>
      <c r="ED2200" s="62">
        <v>919.21002199999998</v>
      </c>
      <c r="FR2200" s="335"/>
    </row>
    <row r="2201" spans="132:174" x14ac:dyDescent="0.6">
      <c r="EB2201" s="335">
        <v>39759</v>
      </c>
      <c r="EC2201" s="62">
        <v>44.41</v>
      </c>
      <c r="ED2201" s="62">
        <v>930.98999000000003</v>
      </c>
      <c r="FR2201" s="335"/>
    </row>
    <row r="2202" spans="132:174" x14ac:dyDescent="0.6">
      <c r="EB2202" s="335">
        <v>39758</v>
      </c>
      <c r="EC2202" s="62">
        <v>44.22</v>
      </c>
      <c r="ED2202" s="62">
        <v>904.88000499999998</v>
      </c>
      <c r="FR2202" s="335"/>
    </row>
    <row r="2203" spans="132:174" x14ac:dyDescent="0.6">
      <c r="EB2203" s="335">
        <v>39757</v>
      </c>
      <c r="EC2203" s="62">
        <v>44.37</v>
      </c>
      <c r="ED2203" s="62">
        <v>952.77002000000005</v>
      </c>
      <c r="FR2203" s="335"/>
    </row>
    <row r="2204" spans="132:174" x14ac:dyDescent="0.6">
      <c r="EB2204" s="335">
        <v>39756</v>
      </c>
      <c r="EC2204" s="62">
        <v>46.57</v>
      </c>
      <c r="ED2204" s="62">
        <v>1005.75</v>
      </c>
      <c r="FR2204" s="335"/>
    </row>
    <row r="2205" spans="132:174" x14ac:dyDescent="0.6">
      <c r="EB2205" s="335">
        <v>39755</v>
      </c>
      <c r="EC2205" s="62">
        <v>45.27</v>
      </c>
      <c r="ED2205" s="62">
        <v>966.29998799999998</v>
      </c>
      <c r="FR2205" s="335"/>
    </row>
    <row r="2206" spans="132:174" x14ac:dyDescent="0.6">
      <c r="EB2206" s="335">
        <v>39752</v>
      </c>
      <c r="EC2206" s="62">
        <v>45.12</v>
      </c>
      <c r="ED2206" s="62">
        <v>968.75</v>
      </c>
      <c r="FR2206" s="335"/>
    </row>
    <row r="2207" spans="132:174" x14ac:dyDescent="0.6">
      <c r="EB2207" s="335">
        <v>39751</v>
      </c>
      <c r="EC2207" s="62">
        <v>42.57</v>
      </c>
      <c r="ED2207" s="62">
        <v>954.09002699999996</v>
      </c>
      <c r="FR2207" s="335"/>
    </row>
    <row r="2208" spans="132:174" x14ac:dyDescent="0.6">
      <c r="EB2208" s="335">
        <v>39750</v>
      </c>
      <c r="EC2208" s="62">
        <v>41.11</v>
      </c>
      <c r="ED2208" s="62">
        <v>930.09002699999996</v>
      </c>
      <c r="FR2208" s="335"/>
    </row>
    <row r="2209" spans="132:174" x14ac:dyDescent="0.6">
      <c r="EB2209" s="335">
        <v>39749</v>
      </c>
      <c r="EC2209" s="62">
        <v>39.39</v>
      </c>
      <c r="ED2209" s="62">
        <v>940.51000999999997</v>
      </c>
      <c r="FR2209" s="335"/>
    </row>
    <row r="2210" spans="132:174" x14ac:dyDescent="0.6">
      <c r="EB2210" s="335">
        <v>39748</v>
      </c>
      <c r="EC2210" s="62">
        <v>36.47</v>
      </c>
      <c r="ED2210" s="62">
        <v>848.919983</v>
      </c>
      <c r="FR2210" s="335"/>
    </row>
    <row r="2211" spans="132:174" x14ac:dyDescent="0.6">
      <c r="EB2211" s="335">
        <v>39745</v>
      </c>
      <c r="EC2211" s="62">
        <v>38.049999999999997</v>
      </c>
      <c r="ED2211" s="62">
        <v>876.77002000000005</v>
      </c>
      <c r="FR2211" s="335"/>
    </row>
    <row r="2212" spans="132:174" x14ac:dyDescent="0.6">
      <c r="EB2212" s="335">
        <v>39744</v>
      </c>
      <c r="EC2212" s="62">
        <v>39</v>
      </c>
      <c r="ED2212" s="62">
        <v>908.10998500000005</v>
      </c>
      <c r="FR2212" s="335"/>
    </row>
    <row r="2213" spans="132:174" x14ac:dyDescent="0.6">
      <c r="EB2213" s="335">
        <v>39743</v>
      </c>
      <c r="EC2213" s="62">
        <v>42.11</v>
      </c>
      <c r="ED2213" s="62">
        <v>896.78002900000001</v>
      </c>
      <c r="FR2213" s="335"/>
    </row>
    <row r="2214" spans="132:174" x14ac:dyDescent="0.6">
      <c r="EB2214" s="335">
        <v>39742</v>
      </c>
      <c r="EC2214" s="62">
        <v>41.09</v>
      </c>
      <c r="ED2214" s="62">
        <v>955.04998799999998</v>
      </c>
      <c r="FR2214" s="335"/>
    </row>
    <row r="2215" spans="132:174" x14ac:dyDescent="0.6">
      <c r="EB2215" s="335">
        <v>39741</v>
      </c>
      <c r="EC2215" s="62">
        <v>41.8</v>
      </c>
      <c r="ED2215" s="62">
        <v>985.40002400000003</v>
      </c>
      <c r="FR2215" s="335"/>
    </row>
    <row r="2216" spans="132:174" x14ac:dyDescent="0.6">
      <c r="EB2216" s="335">
        <v>39738</v>
      </c>
      <c r="EC2216" s="62">
        <v>41.23</v>
      </c>
      <c r="ED2216" s="62">
        <v>940.54998799999998</v>
      </c>
      <c r="FR2216" s="335"/>
    </row>
    <row r="2217" spans="132:174" x14ac:dyDescent="0.6">
      <c r="EB2217" s="335">
        <v>39737</v>
      </c>
      <c r="EC2217" s="62">
        <v>39.24</v>
      </c>
      <c r="ED2217" s="62">
        <v>946.42999299999997</v>
      </c>
      <c r="FR2217" s="335"/>
    </row>
    <row r="2218" spans="132:174" x14ac:dyDescent="0.6">
      <c r="EB2218" s="335">
        <v>39736</v>
      </c>
      <c r="EC2218" s="62">
        <v>39.880000000000003</v>
      </c>
      <c r="ED2218" s="62">
        <v>907.84002699999996</v>
      </c>
      <c r="FR2218" s="335"/>
    </row>
    <row r="2219" spans="132:174" x14ac:dyDescent="0.6">
      <c r="EB2219" s="335">
        <v>39735</v>
      </c>
      <c r="EC2219" s="62">
        <v>42.67</v>
      </c>
      <c r="ED2219" s="62">
        <v>998.01000999999997</v>
      </c>
      <c r="FR2219" s="335"/>
    </row>
    <row r="2220" spans="132:174" x14ac:dyDescent="0.6">
      <c r="EB2220" s="335">
        <v>39734</v>
      </c>
      <c r="EC2220" s="62">
        <v>45.56</v>
      </c>
      <c r="ED2220" s="62">
        <v>1003.349976</v>
      </c>
      <c r="FR2220" s="335"/>
    </row>
    <row r="2221" spans="132:174" x14ac:dyDescent="0.6">
      <c r="EB2221" s="335">
        <v>39731</v>
      </c>
      <c r="EC2221" s="62">
        <v>39.24</v>
      </c>
      <c r="ED2221" s="62">
        <v>899.21997099999999</v>
      </c>
      <c r="FR2221" s="335"/>
    </row>
    <row r="2222" spans="132:174" x14ac:dyDescent="0.6">
      <c r="EB2222" s="335">
        <v>39730</v>
      </c>
      <c r="EC2222" s="62">
        <v>41</v>
      </c>
      <c r="ED2222" s="62">
        <v>909.919983</v>
      </c>
      <c r="FR2222" s="335"/>
    </row>
    <row r="2223" spans="132:174" x14ac:dyDescent="0.6">
      <c r="EB2223" s="335">
        <v>39729</v>
      </c>
      <c r="EC2223" s="62">
        <v>41.94</v>
      </c>
      <c r="ED2223" s="62">
        <v>984.94000200000005</v>
      </c>
      <c r="FR2223" s="335"/>
    </row>
    <row r="2224" spans="132:174" x14ac:dyDescent="0.6">
      <c r="EB2224" s="335">
        <v>39728</v>
      </c>
      <c r="EC2224" s="62">
        <v>44.1</v>
      </c>
      <c r="ED2224" s="62">
        <v>996.22997999999995</v>
      </c>
      <c r="FR2224" s="335"/>
    </row>
    <row r="2225" spans="132:174" x14ac:dyDescent="0.6">
      <c r="EB2225" s="335">
        <v>39727</v>
      </c>
      <c r="EC2225" s="62">
        <v>49.14</v>
      </c>
      <c r="ED2225" s="62">
        <v>1056.8900149999999</v>
      </c>
      <c r="FR2225" s="335"/>
    </row>
    <row r="2226" spans="132:174" x14ac:dyDescent="0.6">
      <c r="EB2226" s="335">
        <v>39724</v>
      </c>
      <c r="EC2226" s="62">
        <v>46.58</v>
      </c>
      <c r="ED2226" s="62">
        <v>1099.2299800000001</v>
      </c>
      <c r="FR2226" s="335"/>
    </row>
    <row r="2227" spans="132:174" x14ac:dyDescent="0.6">
      <c r="EB2227" s="335">
        <v>39723</v>
      </c>
      <c r="EC2227" s="62">
        <v>46.5</v>
      </c>
      <c r="ED2227" s="62">
        <v>1114.280029</v>
      </c>
      <c r="FR2227" s="335"/>
    </row>
    <row r="2228" spans="132:174" x14ac:dyDescent="0.6">
      <c r="EB2228" s="335">
        <v>39722</v>
      </c>
      <c r="EC2228" s="62">
        <v>52.05</v>
      </c>
      <c r="ED2228" s="62">
        <v>1161.0600589999999</v>
      </c>
      <c r="FR2228" s="335"/>
    </row>
    <row r="2229" spans="132:174" x14ac:dyDescent="0.6">
      <c r="EB2229" s="335">
        <v>39721</v>
      </c>
      <c r="EC2229" s="62">
        <v>50.9</v>
      </c>
      <c r="ED2229" s="62">
        <v>1166.3599850000001</v>
      </c>
      <c r="FR2229" s="335"/>
    </row>
    <row r="2230" spans="132:174" x14ac:dyDescent="0.6">
      <c r="EB2230" s="335">
        <v>39720</v>
      </c>
      <c r="EC2230" s="62">
        <v>51</v>
      </c>
      <c r="ED2230" s="62">
        <v>1106.420044</v>
      </c>
      <c r="FR2230" s="335"/>
    </row>
    <row r="2231" spans="132:174" x14ac:dyDescent="0.6">
      <c r="EB2231" s="335">
        <v>39717</v>
      </c>
      <c r="EC2231" s="62">
        <v>52.96</v>
      </c>
      <c r="ED2231" s="62">
        <v>1213.2700199999999</v>
      </c>
      <c r="FR2231" s="335"/>
    </row>
    <row r="2232" spans="132:174" x14ac:dyDescent="0.6">
      <c r="EB2232" s="335">
        <v>39716</v>
      </c>
      <c r="EC2232" s="62">
        <v>52.69</v>
      </c>
      <c r="ED2232" s="62">
        <v>1209.1800539999999</v>
      </c>
      <c r="FR2232" s="335"/>
    </row>
    <row r="2233" spans="132:174" x14ac:dyDescent="0.6">
      <c r="EB2233" s="335">
        <v>39715</v>
      </c>
      <c r="EC2233" s="62">
        <v>52.92</v>
      </c>
      <c r="ED2233" s="62">
        <v>1185.869995</v>
      </c>
      <c r="FR2233" s="335"/>
    </row>
    <row r="2234" spans="132:174" x14ac:dyDescent="0.6">
      <c r="EB2234" s="335">
        <v>39714</v>
      </c>
      <c r="EC2234" s="62">
        <v>54.1</v>
      </c>
      <c r="ED2234" s="62">
        <v>1188.219971</v>
      </c>
      <c r="FR2234" s="335"/>
    </row>
    <row r="2235" spans="132:174" x14ac:dyDescent="0.6">
      <c r="EB2235" s="335">
        <v>39713</v>
      </c>
      <c r="EC2235" s="62">
        <v>57.24</v>
      </c>
      <c r="ED2235" s="62">
        <v>1207.089966</v>
      </c>
      <c r="FR2235" s="335"/>
    </row>
    <row r="2236" spans="132:174" x14ac:dyDescent="0.6">
      <c r="EB2236" s="335">
        <v>39710</v>
      </c>
      <c r="EC2236" s="62">
        <v>56.6</v>
      </c>
      <c r="ED2236" s="62">
        <v>1255.079956</v>
      </c>
      <c r="FR2236" s="335"/>
    </row>
    <row r="2237" spans="132:174" x14ac:dyDescent="0.6">
      <c r="EB2237" s="335">
        <v>39709</v>
      </c>
      <c r="EC2237" s="62">
        <v>58.88</v>
      </c>
      <c r="ED2237" s="62">
        <v>1206.51001</v>
      </c>
      <c r="FR2237" s="335"/>
    </row>
    <row r="2238" spans="132:174" x14ac:dyDescent="0.6">
      <c r="EB2238" s="335">
        <v>39708</v>
      </c>
      <c r="EC2238" s="62">
        <v>52.1</v>
      </c>
      <c r="ED2238" s="62">
        <v>1156.3900149999999</v>
      </c>
      <c r="FR2238" s="335"/>
    </row>
    <row r="2239" spans="132:174" x14ac:dyDescent="0.6">
      <c r="EB2239" s="335">
        <v>39707</v>
      </c>
      <c r="EC2239" s="62">
        <v>51.46</v>
      </c>
      <c r="ED2239" s="62">
        <v>1213.599976</v>
      </c>
      <c r="FR2239" s="335"/>
    </row>
    <row r="2240" spans="132:174" x14ac:dyDescent="0.6">
      <c r="EB2240" s="335">
        <v>39706</v>
      </c>
      <c r="EC2240" s="62">
        <v>49</v>
      </c>
      <c r="ED2240" s="62">
        <v>1192.6999510000001</v>
      </c>
      <c r="FR2240" s="335"/>
    </row>
    <row r="2241" spans="132:174" x14ac:dyDescent="0.6">
      <c r="EB2241" s="335">
        <v>39703</v>
      </c>
      <c r="EC2241" s="62">
        <v>47.55</v>
      </c>
      <c r="ED2241" s="62">
        <v>1251.6999510000001</v>
      </c>
      <c r="FR2241" s="335"/>
    </row>
    <row r="2242" spans="132:174" x14ac:dyDescent="0.6">
      <c r="EB2242" s="335">
        <v>39702</v>
      </c>
      <c r="EC2242" s="62">
        <v>54.95</v>
      </c>
      <c r="ED2242" s="62">
        <v>1249.0500489999999</v>
      </c>
      <c r="FR2242" s="335"/>
    </row>
    <row r="2243" spans="132:174" x14ac:dyDescent="0.6">
      <c r="EB2243" s="335">
        <v>39701</v>
      </c>
      <c r="EC2243" s="62">
        <v>52.94</v>
      </c>
      <c r="ED2243" s="62">
        <v>1232.040039</v>
      </c>
      <c r="FR2243" s="335"/>
    </row>
    <row r="2244" spans="132:174" x14ac:dyDescent="0.6">
      <c r="EB2244" s="335">
        <v>39700</v>
      </c>
      <c r="EC2244" s="62">
        <v>52.86</v>
      </c>
      <c r="ED2244" s="62">
        <v>1224.51001</v>
      </c>
      <c r="FR2244" s="335"/>
    </row>
    <row r="2245" spans="132:174" x14ac:dyDescent="0.6">
      <c r="EB2245" s="335">
        <v>39699</v>
      </c>
      <c r="EC2245" s="62">
        <v>53.38</v>
      </c>
      <c r="ED2245" s="62">
        <v>1267.790039</v>
      </c>
      <c r="FR2245" s="335"/>
    </row>
    <row r="2246" spans="132:174" x14ac:dyDescent="0.6">
      <c r="EB2246" s="335">
        <v>39696</v>
      </c>
      <c r="EC2246" s="62">
        <v>52.5</v>
      </c>
      <c r="ED2246" s="62">
        <v>1242.3100589999999</v>
      </c>
      <c r="FR2246" s="335"/>
    </row>
    <row r="2247" spans="132:174" x14ac:dyDescent="0.6">
      <c r="EB2247" s="335">
        <v>39695</v>
      </c>
      <c r="EC2247" s="62">
        <v>50.86</v>
      </c>
      <c r="ED2247" s="62">
        <v>1236.829956</v>
      </c>
      <c r="FR2247" s="335"/>
    </row>
    <row r="2248" spans="132:174" x14ac:dyDescent="0.6">
      <c r="EB2248" s="335">
        <v>39694</v>
      </c>
      <c r="EC2248" s="62">
        <v>53.98</v>
      </c>
      <c r="ED2248" s="62">
        <v>1274.9799800000001</v>
      </c>
      <c r="FR2248" s="335"/>
    </row>
    <row r="2249" spans="132:174" x14ac:dyDescent="0.6">
      <c r="EB2249" s="335">
        <v>39693</v>
      </c>
      <c r="EC2249" s="62">
        <v>53.02</v>
      </c>
      <c r="ED2249" s="62">
        <v>1277.579956</v>
      </c>
      <c r="FR2249" s="335"/>
    </row>
    <row r="2250" spans="132:174" x14ac:dyDescent="0.6">
      <c r="EB2250" s="335">
        <v>39689</v>
      </c>
      <c r="EC2250" s="62">
        <v>53.74</v>
      </c>
      <c r="ED2250" s="62">
        <v>1282.829956</v>
      </c>
      <c r="FR2250" s="335"/>
    </row>
    <row r="2251" spans="132:174" x14ac:dyDescent="0.6">
      <c r="EB2251" s="335">
        <v>39688</v>
      </c>
      <c r="EC2251" s="62">
        <v>54.73</v>
      </c>
      <c r="ED2251" s="62">
        <v>1300.6800539999999</v>
      </c>
      <c r="FR2251" s="335"/>
    </row>
    <row r="2252" spans="132:174" x14ac:dyDescent="0.6">
      <c r="EB2252" s="335">
        <v>39687</v>
      </c>
      <c r="EC2252" s="62">
        <v>52.14</v>
      </c>
      <c r="ED2252" s="62">
        <v>1281.660034</v>
      </c>
      <c r="FR2252" s="335"/>
    </row>
    <row r="2253" spans="132:174" x14ac:dyDescent="0.6">
      <c r="EB2253" s="335">
        <v>39686</v>
      </c>
      <c r="EC2253" s="62">
        <v>53.35</v>
      </c>
      <c r="ED2253" s="62">
        <v>1271.51001</v>
      </c>
      <c r="FR2253" s="335"/>
    </row>
    <row r="2254" spans="132:174" x14ac:dyDescent="0.6">
      <c r="EB2254" s="335">
        <v>39685</v>
      </c>
      <c r="EC2254" s="62">
        <v>54.36</v>
      </c>
      <c r="ED2254" s="62">
        <v>1266.839966</v>
      </c>
      <c r="FR2254" s="335"/>
    </row>
    <row r="2255" spans="132:174" x14ac:dyDescent="0.6">
      <c r="EB2255" s="335">
        <v>39682</v>
      </c>
      <c r="EC2255" s="62">
        <v>54.57</v>
      </c>
      <c r="ED2255" s="62">
        <v>1292.1999510000001</v>
      </c>
      <c r="FR2255" s="335"/>
    </row>
    <row r="2256" spans="132:174" x14ac:dyDescent="0.6">
      <c r="EB2256" s="335">
        <v>39681</v>
      </c>
      <c r="EC2256" s="62">
        <v>53.08</v>
      </c>
      <c r="ED2256" s="62">
        <v>1277.719971</v>
      </c>
      <c r="FR2256" s="335"/>
    </row>
    <row r="2257" spans="132:174" x14ac:dyDescent="0.6">
      <c r="EB2257" s="335">
        <v>39680</v>
      </c>
      <c r="EC2257" s="62">
        <v>53.31</v>
      </c>
      <c r="ED2257" s="62">
        <v>1274.540039</v>
      </c>
      <c r="FR2257" s="335"/>
    </row>
    <row r="2258" spans="132:174" x14ac:dyDescent="0.6">
      <c r="EB2258" s="335">
        <v>39679</v>
      </c>
      <c r="EC2258" s="62">
        <v>53.67</v>
      </c>
      <c r="ED2258" s="62">
        <v>1266.6899410000001</v>
      </c>
      <c r="FR2258" s="335"/>
    </row>
    <row r="2259" spans="132:174" x14ac:dyDescent="0.6">
      <c r="EB2259" s="335">
        <v>39678</v>
      </c>
      <c r="EC2259" s="62">
        <v>54.55</v>
      </c>
      <c r="ED2259" s="62">
        <v>1278.599976</v>
      </c>
      <c r="FR2259" s="335"/>
    </row>
    <row r="2260" spans="132:174" x14ac:dyDescent="0.6">
      <c r="EB2260" s="335">
        <v>39675</v>
      </c>
      <c r="EC2260" s="62">
        <v>54.97</v>
      </c>
      <c r="ED2260" s="62">
        <v>1298.1999510000001</v>
      </c>
      <c r="FR2260" s="335"/>
    </row>
    <row r="2261" spans="132:174" x14ac:dyDescent="0.6">
      <c r="EB2261" s="335">
        <v>39674</v>
      </c>
      <c r="EC2261" s="62">
        <v>54.51</v>
      </c>
      <c r="ED2261" s="62">
        <v>1292.9300539999999</v>
      </c>
      <c r="FR2261" s="335"/>
    </row>
    <row r="2262" spans="132:174" x14ac:dyDescent="0.6">
      <c r="EB2262" s="335">
        <v>39673</v>
      </c>
      <c r="EC2262" s="62">
        <v>53.25</v>
      </c>
      <c r="ED2262" s="62">
        <v>1285.829956</v>
      </c>
      <c r="FR2262" s="335"/>
    </row>
    <row r="2263" spans="132:174" x14ac:dyDescent="0.6">
      <c r="EB2263" s="335">
        <v>39672</v>
      </c>
      <c r="EC2263" s="62">
        <v>54.5</v>
      </c>
      <c r="ED2263" s="62">
        <v>1289.589966</v>
      </c>
      <c r="FR2263" s="335"/>
    </row>
    <row r="2264" spans="132:174" x14ac:dyDescent="0.6">
      <c r="EB2264" s="335">
        <v>39671</v>
      </c>
      <c r="EC2264" s="62">
        <v>53.51</v>
      </c>
      <c r="ED2264" s="62">
        <v>1305.3199460000001</v>
      </c>
      <c r="FR2264" s="335"/>
    </row>
    <row r="2265" spans="132:174" x14ac:dyDescent="0.6">
      <c r="EB2265" s="335">
        <v>39668</v>
      </c>
      <c r="EC2265" s="62">
        <v>52.19</v>
      </c>
      <c r="ED2265" s="62">
        <v>1296.3199460000001</v>
      </c>
      <c r="FR2265" s="335"/>
    </row>
    <row r="2266" spans="132:174" x14ac:dyDescent="0.6">
      <c r="EB2266" s="335">
        <v>39667</v>
      </c>
      <c r="EC2266" s="62">
        <v>50.69</v>
      </c>
      <c r="ED2266" s="62">
        <v>1266.0699460000001</v>
      </c>
      <c r="FR2266" s="335"/>
    </row>
    <row r="2267" spans="132:174" x14ac:dyDescent="0.6">
      <c r="EB2267" s="335">
        <v>39666</v>
      </c>
      <c r="EC2267" s="62">
        <v>51.18</v>
      </c>
      <c r="ED2267" s="62">
        <v>1289.1899410000001</v>
      </c>
      <c r="FR2267" s="335"/>
    </row>
    <row r="2268" spans="132:174" x14ac:dyDescent="0.6">
      <c r="EB2268" s="335">
        <v>39665</v>
      </c>
      <c r="EC2268" s="62">
        <v>50.85</v>
      </c>
      <c r="ED2268" s="62">
        <v>1284.880005</v>
      </c>
      <c r="FR2268" s="335"/>
    </row>
    <row r="2269" spans="132:174" x14ac:dyDescent="0.6">
      <c r="EB2269" s="335">
        <v>39664</v>
      </c>
      <c r="EC2269" s="62">
        <v>50.91</v>
      </c>
      <c r="ED2269" s="62">
        <v>1249.01001</v>
      </c>
      <c r="FR2269" s="335"/>
    </row>
    <row r="2270" spans="132:174" x14ac:dyDescent="0.6">
      <c r="EB2270" s="335">
        <v>39661</v>
      </c>
      <c r="EC2270" s="62">
        <v>50.28</v>
      </c>
      <c r="ED2270" s="62">
        <v>1260.3100589999999</v>
      </c>
      <c r="FR2270" s="335"/>
    </row>
    <row r="2271" spans="132:174" x14ac:dyDescent="0.6">
      <c r="EB2271" s="335">
        <v>39660</v>
      </c>
      <c r="EC2271" s="62">
        <v>50.1</v>
      </c>
      <c r="ED2271" s="62">
        <v>1267.380005</v>
      </c>
      <c r="FR2271" s="335"/>
    </row>
    <row r="2272" spans="132:174" x14ac:dyDescent="0.6">
      <c r="EB2272" s="335">
        <v>39659</v>
      </c>
      <c r="EC2272" s="62">
        <v>49.16</v>
      </c>
      <c r="ED2272" s="62">
        <v>1284.26001</v>
      </c>
      <c r="FR2272" s="335"/>
    </row>
    <row r="2273" spans="132:174" x14ac:dyDescent="0.6">
      <c r="EB2273" s="335">
        <v>39658</v>
      </c>
      <c r="EC2273" s="62">
        <v>47.99</v>
      </c>
      <c r="ED2273" s="62">
        <v>1263.1999510000001</v>
      </c>
      <c r="FR2273" s="335"/>
    </row>
    <row r="2274" spans="132:174" x14ac:dyDescent="0.6">
      <c r="EB2274" s="335">
        <v>39657</v>
      </c>
      <c r="EC2274" s="62">
        <v>46.43</v>
      </c>
      <c r="ED2274" s="62">
        <v>1234.369995</v>
      </c>
      <c r="FR2274" s="335"/>
    </row>
    <row r="2275" spans="132:174" x14ac:dyDescent="0.6">
      <c r="EB2275" s="335">
        <v>39654</v>
      </c>
      <c r="EC2275" s="62">
        <v>46</v>
      </c>
      <c r="ED2275" s="62">
        <v>1257.76001</v>
      </c>
      <c r="FR2275" s="335"/>
    </row>
    <row r="2276" spans="132:174" x14ac:dyDescent="0.6">
      <c r="EB2276" s="335">
        <v>39653</v>
      </c>
      <c r="EC2276" s="62">
        <v>46.33</v>
      </c>
      <c r="ED2276" s="62">
        <v>1252.540039</v>
      </c>
      <c r="FR2276" s="335"/>
    </row>
    <row r="2277" spans="132:174" x14ac:dyDescent="0.6">
      <c r="EB2277" s="335">
        <v>39652</v>
      </c>
      <c r="EC2277" s="62">
        <v>48.74</v>
      </c>
      <c r="ED2277" s="62">
        <v>1282.1899410000001</v>
      </c>
      <c r="FR2277" s="335"/>
    </row>
    <row r="2278" spans="132:174" x14ac:dyDescent="0.6">
      <c r="EB2278" s="335">
        <v>39651</v>
      </c>
      <c r="EC2278" s="62">
        <v>51</v>
      </c>
      <c r="ED2278" s="62">
        <v>1277</v>
      </c>
      <c r="FR2278" s="335"/>
    </row>
    <row r="2279" spans="132:174" x14ac:dyDescent="0.6">
      <c r="EB2279" s="335">
        <v>39650</v>
      </c>
      <c r="EC2279" s="62">
        <v>48.51</v>
      </c>
      <c r="ED2279" s="62">
        <v>1260</v>
      </c>
      <c r="FR2279" s="335"/>
    </row>
    <row r="2280" spans="132:174" x14ac:dyDescent="0.6">
      <c r="EB2280" s="335">
        <v>39647</v>
      </c>
      <c r="EC2280" s="62">
        <v>48.04</v>
      </c>
      <c r="ED2280" s="62">
        <v>1260.6800539999999</v>
      </c>
      <c r="FR2280" s="335"/>
    </row>
    <row r="2281" spans="132:174" x14ac:dyDescent="0.6">
      <c r="EB2281" s="335">
        <v>39646</v>
      </c>
      <c r="EC2281" s="62">
        <v>48.6</v>
      </c>
      <c r="ED2281" s="62">
        <v>1260.3199460000001</v>
      </c>
      <c r="FR2281" s="335"/>
    </row>
    <row r="2282" spans="132:174" x14ac:dyDescent="0.6">
      <c r="EB2282" s="335">
        <v>39645</v>
      </c>
      <c r="EC2282" s="62">
        <v>45.68</v>
      </c>
      <c r="ED2282" s="62">
        <v>1245.3599850000001</v>
      </c>
      <c r="FR2282" s="335"/>
    </row>
    <row r="2283" spans="132:174" x14ac:dyDescent="0.6">
      <c r="EB2283" s="335">
        <v>39644</v>
      </c>
      <c r="EC2283" s="62">
        <v>43.85</v>
      </c>
      <c r="ED2283" s="62">
        <v>1214.910034</v>
      </c>
      <c r="FR2283" s="335"/>
    </row>
    <row r="2284" spans="132:174" x14ac:dyDescent="0.6">
      <c r="EB2284" s="335">
        <v>39643</v>
      </c>
      <c r="EC2284" s="62">
        <v>43.95</v>
      </c>
      <c r="ED2284" s="62">
        <v>1228.3000489999999</v>
      </c>
      <c r="FR2284" s="335"/>
    </row>
    <row r="2285" spans="132:174" x14ac:dyDescent="0.6">
      <c r="EB2285" s="335">
        <v>39640</v>
      </c>
      <c r="EC2285" s="62">
        <v>43.64</v>
      </c>
      <c r="ED2285" s="62">
        <v>1239.48999</v>
      </c>
      <c r="FR2285" s="335"/>
    </row>
    <row r="2286" spans="132:174" x14ac:dyDescent="0.6">
      <c r="EB2286" s="335">
        <v>39639</v>
      </c>
      <c r="EC2286" s="62">
        <v>45.13</v>
      </c>
      <c r="ED2286" s="62">
        <v>1253.3900149999999</v>
      </c>
      <c r="FR2286" s="335"/>
    </row>
    <row r="2287" spans="132:174" x14ac:dyDescent="0.6">
      <c r="EB2287" s="335">
        <v>39638</v>
      </c>
      <c r="EC2287" s="62">
        <v>47.03</v>
      </c>
      <c r="ED2287" s="62">
        <v>1244.6899410000001</v>
      </c>
      <c r="FR2287" s="335"/>
    </row>
    <row r="2288" spans="132:174" x14ac:dyDescent="0.6">
      <c r="EB2288" s="335">
        <v>39637</v>
      </c>
      <c r="EC2288" s="62">
        <v>48.43</v>
      </c>
      <c r="ED2288" s="62">
        <v>1273.6999510000001</v>
      </c>
      <c r="FR2288" s="335"/>
    </row>
    <row r="2289" spans="132:174" x14ac:dyDescent="0.6">
      <c r="EB2289" s="335">
        <v>39636</v>
      </c>
      <c r="EC2289" s="62">
        <v>46.21</v>
      </c>
      <c r="ED2289" s="62">
        <v>1252.3100589999999</v>
      </c>
      <c r="FR2289" s="335"/>
    </row>
    <row r="2290" spans="132:174" x14ac:dyDescent="0.6">
      <c r="EB2290" s="335">
        <v>39632</v>
      </c>
      <c r="EC2290" s="62">
        <v>46.31</v>
      </c>
      <c r="ED2290" s="62">
        <v>1262.900024</v>
      </c>
      <c r="FR2290" s="335"/>
    </row>
    <row r="2291" spans="132:174" x14ac:dyDescent="0.6">
      <c r="EB2291" s="335">
        <v>39631</v>
      </c>
      <c r="EC2291" s="62">
        <v>45.81</v>
      </c>
      <c r="ED2291" s="62">
        <v>1261.5200199999999</v>
      </c>
      <c r="FR2291" s="335"/>
    </row>
    <row r="2292" spans="132:174" x14ac:dyDescent="0.6">
      <c r="EB2292" s="335">
        <v>39630</v>
      </c>
      <c r="EC2292" s="62">
        <v>46.56</v>
      </c>
      <c r="ED2292" s="62">
        <v>1284.910034</v>
      </c>
      <c r="FR2292" s="335"/>
    </row>
    <row r="2293" spans="132:174" x14ac:dyDescent="0.6">
      <c r="EB2293" s="335">
        <v>39629</v>
      </c>
      <c r="EC2293" s="62">
        <v>46.26</v>
      </c>
      <c r="ED2293" s="62">
        <v>1280</v>
      </c>
      <c r="FR2293" s="335"/>
    </row>
    <row r="2294" spans="132:174" x14ac:dyDescent="0.6">
      <c r="EB2294" s="335">
        <v>39626</v>
      </c>
      <c r="EC2294" s="62">
        <v>46.41</v>
      </c>
      <c r="ED2294" s="62">
        <v>1278.380005</v>
      </c>
      <c r="FR2294" s="335"/>
    </row>
    <row r="2295" spans="132:174" x14ac:dyDescent="0.6">
      <c r="EB2295" s="335">
        <v>39625</v>
      </c>
      <c r="EC2295" s="62">
        <v>46.9</v>
      </c>
      <c r="ED2295" s="62">
        <v>1283.150024</v>
      </c>
      <c r="FR2295" s="335"/>
    </row>
    <row r="2296" spans="132:174" x14ac:dyDescent="0.6">
      <c r="EB2296" s="335">
        <v>39624</v>
      </c>
      <c r="EC2296" s="62">
        <v>48.04</v>
      </c>
      <c r="ED2296" s="62">
        <v>1321.969971</v>
      </c>
      <c r="FR2296" s="335"/>
    </row>
    <row r="2297" spans="132:174" x14ac:dyDescent="0.6">
      <c r="EB2297" s="335">
        <v>39623</v>
      </c>
      <c r="EC2297" s="62">
        <v>46.56</v>
      </c>
      <c r="ED2297" s="62">
        <v>1314.290039</v>
      </c>
      <c r="FR2297" s="335"/>
    </row>
    <row r="2298" spans="132:174" x14ac:dyDescent="0.6">
      <c r="EB2298" s="335">
        <v>39622</v>
      </c>
      <c r="EC2298" s="62">
        <v>46.75</v>
      </c>
      <c r="ED2298" s="62">
        <v>1318</v>
      </c>
      <c r="FR2298" s="335"/>
    </row>
    <row r="2299" spans="132:174" x14ac:dyDescent="0.6">
      <c r="EB2299" s="335">
        <v>39619</v>
      </c>
      <c r="EC2299" s="62">
        <v>47.65</v>
      </c>
      <c r="ED2299" s="62">
        <v>1317.9300539999999</v>
      </c>
      <c r="FR2299" s="335"/>
    </row>
    <row r="2300" spans="132:174" x14ac:dyDescent="0.6">
      <c r="EB2300" s="335">
        <v>39618</v>
      </c>
      <c r="EC2300" s="62">
        <v>48.25</v>
      </c>
      <c r="ED2300" s="62">
        <v>1342.829956</v>
      </c>
      <c r="FR2300" s="335"/>
    </row>
    <row r="2301" spans="132:174" x14ac:dyDescent="0.6">
      <c r="EB2301" s="335">
        <v>39617</v>
      </c>
      <c r="EC2301" s="62">
        <v>48.11</v>
      </c>
      <c r="ED2301" s="62">
        <v>1337.8100589999999</v>
      </c>
      <c r="FR2301" s="335"/>
    </row>
    <row r="2302" spans="132:174" x14ac:dyDescent="0.6">
      <c r="EB2302" s="335">
        <v>39616</v>
      </c>
      <c r="EC2302" s="62">
        <v>45.56</v>
      </c>
      <c r="ED2302" s="62">
        <v>1350.9300539999999</v>
      </c>
      <c r="FR2302" s="335"/>
    </row>
    <row r="2303" spans="132:174" x14ac:dyDescent="0.6">
      <c r="EB2303" s="335">
        <v>39615</v>
      </c>
      <c r="EC2303" s="62">
        <v>46.35</v>
      </c>
      <c r="ED2303" s="62">
        <v>1360.1400149999999</v>
      </c>
      <c r="FR2303" s="335"/>
    </row>
    <row r="2304" spans="132:174" x14ac:dyDescent="0.6">
      <c r="EB2304" s="335">
        <v>39612</v>
      </c>
      <c r="EC2304" s="62">
        <v>46.3</v>
      </c>
      <c r="ED2304" s="62">
        <v>1360.030029</v>
      </c>
      <c r="FR2304" s="335"/>
    </row>
    <row r="2305" spans="132:174" x14ac:dyDescent="0.6">
      <c r="EB2305" s="335">
        <v>39611</v>
      </c>
      <c r="EC2305" s="62">
        <v>46.89</v>
      </c>
      <c r="ED2305" s="62">
        <v>1339.869995</v>
      </c>
      <c r="FR2305" s="335"/>
    </row>
    <row r="2306" spans="132:174" x14ac:dyDescent="0.6">
      <c r="EB2306" s="335">
        <v>39610</v>
      </c>
      <c r="EC2306" s="62">
        <v>46.73</v>
      </c>
      <c r="ED2306" s="62">
        <v>1335.48999</v>
      </c>
      <c r="FR2306" s="335"/>
    </row>
    <row r="2307" spans="132:174" x14ac:dyDescent="0.6">
      <c r="EB2307" s="335">
        <v>39609</v>
      </c>
      <c r="EC2307" s="62">
        <v>49.34</v>
      </c>
      <c r="ED2307" s="62">
        <v>1358.4399410000001</v>
      </c>
      <c r="FR2307" s="335"/>
    </row>
    <row r="2308" spans="132:174" x14ac:dyDescent="0.6">
      <c r="EB2308" s="335">
        <v>39608</v>
      </c>
      <c r="EC2308" s="62">
        <v>49.31</v>
      </c>
      <c r="ED2308" s="62">
        <v>1361.76001</v>
      </c>
      <c r="FR2308" s="335"/>
    </row>
    <row r="2309" spans="132:174" x14ac:dyDescent="0.6">
      <c r="EB2309" s="335">
        <v>39605</v>
      </c>
      <c r="EC2309" s="62">
        <v>50.67</v>
      </c>
      <c r="ED2309" s="62">
        <v>1360.6800539999999</v>
      </c>
      <c r="FR2309" s="335"/>
    </row>
    <row r="2310" spans="132:174" x14ac:dyDescent="0.6">
      <c r="EB2310" s="335">
        <v>39604</v>
      </c>
      <c r="EC2310" s="62">
        <v>52.3</v>
      </c>
      <c r="ED2310" s="62">
        <v>1404.0500489999999</v>
      </c>
      <c r="FR2310" s="335"/>
    </row>
    <row r="2311" spans="132:174" x14ac:dyDescent="0.6">
      <c r="EB2311" s="335">
        <v>39603</v>
      </c>
      <c r="EC2311" s="62">
        <v>51.48</v>
      </c>
      <c r="ED2311" s="62">
        <v>1377.1999510000001</v>
      </c>
      <c r="FR2311" s="335"/>
    </row>
    <row r="2312" spans="132:174" x14ac:dyDescent="0.6">
      <c r="EB2312" s="335">
        <v>39602</v>
      </c>
      <c r="EC2312" s="62">
        <v>51.94</v>
      </c>
      <c r="ED2312" s="62">
        <v>1377.650024</v>
      </c>
      <c r="FR2312" s="335"/>
    </row>
    <row r="2313" spans="132:174" x14ac:dyDescent="0.6">
      <c r="EB2313" s="335">
        <v>39601</v>
      </c>
      <c r="EC2313" s="62">
        <v>50.56</v>
      </c>
      <c r="ED2313" s="62">
        <v>1385.670044</v>
      </c>
      <c r="FR2313" s="335"/>
    </row>
    <row r="2314" spans="132:174" x14ac:dyDescent="0.6">
      <c r="EB2314" s="335">
        <v>39598</v>
      </c>
      <c r="EC2314" s="62">
        <v>51.94</v>
      </c>
      <c r="ED2314" s="62">
        <v>1400.380005</v>
      </c>
      <c r="FR2314" s="335"/>
    </row>
    <row r="2315" spans="132:174" x14ac:dyDescent="0.6">
      <c r="EB2315" s="335">
        <v>39597</v>
      </c>
      <c r="EC2315" s="62">
        <v>51.8</v>
      </c>
      <c r="ED2315" s="62">
        <v>1398.26001</v>
      </c>
      <c r="FR2315" s="335"/>
    </row>
    <row r="2316" spans="132:174" x14ac:dyDescent="0.6">
      <c r="EB2316" s="335">
        <v>39596</v>
      </c>
      <c r="EC2316" s="62">
        <v>51</v>
      </c>
      <c r="ED2316" s="62">
        <v>1390.839966</v>
      </c>
      <c r="FR2316" s="335"/>
    </row>
    <row r="2317" spans="132:174" x14ac:dyDescent="0.6">
      <c r="EB2317" s="335">
        <v>39595</v>
      </c>
      <c r="EC2317" s="62">
        <v>48.91</v>
      </c>
      <c r="ED2317" s="62">
        <v>1385.349976</v>
      </c>
      <c r="FR2317" s="335"/>
    </row>
    <row r="2318" spans="132:174" x14ac:dyDescent="0.6">
      <c r="EB2318" s="335">
        <v>39591</v>
      </c>
      <c r="EC2318" s="62">
        <v>48.67</v>
      </c>
      <c r="ED2318" s="62">
        <v>1375.9300539999999</v>
      </c>
      <c r="FR2318" s="335"/>
    </row>
    <row r="2319" spans="132:174" x14ac:dyDescent="0.6">
      <c r="EB2319" s="335">
        <v>39590</v>
      </c>
      <c r="EC2319" s="62">
        <v>47.44</v>
      </c>
      <c r="ED2319" s="62">
        <v>1394.349976</v>
      </c>
      <c r="FR2319" s="335"/>
    </row>
    <row r="2320" spans="132:174" x14ac:dyDescent="0.6">
      <c r="EB2320" s="335">
        <v>39589</v>
      </c>
      <c r="EC2320" s="62">
        <v>48.02</v>
      </c>
      <c r="ED2320" s="62">
        <v>1390.709961</v>
      </c>
      <c r="FR2320" s="335"/>
    </row>
    <row r="2321" spans="132:174" x14ac:dyDescent="0.6">
      <c r="EB2321" s="335">
        <v>39588</v>
      </c>
      <c r="EC2321" s="62">
        <v>51.18</v>
      </c>
      <c r="ED2321" s="62">
        <v>1413.400024</v>
      </c>
      <c r="FR2321" s="335"/>
    </row>
    <row r="2322" spans="132:174" x14ac:dyDescent="0.6">
      <c r="EB2322" s="335">
        <v>39587</v>
      </c>
      <c r="EC2322" s="62">
        <v>51.93</v>
      </c>
      <c r="ED2322" s="62">
        <v>1426.630005</v>
      </c>
      <c r="FR2322" s="335"/>
    </row>
    <row r="2323" spans="132:174" x14ac:dyDescent="0.6">
      <c r="EB2323" s="335">
        <v>39584</v>
      </c>
      <c r="EC2323" s="62">
        <v>51.73</v>
      </c>
      <c r="ED2323" s="62">
        <v>1425.349976</v>
      </c>
      <c r="FR2323" s="335"/>
    </row>
    <row r="2324" spans="132:174" x14ac:dyDescent="0.6">
      <c r="EB2324" s="335">
        <v>39583</v>
      </c>
      <c r="EC2324" s="62">
        <v>51.83</v>
      </c>
      <c r="ED2324" s="62">
        <v>1423.5699460000001</v>
      </c>
      <c r="FR2324" s="335"/>
    </row>
    <row r="2325" spans="132:174" x14ac:dyDescent="0.6">
      <c r="EB2325" s="335">
        <v>39582</v>
      </c>
      <c r="EC2325" s="62">
        <v>51.49</v>
      </c>
      <c r="ED2325" s="62">
        <v>1408.660034</v>
      </c>
      <c r="FR2325" s="335"/>
    </row>
    <row r="2326" spans="132:174" x14ac:dyDescent="0.6">
      <c r="EB2326" s="335">
        <v>39581</v>
      </c>
      <c r="EC2326" s="62">
        <v>52.07</v>
      </c>
      <c r="ED2326" s="62">
        <v>1403.040039</v>
      </c>
      <c r="FR2326" s="335"/>
    </row>
    <row r="2327" spans="132:174" x14ac:dyDescent="0.6">
      <c r="EB2327" s="335">
        <v>39580</v>
      </c>
      <c r="EC2327" s="62">
        <v>51.85</v>
      </c>
      <c r="ED2327" s="62">
        <v>1403.579956</v>
      </c>
      <c r="FR2327" s="335"/>
    </row>
    <row r="2328" spans="132:174" x14ac:dyDescent="0.6">
      <c r="EB2328" s="335">
        <v>39577</v>
      </c>
      <c r="EC2328" s="62">
        <v>50.45</v>
      </c>
      <c r="ED2328" s="62">
        <v>1388.280029</v>
      </c>
      <c r="FR2328" s="335"/>
    </row>
    <row r="2329" spans="132:174" x14ac:dyDescent="0.6">
      <c r="EB2329" s="335">
        <v>39576</v>
      </c>
      <c r="EC2329" s="62">
        <v>51.48</v>
      </c>
      <c r="ED2329" s="62">
        <v>1397.6800539999999</v>
      </c>
      <c r="FR2329" s="335"/>
    </row>
    <row r="2330" spans="132:174" x14ac:dyDescent="0.6">
      <c r="EB2330" s="335">
        <v>39575</v>
      </c>
      <c r="EC2330" s="62">
        <v>50.26</v>
      </c>
      <c r="ED2330" s="62">
        <v>1392.5699460000001</v>
      </c>
      <c r="FR2330" s="335"/>
    </row>
    <row r="2331" spans="132:174" x14ac:dyDescent="0.6">
      <c r="EB2331" s="335">
        <v>39574</v>
      </c>
      <c r="EC2331" s="62">
        <v>51.39</v>
      </c>
      <c r="ED2331" s="62">
        <v>1418.26001</v>
      </c>
      <c r="FR2331" s="335"/>
    </row>
    <row r="2332" spans="132:174" x14ac:dyDescent="0.6">
      <c r="EB2332" s="335">
        <v>39573</v>
      </c>
      <c r="EC2332" s="62">
        <v>51.78</v>
      </c>
      <c r="ED2332" s="62">
        <v>1407.48999</v>
      </c>
      <c r="FR2332" s="335"/>
    </row>
    <row r="2333" spans="132:174" x14ac:dyDescent="0.6">
      <c r="EB2333" s="335">
        <v>39570</v>
      </c>
      <c r="EC2333" s="62">
        <v>51.76</v>
      </c>
      <c r="ED2333" s="62">
        <v>1413.900024</v>
      </c>
      <c r="FR2333" s="335"/>
    </row>
    <row r="2334" spans="132:174" x14ac:dyDescent="0.6">
      <c r="EB2334" s="335">
        <v>39569</v>
      </c>
      <c r="EC2334" s="62">
        <v>51.7</v>
      </c>
      <c r="ED2334" s="62">
        <v>1409.339966</v>
      </c>
      <c r="FR2334" s="335"/>
    </row>
    <row r="2335" spans="132:174" x14ac:dyDescent="0.6">
      <c r="EB2335" s="335">
        <v>39568</v>
      </c>
      <c r="EC2335" s="62">
        <v>52.26</v>
      </c>
      <c r="ED2335" s="62">
        <v>1385.589966</v>
      </c>
      <c r="FR2335" s="335"/>
    </row>
    <row r="2336" spans="132:174" x14ac:dyDescent="0.6">
      <c r="EB2336" s="335">
        <v>39567</v>
      </c>
      <c r="EC2336" s="62">
        <v>45.42</v>
      </c>
      <c r="ED2336" s="62">
        <v>1390.9399410000001</v>
      </c>
      <c r="FR2336" s="335"/>
    </row>
    <row r="2337" spans="132:174" x14ac:dyDescent="0.6">
      <c r="EB2337" s="335">
        <v>39566</v>
      </c>
      <c r="EC2337" s="62">
        <v>45.62</v>
      </c>
      <c r="ED2337" s="62">
        <v>1396.369995</v>
      </c>
      <c r="FR2337" s="335"/>
    </row>
    <row r="2338" spans="132:174" x14ac:dyDescent="0.6">
      <c r="EB2338" s="335">
        <v>39563</v>
      </c>
      <c r="EC2338" s="62">
        <v>46.27</v>
      </c>
      <c r="ED2338" s="62">
        <v>1397.839966</v>
      </c>
      <c r="FR2338" s="335"/>
    </row>
    <row r="2339" spans="132:174" x14ac:dyDescent="0.6">
      <c r="EB2339" s="335">
        <v>39562</v>
      </c>
      <c r="EC2339" s="62">
        <v>46.3</v>
      </c>
      <c r="ED2339" s="62">
        <v>1388.8199460000001</v>
      </c>
      <c r="FR2339" s="335"/>
    </row>
    <row r="2340" spans="132:174" x14ac:dyDescent="0.6">
      <c r="EB2340" s="335">
        <v>39561</v>
      </c>
      <c r="EC2340" s="62">
        <v>45.98</v>
      </c>
      <c r="ED2340" s="62">
        <v>1379.9300539999999</v>
      </c>
      <c r="FR2340" s="335"/>
    </row>
    <row r="2341" spans="132:174" x14ac:dyDescent="0.6">
      <c r="EB2341" s="335">
        <v>39560</v>
      </c>
      <c r="EC2341" s="62">
        <v>44.23</v>
      </c>
      <c r="ED2341" s="62">
        <v>1375.9399410000001</v>
      </c>
      <c r="FR2341" s="335"/>
    </row>
    <row r="2342" spans="132:174" x14ac:dyDescent="0.6">
      <c r="EB2342" s="335">
        <v>39559</v>
      </c>
      <c r="EC2342" s="62">
        <v>43.71</v>
      </c>
      <c r="ED2342" s="62">
        <v>1388.170044</v>
      </c>
      <c r="FR2342" s="335"/>
    </row>
    <row r="2343" spans="132:174" x14ac:dyDescent="0.6">
      <c r="EB2343" s="335">
        <v>39556</v>
      </c>
      <c r="EC2343" s="62">
        <v>43.43</v>
      </c>
      <c r="ED2343" s="62">
        <v>1390.329956</v>
      </c>
      <c r="FR2343" s="335"/>
    </row>
    <row r="2344" spans="132:174" x14ac:dyDescent="0.6">
      <c r="EB2344" s="335">
        <v>39555</v>
      </c>
      <c r="EC2344" s="62">
        <v>42.1</v>
      </c>
      <c r="ED2344" s="62">
        <v>1365.5600589999999</v>
      </c>
      <c r="FR2344" s="335"/>
    </row>
    <row r="2345" spans="132:174" x14ac:dyDescent="0.6">
      <c r="EB2345" s="335">
        <v>39554</v>
      </c>
      <c r="EC2345" s="62">
        <v>42.7</v>
      </c>
      <c r="ED2345" s="62">
        <v>1364.709961</v>
      </c>
      <c r="FR2345" s="335"/>
    </row>
    <row r="2346" spans="132:174" x14ac:dyDescent="0.6">
      <c r="EB2346" s="335">
        <v>39553</v>
      </c>
      <c r="EC2346" s="62">
        <v>41.95</v>
      </c>
      <c r="ED2346" s="62">
        <v>1334.4300539999999</v>
      </c>
      <c r="FR2346" s="335"/>
    </row>
    <row r="2347" spans="132:174" x14ac:dyDescent="0.6">
      <c r="EB2347" s="335">
        <v>39552</v>
      </c>
      <c r="EC2347" s="62">
        <v>41.4</v>
      </c>
      <c r="ED2347" s="62">
        <v>1328.3199460000001</v>
      </c>
      <c r="FR2347" s="335"/>
    </row>
    <row r="2348" spans="132:174" x14ac:dyDescent="0.6">
      <c r="EB2348" s="335">
        <v>39549</v>
      </c>
      <c r="EC2348" s="62">
        <v>41.02</v>
      </c>
      <c r="ED2348" s="62">
        <v>1332.829956</v>
      </c>
      <c r="FR2348" s="335"/>
    </row>
    <row r="2349" spans="132:174" x14ac:dyDescent="0.6">
      <c r="EB2349" s="335">
        <v>39548</v>
      </c>
      <c r="EC2349" s="62">
        <v>41.89</v>
      </c>
      <c r="ED2349" s="62">
        <v>1360.5500489999999</v>
      </c>
      <c r="FR2349" s="335"/>
    </row>
    <row r="2350" spans="132:174" x14ac:dyDescent="0.6">
      <c r="EB2350" s="335">
        <v>39547</v>
      </c>
      <c r="EC2350" s="62">
        <v>42.43</v>
      </c>
      <c r="ED2350" s="62">
        <v>1354.48999</v>
      </c>
      <c r="FR2350" s="335"/>
    </row>
    <row r="2351" spans="132:174" x14ac:dyDescent="0.6">
      <c r="EB2351" s="335">
        <v>39546</v>
      </c>
      <c r="EC2351" s="62">
        <v>43.83</v>
      </c>
      <c r="ED2351" s="62">
        <v>1365.540039</v>
      </c>
      <c r="FR2351" s="335"/>
    </row>
    <row r="2352" spans="132:174" x14ac:dyDescent="0.6">
      <c r="EB2352" s="335">
        <v>39545</v>
      </c>
      <c r="EC2352" s="62">
        <v>42.22</v>
      </c>
      <c r="ED2352" s="62">
        <v>1372.540039</v>
      </c>
      <c r="FR2352" s="335"/>
    </row>
    <row r="2353" spans="132:174" x14ac:dyDescent="0.6">
      <c r="EB2353" s="335">
        <v>39542</v>
      </c>
      <c r="EC2353" s="62">
        <v>44</v>
      </c>
      <c r="ED2353" s="62">
        <v>1370.400024</v>
      </c>
      <c r="FR2353" s="335"/>
    </row>
    <row r="2354" spans="132:174" x14ac:dyDescent="0.6">
      <c r="EB2354" s="335">
        <v>39541</v>
      </c>
      <c r="EC2354" s="62">
        <v>44.89</v>
      </c>
      <c r="ED2354" s="62">
        <v>1369.3100589999999</v>
      </c>
      <c r="FR2354" s="335"/>
    </row>
    <row r="2355" spans="132:174" x14ac:dyDescent="0.6">
      <c r="EB2355" s="335">
        <v>39540</v>
      </c>
      <c r="EC2355" s="62">
        <v>43.62</v>
      </c>
      <c r="ED2355" s="62">
        <v>1367.530029</v>
      </c>
      <c r="FR2355" s="335"/>
    </row>
    <row r="2356" spans="132:174" x14ac:dyDescent="0.6">
      <c r="EB2356" s="335">
        <v>39539</v>
      </c>
      <c r="EC2356" s="62">
        <v>44</v>
      </c>
      <c r="ED2356" s="62">
        <v>1370.1800539999999</v>
      </c>
      <c r="FR2356" s="335"/>
    </row>
    <row r="2357" spans="132:174" x14ac:dyDescent="0.6">
      <c r="EB2357" s="335">
        <v>39538</v>
      </c>
      <c r="EC2357" s="62">
        <v>41.89</v>
      </c>
      <c r="ED2357" s="62">
        <v>1322.6999510000001</v>
      </c>
      <c r="FR2357" s="335"/>
    </row>
    <row r="2358" spans="132:174" x14ac:dyDescent="0.6">
      <c r="EB2358" s="335">
        <v>39535</v>
      </c>
      <c r="EC2358" s="62">
        <v>42.5</v>
      </c>
      <c r="ED2358" s="62">
        <v>1315.219971</v>
      </c>
      <c r="FR2358" s="335"/>
    </row>
    <row r="2359" spans="132:174" x14ac:dyDescent="0.6">
      <c r="EB2359" s="335">
        <v>39534</v>
      </c>
      <c r="EC2359" s="62">
        <v>42.95</v>
      </c>
      <c r="ED2359" s="62">
        <v>1325.76001</v>
      </c>
      <c r="FR2359" s="335"/>
    </row>
    <row r="2360" spans="132:174" x14ac:dyDescent="0.6">
      <c r="EB2360" s="335">
        <v>39533</v>
      </c>
      <c r="EC2360" s="62">
        <v>44.23</v>
      </c>
      <c r="ED2360" s="62">
        <v>1341.130005</v>
      </c>
      <c r="FR2360" s="335"/>
    </row>
    <row r="2361" spans="132:174" x14ac:dyDescent="0.6">
      <c r="EB2361" s="335">
        <v>39532</v>
      </c>
      <c r="EC2361" s="62">
        <v>44.2</v>
      </c>
      <c r="ED2361" s="62">
        <v>1352.98999</v>
      </c>
      <c r="FR2361" s="335"/>
    </row>
    <row r="2362" spans="132:174" x14ac:dyDescent="0.6">
      <c r="EB2362" s="335">
        <v>39531</v>
      </c>
      <c r="EC2362" s="62">
        <v>43.85</v>
      </c>
      <c r="ED2362" s="62">
        <v>1349.880005</v>
      </c>
      <c r="FR2362" s="335"/>
    </row>
    <row r="2363" spans="132:174" x14ac:dyDescent="0.6">
      <c r="EB2363" s="335">
        <v>39527</v>
      </c>
      <c r="EC2363" s="62">
        <v>41.98</v>
      </c>
      <c r="ED2363" s="62">
        <v>1329.51001</v>
      </c>
      <c r="FR2363" s="335"/>
    </row>
    <row r="2364" spans="132:174" x14ac:dyDescent="0.6">
      <c r="EB2364" s="335">
        <v>39526</v>
      </c>
      <c r="EC2364" s="62">
        <v>42.73</v>
      </c>
      <c r="ED2364" s="62">
        <v>1298.420044</v>
      </c>
      <c r="FR2364" s="335"/>
    </row>
    <row r="2365" spans="132:174" x14ac:dyDescent="0.6">
      <c r="EB2365" s="335">
        <v>39525</v>
      </c>
      <c r="EC2365" s="62">
        <v>43.27</v>
      </c>
      <c r="ED2365" s="62">
        <v>1330.73999</v>
      </c>
      <c r="FR2365" s="335"/>
    </row>
    <row r="2366" spans="132:174" x14ac:dyDescent="0.6">
      <c r="EB2366" s="335">
        <v>39524</v>
      </c>
      <c r="EC2366" s="62">
        <v>40.51</v>
      </c>
      <c r="ED2366" s="62">
        <v>1276.599976</v>
      </c>
      <c r="FR2366" s="335"/>
    </row>
    <row r="2367" spans="132:174" x14ac:dyDescent="0.6">
      <c r="EB2367" s="335">
        <v>39521</v>
      </c>
      <c r="EC2367" s="62">
        <v>40.35</v>
      </c>
      <c r="ED2367" s="62">
        <v>1288.1400149999999</v>
      </c>
      <c r="FR2367" s="335"/>
    </row>
    <row r="2368" spans="132:174" x14ac:dyDescent="0.6">
      <c r="EB2368" s="335">
        <v>39520</v>
      </c>
      <c r="EC2368" s="62">
        <v>39.54</v>
      </c>
      <c r="ED2368" s="62">
        <v>1315.4799800000001</v>
      </c>
      <c r="FR2368" s="335"/>
    </row>
    <row r="2369" spans="132:174" x14ac:dyDescent="0.6">
      <c r="EB2369" s="335">
        <v>39519</v>
      </c>
      <c r="EC2369" s="62">
        <v>37.729999999999997</v>
      </c>
      <c r="ED2369" s="62">
        <v>1308.7700199999999</v>
      </c>
      <c r="FR2369" s="335"/>
    </row>
    <row r="2370" spans="132:174" x14ac:dyDescent="0.6">
      <c r="EB2370" s="335">
        <v>39518</v>
      </c>
      <c r="EC2370" s="62">
        <v>37.270000000000003</v>
      </c>
      <c r="ED2370" s="62">
        <v>1320.650024</v>
      </c>
      <c r="FR2370" s="335"/>
    </row>
    <row r="2371" spans="132:174" x14ac:dyDescent="0.6">
      <c r="EB2371" s="335">
        <v>39517</v>
      </c>
      <c r="EC2371" s="62">
        <v>35.4</v>
      </c>
      <c r="ED2371" s="62">
        <v>1273.369995</v>
      </c>
      <c r="FR2371" s="335"/>
    </row>
    <row r="2372" spans="132:174" x14ac:dyDescent="0.6">
      <c r="EB2372" s="335">
        <v>39514</v>
      </c>
      <c r="EC2372" s="62">
        <v>35.79</v>
      </c>
      <c r="ED2372" s="62">
        <v>1293.369995</v>
      </c>
      <c r="FR2372" s="335"/>
    </row>
    <row r="2373" spans="132:174" x14ac:dyDescent="0.6">
      <c r="EB2373" s="335">
        <v>39513</v>
      </c>
      <c r="EC2373" s="62">
        <v>36.04</v>
      </c>
      <c r="ED2373" s="62">
        <v>1304.339966</v>
      </c>
      <c r="FR2373" s="335"/>
    </row>
    <row r="2374" spans="132:174" x14ac:dyDescent="0.6">
      <c r="EB2374" s="335">
        <v>39512</v>
      </c>
      <c r="EC2374" s="62">
        <v>37.64</v>
      </c>
      <c r="ED2374" s="62">
        <v>1333.6999510000001</v>
      </c>
      <c r="FR2374" s="335"/>
    </row>
    <row r="2375" spans="132:174" x14ac:dyDescent="0.6">
      <c r="EB2375" s="335">
        <v>39511</v>
      </c>
      <c r="EC2375" s="62">
        <v>36.85</v>
      </c>
      <c r="ED2375" s="62">
        <v>1326.75</v>
      </c>
      <c r="FR2375" s="335"/>
    </row>
    <row r="2376" spans="132:174" x14ac:dyDescent="0.6">
      <c r="EB2376" s="335">
        <v>39510</v>
      </c>
      <c r="EC2376" s="62">
        <v>36.1</v>
      </c>
      <c r="ED2376" s="62">
        <v>1331.339966</v>
      </c>
      <c r="FR2376" s="335"/>
    </row>
    <row r="2377" spans="132:174" x14ac:dyDescent="0.6">
      <c r="EB2377" s="335">
        <v>39507</v>
      </c>
      <c r="EC2377" s="62">
        <v>37.369999999999997</v>
      </c>
      <c r="ED2377" s="62">
        <v>1330.630005</v>
      </c>
      <c r="FR2377" s="335"/>
    </row>
    <row r="2378" spans="132:174" x14ac:dyDescent="0.6">
      <c r="EB2378" s="335">
        <v>39506</v>
      </c>
      <c r="EC2378" s="62">
        <v>36.83</v>
      </c>
      <c r="ED2378" s="62">
        <v>1367.6800539999999</v>
      </c>
      <c r="FR2378" s="335"/>
    </row>
    <row r="2379" spans="132:174" x14ac:dyDescent="0.6">
      <c r="EB2379" s="335">
        <v>39505</v>
      </c>
      <c r="EC2379" s="62">
        <v>38.130000000000003</v>
      </c>
      <c r="ED2379" s="62">
        <v>1380.0200199999999</v>
      </c>
      <c r="FR2379" s="335"/>
    </row>
    <row r="2380" spans="132:174" x14ac:dyDescent="0.6">
      <c r="EB2380" s="335">
        <v>39504</v>
      </c>
      <c r="EC2380" s="62">
        <v>39.090000000000003</v>
      </c>
      <c r="ED2380" s="62">
        <v>1381.290039</v>
      </c>
      <c r="FR2380" s="335"/>
    </row>
    <row r="2381" spans="132:174" x14ac:dyDescent="0.6">
      <c r="EB2381" s="335">
        <v>39503</v>
      </c>
      <c r="EC2381" s="62">
        <v>37.64</v>
      </c>
      <c r="ED2381" s="62">
        <v>1371.8000489999999</v>
      </c>
      <c r="FR2381" s="335"/>
    </row>
    <row r="2382" spans="132:174" x14ac:dyDescent="0.6">
      <c r="EB2382" s="335">
        <v>39500</v>
      </c>
      <c r="EC2382" s="62">
        <v>38.25</v>
      </c>
      <c r="ED2382" s="62">
        <v>1353.1099850000001</v>
      </c>
      <c r="FR2382" s="335"/>
    </row>
    <row r="2383" spans="132:174" x14ac:dyDescent="0.6">
      <c r="EB2383" s="335">
        <v>39499</v>
      </c>
      <c r="EC2383" s="62">
        <v>38.83</v>
      </c>
      <c r="ED2383" s="62">
        <v>1342.530029</v>
      </c>
      <c r="FR2383" s="335"/>
    </row>
    <row r="2384" spans="132:174" x14ac:dyDescent="0.6">
      <c r="EB2384" s="335">
        <v>39498</v>
      </c>
      <c r="EC2384" s="62">
        <v>38.54</v>
      </c>
      <c r="ED2384" s="62">
        <v>1360.030029</v>
      </c>
      <c r="FR2384" s="335"/>
    </row>
    <row r="2385" spans="132:174" x14ac:dyDescent="0.6">
      <c r="EB2385" s="335">
        <v>39497</v>
      </c>
      <c r="EC2385" s="62">
        <v>38.28</v>
      </c>
      <c r="ED2385" s="62">
        <v>1348.780029</v>
      </c>
      <c r="FR2385" s="335"/>
    </row>
    <row r="2386" spans="132:174" x14ac:dyDescent="0.6">
      <c r="EB2386" s="335">
        <v>39493</v>
      </c>
      <c r="EC2386" s="62">
        <v>38.31</v>
      </c>
      <c r="ED2386" s="62">
        <v>1349.98999</v>
      </c>
      <c r="FR2386" s="335"/>
    </row>
    <row r="2387" spans="132:174" x14ac:dyDescent="0.6">
      <c r="EB2387" s="335">
        <v>39492</v>
      </c>
      <c r="EC2387" s="62">
        <v>37.79</v>
      </c>
      <c r="ED2387" s="62">
        <v>1348.8599850000001</v>
      </c>
      <c r="FR2387" s="335"/>
    </row>
    <row r="2388" spans="132:174" x14ac:dyDescent="0.6">
      <c r="EB2388" s="335">
        <v>39491</v>
      </c>
      <c r="EC2388" s="62">
        <v>38.729999999999997</v>
      </c>
      <c r="ED2388" s="62">
        <v>1367.209961</v>
      </c>
      <c r="FR2388" s="335"/>
    </row>
    <row r="2389" spans="132:174" x14ac:dyDescent="0.6">
      <c r="EB2389" s="335">
        <v>39490</v>
      </c>
      <c r="EC2389" s="62">
        <v>35.909999999999997</v>
      </c>
      <c r="ED2389" s="62">
        <v>1348.8599850000001</v>
      </c>
      <c r="FR2389" s="335"/>
    </row>
    <row r="2390" spans="132:174" x14ac:dyDescent="0.6">
      <c r="EB2390" s="335">
        <v>39489</v>
      </c>
      <c r="EC2390" s="62">
        <v>34.92</v>
      </c>
      <c r="ED2390" s="62">
        <v>1339.130005</v>
      </c>
      <c r="FR2390" s="335"/>
    </row>
    <row r="2391" spans="132:174" x14ac:dyDescent="0.6">
      <c r="EB2391" s="335">
        <v>39486</v>
      </c>
      <c r="EC2391" s="62">
        <v>34.33</v>
      </c>
      <c r="ED2391" s="62">
        <v>1331.290039</v>
      </c>
      <c r="FR2391" s="335"/>
    </row>
    <row r="2392" spans="132:174" x14ac:dyDescent="0.6">
      <c r="EB2392" s="335">
        <v>39485</v>
      </c>
      <c r="EC2392" s="62">
        <v>35.42</v>
      </c>
      <c r="ED2392" s="62">
        <v>1336.910034</v>
      </c>
      <c r="FR2392" s="335"/>
    </row>
    <row r="2393" spans="132:174" x14ac:dyDescent="0.6">
      <c r="EB2393" s="335">
        <v>39484</v>
      </c>
      <c r="EC2393" s="62">
        <v>36.950000000000003</v>
      </c>
      <c r="ED2393" s="62">
        <v>1326.4499510000001</v>
      </c>
      <c r="FR2393" s="335"/>
    </row>
    <row r="2394" spans="132:174" x14ac:dyDescent="0.6">
      <c r="EB2394" s="335">
        <v>39483</v>
      </c>
      <c r="EC2394" s="62">
        <v>37.86</v>
      </c>
      <c r="ED2394" s="62">
        <v>1336.6400149999999</v>
      </c>
      <c r="FR2394" s="335"/>
    </row>
    <row r="2395" spans="132:174" x14ac:dyDescent="0.6">
      <c r="EB2395" s="335">
        <v>39482</v>
      </c>
      <c r="EC2395" s="62">
        <v>38.51</v>
      </c>
      <c r="ED2395" s="62">
        <v>1380.8199460000001</v>
      </c>
      <c r="FR2395" s="335"/>
    </row>
    <row r="2396" spans="132:174" x14ac:dyDescent="0.6">
      <c r="EB2396" s="335">
        <v>39479</v>
      </c>
      <c r="EC2396" s="62">
        <v>38.049999999999997</v>
      </c>
      <c r="ED2396" s="62">
        <v>1395.420044</v>
      </c>
      <c r="FR2396" s="335"/>
    </row>
    <row r="2397" spans="132:174" x14ac:dyDescent="0.6">
      <c r="EB2397" s="335">
        <v>39478</v>
      </c>
      <c r="EC2397" s="62">
        <v>37.78</v>
      </c>
      <c r="ED2397" s="62">
        <v>1378.5500489999999</v>
      </c>
      <c r="FR2397" s="335"/>
    </row>
    <row r="2398" spans="132:174" x14ac:dyDescent="0.6">
      <c r="EB2398" s="335">
        <v>39477</v>
      </c>
      <c r="EC2398" s="62">
        <v>35.46</v>
      </c>
      <c r="ED2398" s="62">
        <v>1355.8100589999999</v>
      </c>
      <c r="FR2398" s="335"/>
    </row>
    <row r="2399" spans="132:174" x14ac:dyDescent="0.6">
      <c r="EB2399" s="335">
        <v>39476</v>
      </c>
      <c r="EC2399" s="62">
        <v>35.79</v>
      </c>
      <c r="ED2399" s="62">
        <v>1362.3000489999999</v>
      </c>
      <c r="FR2399" s="335"/>
    </row>
    <row r="2400" spans="132:174" x14ac:dyDescent="0.6">
      <c r="EB2400" s="335">
        <v>39475</v>
      </c>
      <c r="EC2400" s="62">
        <v>36.200000000000003</v>
      </c>
      <c r="ED2400" s="62">
        <v>1353.959961</v>
      </c>
      <c r="FR2400" s="335"/>
    </row>
    <row r="2401" spans="132:174" x14ac:dyDescent="0.6">
      <c r="EB2401" s="335">
        <v>39472</v>
      </c>
      <c r="EC2401" s="62">
        <v>36.74</v>
      </c>
      <c r="ED2401" s="62">
        <v>1330.6099850000001</v>
      </c>
      <c r="FR2401" s="335"/>
    </row>
    <row r="2402" spans="132:174" x14ac:dyDescent="0.6">
      <c r="EB2402" s="335">
        <v>39471</v>
      </c>
      <c r="EC2402" s="62">
        <v>37.32</v>
      </c>
      <c r="ED2402" s="62">
        <v>1352.0699460000001</v>
      </c>
      <c r="FR2402" s="335"/>
    </row>
    <row r="2403" spans="132:174" x14ac:dyDescent="0.6">
      <c r="EB2403" s="335">
        <v>39470</v>
      </c>
      <c r="EC2403" s="62">
        <v>37.155000000000001</v>
      </c>
      <c r="ED2403" s="62">
        <v>1338.599976</v>
      </c>
      <c r="FR2403" s="335"/>
    </row>
    <row r="2404" spans="132:174" x14ac:dyDescent="0.6">
      <c r="EB2404" s="335">
        <v>39469</v>
      </c>
      <c r="EC2404" s="62">
        <v>34.01</v>
      </c>
      <c r="ED2404" s="62">
        <v>1310.5</v>
      </c>
      <c r="FR2404" s="335"/>
    </row>
    <row r="2405" spans="132:174" x14ac:dyDescent="0.6">
      <c r="EB2405" s="335">
        <v>39465</v>
      </c>
      <c r="EC2405" s="62">
        <v>33.96</v>
      </c>
      <c r="ED2405" s="62">
        <v>1325.1899410000001</v>
      </c>
      <c r="FR2405" s="335"/>
    </row>
    <row r="2406" spans="132:174" x14ac:dyDescent="0.6">
      <c r="EB2406" s="335">
        <v>39464</v>
      </c>
      <c r="EC2406" s="62">
        <v>33.51</v>
      </c>
      <c r="ED2406" s="62">
        <v>1333.25</v>
      </c>
      <c r="FR2406" s="335"/>
    </row>
    <row r="2407" spans="132:174" x14ac:dyDescent="0.6">
      <c r="EB2407" s="335">
        <v>39463</v>
      </c>
      <c r="EC2407" s="62">
        <v>33.83</v>
      </c>
      <c r="ED2407" s="62">
        <v>1373.1999510000001</v>
      </c>
      <c r="FR2407" s="335"/>
    </row>
    <row r="2408" spans="132:174" x14ac:dyDescent="0.6">
      <c r="EB2408" s="335">
        <v>39462</v>
      </c>
      <c r="EC2408" s="62">
        <v>32.380000000000003</v>
      </c>
      <c r="ED2408" s="62">
        <v>1380.9499510000001</v>
      </c>
      <c r="FR2408" s="335"/>
    </row>
    <row r="2409" spans="132:174" x14ac:dyDescent="0.6">
      <c r="EB2409" s="335">
        <v>39461</v>
      </c>
      <c r="EC2409" s="62">
        <v>33.229999999999997</v>
      </c>
      <c r="ED2409" s="62">
        <v>1416.25</v>
      </c>
      <c r="FR2409" s="335"/>
    </row>
    <row r="2410" spans="132:174" x14ac:dyDescent="0.6">
      <c r="EB2410" s="335">
        <v>39458</v>
      </c>
      <c r="EC2410" s="62">
        <v>33.64</v>
      </c>
      <c r="ED2410" s="62">
        <v>1401.0200199999999</v>
      </c>
      <c r="FR2410" s="335"/>
    </row>
    <row r="2411" spans="132:174" x14ac:dyDescent="0.6">
      <c r="EB2411" s="335">
        <v>39457</v>
      </c>
      <c r="EC2411" s="62">
        <v>33.19</v>
      </c>
      <c r="ED2411" s="62">
        <v>1420.329956</v>
      </c>
      <c r="FR2411" s="335"/>
    </row>
    <row r="2412" spans="132:174" x14ac:dyDescent="0.6">
      <c r="EB2412" s="335">
        <v>39456</v>
      </c>
      <c r="EC2412" s="62">
        <v>33.15</v>
      </c>
      <c r="ED2412" s="62">
        <v>1409.130005</v>
      </c>
      <c r="FR2412" s="335"/>
    </row>
    <row r="2413" spans="132:174" x14ac:dyDescent="0.6">
      <c r="EB2413" s="335">
        <v>39455</v>
      </c>
      <c r="EC2413" s="62">
        <v>31.64</v>
      </c>
      <c r="ED2413" s="62">
        <v>1390.1899410000001</v>
      </c>
      <c r="FR2413" s="335"/>
    </row>
    <row r="2414" spans="132:174" x14ac:dyDescent="0.6">
      <c r="EB2414" s="335">
        <v>39454</v>
      </c>
      <c r="EC2414" s="62">
        <v>31.9</v>
      </c>
      <c r="ED2414" s="62">
        <v>1416.1800539999999</v>
      </c>
      <c r="FR2414" s="335"/>
    </row>
    <row r="2415" spans="132:174" x14ac:dyDescent="0.6">
      <c r="EB2415" s="335">
        <v>39451</v>
      </c>
      <c r="EC2415" s="62">
        <v>31.96</v>
      </c>
      <c r="ED2415" s="62">
        <v>1411.630005</v>
      </c>
      <c r="FR2415" s="335"/>
    </row>
    <row r="2416" spans="132:174" x14ac:dyDescent="0.6">
      <c r="EB2416" s="335">
        <v>39450</v>
      </c>
      <c r="EC2416" s="62">
        <v>31.52</v>
      </c>
      <c r="ED2416" s="62">
        <v>1447.160034</v>
      </c>
      <c r="FR2416" s="335"/>
    </row>
    <row r="2417" spans="132:174" x14ac:dyDescent="0.6">
      <c r="EB2417" s="335">
        <v>39449</v>
      </c>
      <c r="EC2417" s="62">
        <v>34.78</v>
      </c>
      <c r="ED2417" s="62">
        <v>1447.160034</v>
      </c>
      <c r="FR2417" s="335"/>
    </row>
    <row r="2418" spans="132:174" x14ac:dyDescent="0.6">
      <c r="EB2418" s="335">
        <v>39447</v>
      </c>
      <c r="EC2418" s="62">
        <v>35.82</v>
      </c>
      <c r="ED2418" s="62">
        <v>1468.3599850000001</v>
      </c>
      <c r="FR2418" s="335"/>
    </row>
    <row r="2419" spans="132:174" x14ac:dyDescent="0.6">
      <c r="EB2419" s="335">
        <v>39444</v>
      </c>
      <c r="EC2419" s="62">
        <v>36.24</v>
      </c>
      <c r="ED2419" s="62">
        <v>1478.48999</v>
      </c>
      <c r="FR2419" s="335"/>
    </row>
    <row r="2420" spans="132:174" x14ac:dyDescent="0.6">
      <c r="EB2420" s="335">
        <v>39443</v>
      </c>
      <c r="EC2420" s="62">
        <v>36.130000000000003</v>
      </c>
      <c r="ED2420" s="62">
        <v>1476.2700199999999</v>
      </c>
      <c r="FR2420" s="335"/>
    </row>
    <row r="2421" spans="132:174" x14ac:dyDescent="0.6">
      <c r="EB2421" s="335">
        <v>39442</v>
      </c>
      <c r="EC2421" s="62">
        <v>36.57</v>
      </c>
      <c r="ED2421" s="62">
        <v>1497.660034</v>
      </c>
      <c r="FR2421" s="335"/>
    </row>
    <row r="2422" spans="132:174" x14ac:dyDescent="0.6">
      <c r="EB2422" s="335">
        <v>39440</v>
      </c>
      <c r="EC2422" s="62">
        <v>36.369999999999997</v>
      </c>
      <c r="ED2422" s="62">
        <v>1496.4499510000001</v>
      </c>
      <c r="FR2422" s="335"/>
    </row>
    <row r="2423" spans="132:174" x14ac:dyDescent="0.6">
      <c r="EB2423" s="335">
        <v>39437</v>
      </c>
      <c r="EC2423" s="62">
        <v>35.06</v>
      </c>
      <c r="ED2423" s="62">
        <v>1484.459961</v>
      </c>
      <c r="FR2423" s="335"/>
    </row>
    <row r="2424" spans="132:174" x14ac:dyDescent="0.6">
      <c r="EB2424" s="335">
        <v>39436</v>
      </c>
      <c r="EC2424" s="62">
        <v>35.33</v>
      </c>
      <c r="ED2424" s="62">
        <v>1460.119995</v>
      </c>
      <c r="FR2424" s="335"/>
    </row>
    <row r="2425" spans="132:174" x14ac:dyDescent="0.6">
      <c r="EB2425" s="335">
        <v>39435</v>
      </c>
      <c r="EC2425" s="62">
        <v>35.47</v>
      </c>
      <c r="ED2425" s="62">
        <v>1453</v>
      </c>
      <c r="FR2425" s="335"/>
    </row>
    <row r="2426" spans="132:174" x14ac:dyDescent="0.6">
      <c r="EB2426" s="335">
        <v>39434</v>
      </c>
      <c r="EC2426" s="62">
        <v>36.909999999999997</v>
      </c>
      <c r="ED2426" s="62">
        <v>1454.9799800000001</v>
      </c>
      <c r="FR2426" s="335"/>
    </row>
    <row r="2427" spans="132:174" x14ac:dyDescent="0.6">
      <c r="EB2427" s="335">
        <v>39433</v>
      </c>
      <c r="EC2427" s="62">
        <v>36.1</v>
      </c>
      <c r="ED2427" s="62">
        <v>1445.900024</v>
      </c>
      <c r="FR2427" s="335"/>
    </row>
    <row r="2428" spans="132:174" x14ac:dyDescent="0.6">
      <c r="EB2428" s="335">
        <v>39430</v>
      </c>
      <c r="EC2428" s="62">
        <v>36.43</v>
      </c>
      <c r="ED2428" s="62">
        <v>1467.9499510000001</v>
      </c>
      <c r="FR2428" s="335"/>
    </row>
    <row r="2429" spans="132:174" x14ac:dyDescent="0.6">
      <c r="EB2429" s="335">
        <v>39429</v>
      </c>
      <c r="EC2429" s="62">
        <v>37.75</v>
      </c>
      <c r="ED2429" s="62">
        <v>1488.410034</v>
      </c>
      <c r="FR2429" s="335"/>
    </row>
    <row r="2430" spans="132:174" x14ac:dyDescent="0.6">
      <c r="EB2430" s="335">
        <v>39428</v>
      </c>
      <c r="EC2430" s="62">
        <v>38.64</v>
      </c>
      <c r="ED2430" s="62">
        <v>1486.589966</v>
      </c>
      <c r="FR2430" s="335"/>
    </row>
    <row r="2431" spans="132:174" x14ac:dyDescent="0.6">
      <c r="EB2431" s="335">
        <v>39427</v>
      </c>
      <c r="EC2431" s="62">
        <v>39.79</v>
      </c>
      <c r="ED2431" s="62">
        <v>1477.650024</v>
      </c>
      <c r="FR2431" s="335"/>
    </row>
    <row r="2432" spans="132:174" x14ac:dyDescent="0.6">
      <c r="EB2432" s="335">
        <v>39426</v>
      </c>
      <c r="EC2432" s="62">
        <v>41.09</v>
      </c>
      <c r="ED2432" s="62">
        <v>1515.959961</v>
      </c>
      <c r="FR2432" s="335"/>
    </row>
    <row r="2433" spans="132:174" x14ac:dyDescent="0.6">
      <c r="EB2433" s="335">
        <v>39423</v>
      </c>
      <c r="EC2433" s="62">
        <v>40.94</v>
      </c>
      <c r="ED2433" s="62">
        <v>1504.660034</v>
      </c>
      <c r="FR2433" s="335"/>
    </row>
    <row r="2434" spans="132:174" x14ac:dyDescent="0.6">
      <c r="EB2434" s="335">
        <v>39422</v>
      </c>
      <c r="EC2434" s="62">
        <v>40.200000000000003</v>
      </c>
      <c r="ED2434" s="62">
        <v>1507.339966</v>
      </c>
      <c r="FR2434" s="335"/>
    </row>
    <row r="2435" spans="132:174" x14ac:dyDescent="0.6">
      <c r="EB2435" s="335">
        <v>39421</v>
      </c>
      <c r="EC2435" s="62">
        <v>37.83</v>
      </c>
      <c r="ED2435" s="62">
        <v>1485.01001</v>
      </c>
      <c r="FR2435" s="335"/>
    </row>
    <row r="2436" spans="132:174" x14ac:dyDescent="0.6">
      <c r="EB2436" s="335">
        <v>39420</v>
      </c>
      <c r="EC2436" s="62">
        <v>38.92</v>
      </c>
      <c r="ED2436" s="62">
        <v>1462.790039</v>
      </c>
      <c r="FR2436" s="335"/>
    </row>
    <row r="2437" spans="132:174" x14ac:dyDescent="0.6">
      <c r="EB2437" s="335">
        <v>39419</v>
      </c>
      <c r="EC2437" s="62">
        <v>38.92</v>
      </c>
      <c r="ED2437" s="62">
        <v>1472.420044</v>
      </c>
      <c r="FR2437" s="335"/>
    </row>
    <row r="2438" spans="132:174" x14ac:dyDescent="0.6">
      <c r="EB2438" s="335">
        <v>39416</v>
      </c>
      <c r="EC2438" s="62">
        <v>40.07</v>
      </c>
      <c r="ED2438" s="62">
        <v>1481.1400149999999</v>
      </c>
      <c r="FR2438" s="335"/>
    </row>
    <row r="2439" spans="132:174" x14ac:dyDescent="0.6">
      <c r="EB2439" s="335">
        <v>39415</v>
      </c>
      <c r="EC2439" s="62">
        <v>39.47</v>
      </c>
      <c r="ED2439" s="62">
        <v>1469.719971</v>
      </c>
      <c r="FR2439" s="335"/>
    </row>
    <row r="2440" spans="132:174" x14ac:dyDescent="0.6">
      <c r="EB2440" s="335">
        <v>39414</v>
      </c>
      <c r="EC2440" s="62">
        <v>38.01</v>
      </c>
      <c r="ED2440" s="62">
        <v>1469.0200199999999</v>
      </c>
      <c r="FR2440" s="335"/>
    </row>
    <row r="2441" spans="132:174" x14ac:dyDescent="0.6">
      <c r="EB2441" s="335">
        <v>39413</v>
      </c>
      <c r="EC2441" s="62">
        <v>35.51</v>
      </c>
      <c r="ED2441" s="62">
        <v>1428.2299800000001</v>
      </c>
      <c r="FR2441" s="335"/>
    </row>
    <row r="2442" spans="132:174" x14ac:dyDescent="0.6">
      <c r="EB2442" s="335">
        <v>39412</v>
      </c>
      <c r="EC2442" s="62">
        <v>35.29</v>
      </c>
      <c r="ED2442" s="62">
        <v>1407.219971</v>
      </c>
      <c r="FR2442" s="335"/>
    </row>
    <row r="2443" spans="132:174" x14ac:dyDescent="0.6">
      <c r="EB2443" s="335">
        <v>39409</v>
      </c>
      <c r="EC2443" s="62">
        <v>35.090000000000003</v>
      </c>
      <c r="ED2443" s="62">
        <v>1440.6999510000001</v>
      </c>
      <c r="FR2443" s="335"/>
    </row>
    <row r="2444" spans="132:174" x14ac:dyDescent="0.6">
      <c r="EB2444" s="335">
        <v>39407</v>
      </c>
      <c r="EC2444" s="62">
        <v>34.270000000000003</v>
      </c>
      <c r="ED2444" s="62">
        <v>1416.7700199999999</v>
      </c>
      <c r="FR2444" s="335"/>
    </row>
    <row r="2445" spans="132:174" x14ac:dyDescent="0.6">
      <c r="EB2445" s="335">
        <v>39406</v>
      </c>
      <c r="EC2445" s="62">
        <v>34.64</v>
      </c>
      <c r="ED2445" s="62">
        <v>1439.6999510000001</v>
      </c>
      <c r="FR2445" s="335"/>
    </row>
    <row r="2446" spans="132:174" x14ac:dyDescent="0.6">
      <c r="EB2446" s="335">
        <v>39405</v>
      </c>
      <c r="EC2446" s="62">
        <v>35.909999999999997</v>
      </c>
      <c r="ED2446" s="62">
        <v>1433.2700199999999</v>
      </c>
      <c r="FR2446" s="335"/>
    </row>
    <row r="2447" spans="132:174" x14ac:dyDescent="0.6">
      <c r="EB2447" s="335">
        <v>39402</v>
      </c>
      <c r="EC2447" s="62">
        <v>37.01</v>
      </c>
      <c r="ED2447" s="62">
        <v>1458.73999</v>
      </c>
      <c r="FR2447" s="335"/>
    </row>
    <row r="2448" spans="132:174" x14ac:dyDescent="0.6">
      <c r="EB2448" s="335">
        <v>39401</v>
      </c>
      <c r="EC2448" s="62">
        <v>37.11</v>
      </c>
      <c r="ED2448" s="62">
        <v>1451.150024</v>
      </c>
      <c r="FR2448" s="335"/>
    </row>
    <row r="2449" spans="132:174" x14ac:dyDescent="0.6">
      <c r="EB2449" s="335">
        <v>39400</v>
      </c>
      <c r="EC2449" s="62">
        <v>37.14</v>
      </c>
      <c r="ED2449" s="62">
        <v>1470.579956</v>
      </c>
      <c r="FR2449" s="335"/>
    </row>
    <row r="2450" spans="132:174" x14ac:dyDescent="0.6">
      <c r="EB2450" s="335">
        <v>39399</v>
      </c>
      <c r="EC2450" s="62">
        <v>37.85</v>
      </c>
      <c r="ED2450" s="62">
        <v>1481.0500489999999</v>
      </c>
      <c r="FR2450" s="335"/>
    </row>
    <row r="2451" spans="132:174" x14ac:dyDescent="0.6">
      <c r="EB2451" s="335">
        <v>39398</v>
      </c>
      <c r="EC2451" s="62">
        <v>36.96</v>
      </c>
      <c r="ED2451" s="62">
        <v>1439.1800539999999</v>
      </c>
      <c r="FR2451" s="335"/>
    </row>
    <row r="2452" spans="132:174" x14ac:dyDescent="0.6">
      <c r="EB2452" s="335">
        <v>39395</v>
      </c>
      <c r="EC2452" s="62">
        <v>36.619999999999997</v>
      </c>
      <c r="ED2452" s="62">
        <v>1453.6999510000001</v>
      </c>
      <c r="FR2452" s="335"/>
    </row>
    <row r="2453" spans="132:174" x14ac:dyDescent="0.6">
      <c r="EB2453" s="335">
        <v>39394</v>
      </c>
      <c r="EC2453" s="62">
        <v>37.479900000000001</v>
      </c>
      <c r="ED2453" s="62">
        <v>1474.7700199999999</v>
      </c>
      <c r="FR2453" s="335"/>
    </row>
    <row r="2454" spans="132:174" x14ac:dyDescent="0.6">
      <c r="EB2454" s="335">
        <v>39393</v>
      </c>
      <c r="EC2454" s="62">
        <v>37.19</v>
      </c>
      <c r="ED2454" s="62">
        <v>1475.619995</v>
      </c>
      <c r="FR2454" s="335"/>
    </row>
    <row r="2455" spans="132:174" x14ac:dyDescent="0.6">
      <c r="EB2455" s="335">
        <v>39392</v>
      </c>
      <c r="EC2455" s="62">
        <v>37.25</v>
      </c>
      <c r="ED2455" s="62">
        <v>1520.2700199999999</v>
      </c>
      <c r="FR2455" s="335"/>
    </row>
    <row r="2456" spans="132:174" x14ac:dyDescent="0.6">
      <c r="EB2456" s="335">
        <v>39391</v>
      </c>
      <c r="EC2456" s="62">
        <v>37.89</v>
      </c>
      <c r="ED2456" s="62">
        <v>1502.170044</v>
      </c>
      <c r="FR2456" s="335"/>
    </row>
    <row r="2457" spans="132:174" x14ac:dyDescent="0.6">
      <c r="EB2457" s="335">
        <v>39388</v>
      </c>
      <c r="EC2457" s="62">
        <v>38.21</v>
      </c>
      <c r="ED2457" s="62">
        <v>1509.650024</v>
      </c>
      <c r="FR2457" s="335"/>
    </row>
    <row r="2458" spans="132:174" x14ac:dyDescent="0.6">
      <c r="EB2458" s="335">
        <v>39387</v>
      </c>
      <c r="EC2458" s="62">
        <v>39.28</v>
      </c>
      <c r="ED2458" s="62">
        <v>1508.4399410000001</v>
      </c>
      <c r="FR2458" s="335"/>
    </row>
    <row r="2459" spans="132:174" x14ac:dyDescent="0.6">
      <c r="EB2459" s="335">
        <v>39386</v>
      </c>
      <c r="EC2459" s="62">
        <v>40.99</v>
      </c>
      <c r="ED2459" s="62">
        <v>1549.380005</v>
      </c>
      <c r="FR2459" s="335"/>
    </row>
    <row r="2460" spans="132:174" x14ac:dyDescent="0.6">
      <c r="EB2460" s="335">
        <v>39385</v>
      </c>
      <c r="EC2460" s="62">
        <v>40.729999999999997</v>
      </c>
      <c r="ED2460" s="62">
        <v>1531.0200199999999</v>
      </c>
      <c r="FR2460" s="335"/>
    </row>
    <row r="2461" spans="132:174" x14ac:dyDescent="0.6">
      <c r="EB2461" s="335">
        <v>39384</v>
      </c>
      <c r="EC2461" s="62">
        <v>41.01</v>
      </c>
      <c r="ED2461" s="62">
        <v>1540.9799800000001</v>
      </c>
      <c r="FR2461" s="335"/>
    </row>
    <row r="2462" spans="132:174" x14ac:dyDescent="0.6">
      <c r="EB2462" s="335">
        <v>39381</v>
      </c>
      <c r="EC2462" s="62">
        <v>41.05</v>
      </c>
      <c r="ED2462" s="62">
        <v>1535.280029</v>
      </c>
      <c r="FR2462" s="335"/>
    </row>
    <row r="2463" spans="132:174" x14ac:dyDescent="0.6">
      <c r="EB2463" s="335">
        <v>39380</v>
      </c>
      <c r="EC2463" s="62">
        <v>41.66</v>
      </c>
      <c r="ED2463" s="62">
        <v>1514.400024</v>
      </c>
      <c r="FR2463" s="335"/>
    </row>
    <row r="2464" spans="132:174" x14ac:dyDescent="0.6">
      <c r="EB2464" s="335">
        <v>39379</v>
      </c>
      <c r="EC2464" s="62">
        <v>43.61</v>
      </c>
      <c r="ED2464" s="62">
        <v>1515.880005</v>
      </c>
      <c r="FR2464" s="335"/>
    </row>
    <row r="2465" spans="132:174" x14ac:dyDescent="0.6">
      <c r="EB2465" s="335">
        <v>39378</v>
      </c>
      <c r="EC2465" s="62">
        <v>48.81</v>
      </c>
      <c r="ED2465" s="62">
        <v>1519.589966</v>
      </c>
      <c r="FR2465" s="335"/>
    </row>
    <row r="2466" spans="132:174" x14ac:dyDescent="0.6">
      <c r="EB2466" s="335">
        <v>39377</v>
      </c>
      <c r="EC2466" s="62">
        <v>47.2</v>
      </c>
      <c r="ED2466" s="62">
        <v>1506.329956</v>
      </c>
      <c r="FR2466" s="335"/>
    </row>
    <row r="2467" spans="132:174" x14ac:dyDescent="0.6">
      <c r="EB2467" s="335">
        <v>39374</v>
      </c>
      <c r="EC2467" s="62">
        <v>46.85</v>
      </c>
      <c r="ED2467" s="62">
        <v>1500.630005</v>
      </c>
      <c r="FR2467" s="335"/>
    </row>
    <row r="2468" spans="132:174" x14ac:dyDescent="0.6">
      <c r="EB2468" s="335">
        <v>39373</v>
      </c>
      <c r="EC2468" s="62">
        <v>47.82</v>
      </c>
      <c r="ED2468" s="62">
        <v>1540.079956</v>
      </c>
      <c r="FR2468" s="335"/>
    </row>
    <row r="2469" spans="132:174" x14ac:dyDescent="0.6">
      <c r="EB2469" s="335">
        <v>39372</v>
      </c>
      <c r="EC2469" s="62">
        <v>48.57</v>
      </c>
      <c r="ED2469" s="62">
        <v>1541.23999</v>
      </c>
      <c r="FR2469" s="335"/>
    </row>
    <row r="2470" spans="132:174" x14ac:dyDescent="0.6">
      <c r="EB2470" s="335">
        <v>39371</v>
      </c>
      <c r="EC2470" s="62">
        <v>48.12</v>
      </c>
      <c r="ED2470" s="62">
        <v>1538.530029</v>
      </c>
      <c r="FR2470" s="335"/>
    </row>
    <row r="2471" spans="132:174" x14ac:dyDescent="0.6">
      <c r="EB2471" s="335">
        <v>39370</v>
      </c>
      <c r="EC2471" s="62">
        <v>47.57</v>
      </c>
      <c r="ED2471" s="62">
        <v>1548.709961</v>
      </c>
      <c r="FR2471" s="335"/>
    </row>
    <row r="2472" spans="132:174" x14ac:dyDescent="0.6">
      <c r="EB2472" s="335">
        <v>39367</v>
      </c>
      <c r="EC2472" s="62">
        <v>47.77</v>
      </c>
      <c r="ED2472" s="62">
        <v>1561.8000489999999</v>
      </c>
      <c r="FR2472" s="335"/>
    </row>
    <row r="2473" spans="132:174" x14ac:dyDescent="0.6">
      <c r="EB2473" s="335">
        <v>39366</v>
      </c>
      <c r="EC2473" s="62">
        <v>48.66</v>
      </c>
      <c r="ED2473" s="62">
        <v>1554.410034</v>
      </c>
      <c r="FR2473" s="335"/>
    </row>
    <row r="2474" spans="132:174" x14ac:dyDescent="0.6">
      <c r="EB2474" s="335">
        <v>39365</v>
      </c>
      <c r="EC2474" s="62">
        <v>48.95</v>
      </c>
      <c r="ED2474" s="62">
        <v>1562.469971</v>
      </c>
      <c r="FR2474" s="335"/>
    </row>
    <row r="2475" spans="132:174" x14ac:dyDescent="0.6">
      <c r="EB2475" s="335">
        <v>39364</v>
      </c>
      <c r="EC2475" s="62">
        <v>48.19</v>
      </c>
      <c r="ED2475" s="62">
        <v>1565.150024</v>
      </c>
      <c r="FR2475" s="335"/>
    </row>
    <row r="2476" spans="132:174" x14ac:dyDescent="0.6">
      <c r="EB2476" s="335">
        <v>39363</v>
      </c>
      <c r="EC2476" s="62">
        <v>47.62</v>
      </c>
      <c r="ED2476" s="62">
        <v>1552.579956</v>
      </c>
      <c r="FR2476" s="335"/>
    </row>
    <row r="2477" spans="132:174" x14ac:dyDescent="0.6">
      <c r="EB2477" s="335">
        <v>39360</v>
      </c>
      <c r="EC2477" s="62">
        <v>48.11</v>
      </c>
      <c r="ED2477" s="62">
        <v>1557.589966</v>
      </c>
      <c r="FR2477" s="335"/>
    </row>
    <row r="2478" spans="132:174" x14ac:dyDescent="0.6">
      <c r="EB2478" s="335">
        <v>39359</v>
      </c>
      <c r="EC2478" s="62">
        <v>47.27</v>
      </c>
      <c r="ED2478" s="62">
        <v>1542.839966</v>
      </c>
      <c r="FR2478" s="335"/>
    </row>
    <row r="2479" spans="132:174" x14ac:dyDescent="0.6">
      <c r="EB2479" s="335">
        <v>39358</v>
      </c>
      <c r="EC2479" s="62">
        <v>46.57</v>
      </c>
      <c r="ED2479" s="62">
        <v>1539.589966</v>
      </c>
      <c r="FR2479" s="335"/>
    </row>
    <row r="2480" spans="132:174" x14ac:dyDescent="0.6">
      <c r="EB2480" s="335">
        <v>39357</v>
      </c>
      <c r="EC2480" s="62">
        <v>43.12</v>
      </c>
      <c r="ED2480" s="62">
        <v>1546.630005</v>
      </c>
      <c r="FR2480" s="335"/>
    </row>
    <row r="2481" spans="132:174" x14ac:dyDescent="0.6">
      <c r="EB2481" s="335">
        <v>39356</v>
      </c>
      <c r="EC2481" s="62">
        <v>42.19</v>
      </c>
      <c r="ED2481" s="62">
        <v>1547.040039</v>
      </c>
      <c r="FR2481" s="335"/>
    </row>
    <row r="2482" spans="132:174" x14ac:dyDescent="0.6">
      <c r="EB2482" s="335">
        <v>39353</v>
      </c>
      <c r="EC2482" s="62">
        <v>40.799999999999997</v>
      </c>
      <c r="ED2482" s="62">
        <v>1526.75</v>
      </c>
      <c r="FR2482" s="335"/>
    </row>
    <row r="2483" spans="132:174" x14ac:dyDescent="0.6">
      <c r="EB2483" s="335">
        <v>39352</v>
      </c>
      <c r="EC2483" s="62">
        <v>41.56</v>
      </c>
      <c r="ED2483" s="62">
        <v>1531.380005</v>
      </c>
      <c r="FR2483" s="335"/>
    </row>
    <row r="2484" spans="132:174" x14ac:dyDescent="0.6">
      <c r="EB2484" s="335">
        <v>39351</v>
      </c>
      <c r="EC2484" s="62">
        <v>41.36</v>
      </c>
      <c r="ED2484" s="62">
        <v>1525.420044</v>
      </c>
      <c r="FR2484" s="335"/>
    </row>
    <row r="2485" spans="132:174" x14ac:dyDescent="0.6">
      <c r="EB2485" s="335">
        <v>39350</v>
      </c>
      <c r="EC2485" s="62">
        <v>40.590000000000003</v>
      </c>
      <c r="ED2485" s="62">
        <v>1517.209961</v>
      </c>
      <c r="FR2485" s="335"/>
    </row>
    <row r="2486" spans="132:174" x14ac:dyDescent="0.6">
      <c r="EB2486" s="335">
        <v>39349</v>
      </c>
      <c r="EC2486" s="62">
        <v>43</v>
      </c>
      <c r="ED2486" s="62">
        <v>1517.7299800000001</v>
      </c>
      <c r="FR2486" s="335"/>
    </row>
    <row r="2487" spans="132:174" x14ac:dyDescent="0.6">
      <c r="EB2487" s="335">
        <v>39346</v>
      </c>
      <c r="EC2487" s="62">
        <v>43.28</v>
      </c>
      <c r="ED2487" s="62">
        <v>1525.75</v>
      </c>
      <c r="FR2487" s="335"/>
    </row>
    <row r="2488" spans="132:174" x14ac:dyDescent="0.6">
      <c r="EB2488" s="335">
        <v>39345</v>
      </c>
      <c r="EC2488" s="62">
        <v>43.26</v>
      </c>
      <c r="ED2488" s="62">
        <v>1518.75</v>
      </c>
      <c r="FR2488" s="335"/>
    </row>
    <row r="2489" spans="132:174" x14ac:dyDescent="0.6">
      <c r="EB2489" s="335">
        <v>39344</v>
      </c>
      <c r="EC2489" s="62">
        <v>44.48</v>
      </c>
      <c r="ED2489" s="62">
        <v>1529.030029</v>
      </c>
      <c r="FR2489" s="335"/>
    </row>
    <row r="2490" spans="132:174" x14ac:dyDescent="0.6">
      <c r="EB2490" s="335">
        <v>39343</v>
      </c>
      <c r="EC2490" s="62">
        <v>44.39</v>
      </c>
      <c r="ED2490" s="62">
        <v>1519.780029</v>
      </c>
      <c r="FR2490" s="335"/>
    </row>
    <row r="2491" spans="132:174" x14ac:dyDescent="0.6">
      <c r="EB2491" s="335">
        <v>39342</v>
      </c>
      <c r="EC2491" s="62">
        <v>43.87</v>
      </c>
      <c r="ED2491" s="62">
        <v>1476.650024</v>
      </c>
      <c r="FR2491" s="335"/>
    </row>
    <row r="2492" spans="132:174" x14ac:dyDescent="0.6">
      <c r="EB2492" s="335">
        <v>39339</v>
      </c>
      <c r="EC2492" s="62">
        <v>44.53</v>
      </c>
      <c r="ED2492" s="62">
        <v>1484.25</v>
      </c>
      <c r="FR2492" s="335"/>
    </row>
    <row r="2493" spans="132:174" x14ac:dyDescent="0.6">
      <c r="EB2493" s="335">
        <v>39338</v>
      </c>
      <c r="EC2493" s="62">
        <v>43.93</v>
      </c>
      <c r="ED2493" s="62">
        <v>1483.9499510000001</v>
      </c>
      <c r="FR2493" s="335"/>
    </row>
    <row r="2494" spans="132:174" x14ac:dyDescent="0.6">
      <c r="EB2494" s="335">
        <v>39337</v>
      </c>
      <c r="EC2494" s="62">
        <v>43.08</v>
      </c>
      <c r="ED2494" s="62">
        <v>1471.5600589999999</v>
      </c>
      <c r="FR2494" s="335"/>
    </row>
    <row r="2495" spans="132:174" x14ac:dyDescent="0.6">
      <c r="EB2495" s="335">
        <v>39336</v>
      </c>
      <c r="EC2495" s="62">
        <v>43.4</v>
      </c>
      <c r="ED2495" s="62">
        <v>1471.48999</v>
      </c>
      <c r="FR2495" s="335"/>
    </row>
    <row r="2496" spans="132:174" x14ac:dyDescent="0.6">
      <c r="EB2496" s="335">
        <v>39335</v>
      </c>
      <c r="EC2496" s="62">
        <v>43.1</v>
      </c>
      <c r="ED2496" s="62">
        <v>1451.6999510000001</v>
      </c>
      <c r="FR2496" s="335"/>
    </row>
    <row r="2497" spans="132:174" x14ac:dyDescent="0.6">
      <c r="EB2497" s="335">
        <v>39332</v>
      </c>
      <c r="EC2497" s="62">
        <v>44.13</v>
      </c>
      <c r="ED2497" s="62">
        <v>1453.5500489999999</v>
      </c>
      <c r="FR2497" s="335"/>
    </row>
    <row r="2498" spans="132:174" x14ac:dyDescent="0.6">
      <c r="EB2498" s="335">
        <v>39331</v>
      </c>
      <c r="EC2498" s="62">
        <v>44.46</v>
      </c>
      <c r="ED2498" s="62">
        <v>1478.5500489999999</v>
      </c>
      <c r="FR2498" s="335"/>
    </row>
    <row r="2499" spans="132:174" x14ac:dyDescent="0.6">
      <c r="EB2499" s="335">
        <v>39330</v>
      </c>
      <c r="EC2499" s="62">
        <v>43.24</v>
      </c>
      <c r="ED2499" s="62">
        <v>1472.290039</v>
      </c>
      <c r="FR2499" s="335"/>
    </row>
    <row r="2500" spans="132:174" x14ac:dyDescent="0.6">
      <c r="EB2500" s="335">
        <v>39329</v>
      </c>
      <c r="EC2500" s="62">
        <v>43.59</v>
      </c>
      <c r="ED2500" s="62">
        <v>1489.420044</v>
      </c>
      <c r="FR2500" s="335"/>
    </row>
    <row r="2501" spans="132:174" x14ac:dyDescent="0.6">
      <c r="EB2501" s="335">
        <v>39325</v>
      </c>
      <c r="EC2501" s="62">
        <v>43.74</v>
      </c>
      <c r="ED2501" s="62">
        <v>1473.98999</v>
      </c>
      <c r="FR2501" s="335"/>
    </row>
    <row r="2502" spans="132:174" x14ac:dyDescent="0.6">
      <c r="EB2502" s="335">
        <v>39324</v>
      </c>
      <c r="EC2502" s="62">
        <v>42.96</v>
      </c>
      <c r="ED2502" s="62">
        <v>1457.6400149999999</v>
      </c>
      <c r="FR2502" s="335"/>
    </row>
    <row r="2503" spans="132:174" x14ac:dyDescent="0.6">
      <c r="EB2503" s="335">
        <v>39323</v>
      </c>
      <c r="EC2503" s="62">
        <v>43.21</v>
      </c>
      <c r="ED2503" s="62">
        <v>1463.76001</v>
      </c>
      <c r="FR2503" s="335"/>
    </row>
    <row r="2504" spans="132:174" x14ac:dyDescent="0.6">
      <c r="EB2504" s="335">
        <v>39322</v>
      </c>
      <c r="EC2504" s="62">
        <v>42.8</v>
      </c>
      <c r="ED2504" s="62">
        <v>1432.3599850000001</v>
      </c>
      <c r="FR2504" s="335"/>
    </row>
    <row r="2505" spans="132:174" x14ac:dyDescent="0.6">
      <c r="EB2505" s="335">
        <v>39321</v>
      </c>
      <c r="EC2505" s="62">
        <v>43.69</v>
      </c>
      <c r="ED2505" s="62">
        <v>1466.790039</v>
      </c>
      <c r="FR2505" s="335"/>
    </row>
    <row r="2506" spans="132:174" x14ac:dyDescent="0.6">
      <c r="EB2506" s="335">
        <v>39318</v>
      </c>
      <c r="EC2506" s="62">
        <v>44.59</v>
      </c>
      <c r="ED2506" s="62">
        <v>1479.369995</v>
      </c>
      <c r="FR2506" s="335"/>
    </row>
    <row r="2507" spans="132:174" x14ac:dyDescent="0.6">
      <c r="EB2507" s="335">
        <v>39317</v>
      </c>
      <c r="EC2507" s="62">
        <v>44.39</v>
      </c>
      <c r="ED2507" s="62">
        <v>1462.5</v>
      </c>
      <c r="FR2507" s="335"/>
    </row>
    <row r="2508" spans="132:174" x14ac:dyDescent="0.6">
      <c r="EB2508" s="335">
        <v>39316</v>
      </c>
      <c r="EC2508" s="62">
        <v>45.04</v>
      </c>
      <c r="ED2508" s="62">
        <v>1464.0699460000001</v>
      </c>
      <c r="FR2508" s="335"/>
    </row>
    <row r="2509" spans="132:174" x14ac:dyDescent="0.6">
      <c r="EB2509" s="335">
        <v>39315</v>
      </c>
      <c r="EC2509" s="62">
        <v>44.65</v>
      </c>
      <c r="ED2509" s="62">
        <v>1447.119995</v>
      </c>
      <c r="FR2509" s="335"/>
    </row>
    <row r="2510" spans="132:174" x14ac:dyDescent="0.6">
      <c r="EB2510" s="335">
        <v>39314</v>
      </c>
      <c r="EC2510" s="62">
        <v>45</v>
      </c>
      <c r="ED2510" s="62">
        <v>1445.5500489999999</v>
      </c>
      <c r="FR2510" s="335"/>
    </row>
    <row r="2511" spans="132:174" x14ac:dyDescent="0.6">
      <c r="EB2511" s="335">
        <v>39311</v>
      </c>
      <c r="EC2511" s="62">
        <v>45.23</v>
      </c>
      <c r="ED2511" s="62">
        <v>1445.9399410000001</v>
      </c>
      <c r="FR2511" s="335"/>
    </row>
    <row r="2512" spans="132:174" x14ac:dyDescent="0.6">
      <c r="EB2512" s="335">
        <v>39310</v>
      </c>
      <c r="EC2512" s="62">
        <v>43.91</v>
      </c>
      <c r="ED2512" s="62">
        <v>1411.2700199999999</v>
      </c>
      <c r="FR2512" s="335"/>
    </row>
    <row r="2513" spans="132:174" x14ac:dyDescent="0.6">
      <c r="EB2513" s="335">
        <v>39309</v>
      </c>
      <c r="EC2513" s="62">
        <v>43.54</v>
      </c>
      <c r="ED2513" s="62">
        <v>1406.6999510000001</v>
      </c>
      <c r="FR2513" s="335"/>
    </row>
    <row r="2514" spans="132:174" x14ac:dyDescent="0.6">
      <c r="EB2514" s="335">
        <v>39308</v>
      </c>
      <c r="EC2514" s="62">
        <v>44.36</v>
      </c>
      <c r="ED2514" s="62">
        <v>1426.540039</v>
      </c>
      <c r="FR2514" s="335"/>
    </row>
    <row r="2515" spans="132:174" x14ac:dyDescent="0.6">
      <c r="EB2515" s="335">
        <v>39307</v>
      </c>
      <c r="EC2515" s="62">
        <v>44.1</v>
      </c>
      <c r="ED2515" s="62">
        <v>1452.920044</v>
      </c>
      <c r="FR2515" s="335"/>
    </row>
    <row r="2516" spans="132:174" x14ac:dyDescent="0.6">
      <c r="EB2516" s="335">
        <v>39304</v>
      </c>
      <c r="EC2516" s="62">
        <v>43.31</v>
      </c>
      <c r="ED2516" s="62">
        <v>1453.6400149999999</v>
      </c>
      <c r="FR2516" s="335"/>
    </row>
    <row r="2517" spans="132:174" x14ac:dyDescent="0.6">
      <c r="EB2517" s="335">
        <v>39303</v>
      </c>
      <c r="EC2517" s="62">
        <v>46.37</v>
      </c>
      <c r="ED2517" s="62">
        <v>1453.089966</v>
      </c>
      <c r="FR2517" s="335"/>
    </row>
    <row r="2518" spans="132:174" x14ac:dyDescent="0.6">
      <c r="EB2518" s="335">
        <v>39302</v>
      </c>
      <c r="EC2518" s="62">
        <v>47.19</v>
      </c>
      <c r="ED2518" s="62">
        <v>1497.48999</v>
      </c>
      <c r="FR2518" s="335"/>
    </row>
    <row r="2519" spans="132:174" x14ac:dyDescent="0.6">
      <c r="EB2519" s="335">
        <v>39301</v>
      </c>
      <c r="EC2519" s="62">
        <v>45.56</v>
      </c>
      <c r="ED2519" s="62">
        <v>1476.709961</v>
      </c>
      <c r="FR2519" s="335"/>
    </row>
    <row r="2520" spans="132:174" x14ac:dyDescent="0.6">
      <c r="EB2520" s="335">
        <v>39300</v>
      </c>
      <c r="EC2520" s="62">
        <v>43.04</v>
      </c>
      <c r="ED2520" s="62">
        <v>1467.670044</v>
      </c>
      <c r="FR2520" s="335"/>
    </row>
    <row r="2521" spans="132:174" x14ac:dyDescent="0.6">
      <c r="EB2521" s="335">
        <v>39297</v>
      </c>
      <c r="EC2521" s="62">
        <v>41.58</v>
      </c>
      <c r="ED2521" s="62">
        <v>1433.0600589999999</v>
      </c>
      <c r="FR2521" s="335"/>
    </row>
    <row r="2522" spans="132:174" x14ac:dyDescent="0.6">
      <c r="EB2522" s="335">
        <v>39296</v>
      </c>
      <c r="EC2522" s="62">
        <v>41</v>
      </c>
      <c r="ED2522" s="62">
        <v>1472.1999510000001</v>
      </c>
      <c r="FR2522" s="335"/>
    </row>
    <row r="2523" spans="132:174" x14ac:dyDescent="0.6">
      <c r="EB2523" s="335">
        <v>39295</v>
      </c>
      <c r="EC2523" s="62">
        <v>39.799999999999997</v>
      </c>
      <c r="ED2523" s="62">
        <v>1465.8100589999999</v>
      </c>
      <c r="FR2523" s="335"/>
    </row>
    <row r="2524" spans="132:174" x14ac:dyDescent="0.6">
      <c r="EB2524" s="335">
        <v>39294</v>
      </c>
      <c r="EC2524" s="62">
        <v>40.64</v>
      </c>
      <c r="ED2524" s="62">
        <v>1455.2700199999999</v>
      </c>
      <c r="FR2524" s="335"/>
    </row>
    <row r="2525" spans="132:174" x14ac:dyDescent="0.6">
      <c r="EB2525" s="335">
        <v>39293</v>
      </c>
      <c r="EC2525" s="62">
        <v>41.38</v>
      </c>
      <c r="ED2525" s="62">
        <v>1473.910034</v>
      </c>
      <c r="FR2525" s="335"/>
    </row>
    <row r="2526" spans="132:174" x14ac:dyDescent="0.6">
      <c r="EB2526" s="335">
        <v>39290</v>
      </c>
      <c r="EC2526" s="62">
        <v>39.79</v>
      </c>
      <c r="ED2526" s="62">
        <v>1458.9499510000001</v>
      </c>
      <c r="FR2526" s="335"/>
    </row>
    <row r="2527" spans="132:174" x14ac:dyDescent="0.6">
      <c r="EB2527" s="335">
        <v>39289</v>
      </c>
      <c r="EC2527" s="62">
        <v>40.58</v>
      </c>
      <c r="ED2527" s="62">
        <v>1482.660034</v>
      </c>
      <c r="FR2527" s="335"/>
    </row>
    <row r="2528" spans="132:174" x14ac:dyDescent="0.6">
      <c r="EB2528" s="335">
        <v>39288</v>
      </c>
      <c r="EC2528" s="62">
        <v>41.81</v>
      </c>
      <c r="ED2528" s="62">
        <v>1518.089966</v>
      </c>
      <c r="FR2528" s="335"/>
    </row>
    <row r="2529" spans="132:174" x14ac:dyDescent="0.6">
      <c r="EB2529" s="335">
        <v>39287</v>
      </c>
      <c r="EC2529" s="62">
        <v>45.979900000000001</v>
      </c>
      <c r="ED2529" s="62">
        <v>1511.040039</v>
      </c>
      <c r="FR2529" s="335"/>
    </row>
    <row r="2530" spans="132:174" x14ac:dyDescent="0.6">
      <c r="EB2530" s="335">
        <v>39286</v>
      </c>
      <c r="EC2530" s="62">
        <v>46.9</v>
      </c>
      <c r="ED2530" s="62">
        <v>1541.5699460000001</v>
      </c>
      <c r="FR2530" s="335"/>
    </row>
    <row r="2531" spans="132:174" x14ac:dyDescent="0.6">
      <c r="EB2531" s="335">
        <v>39283</v>
      </c>
      <c r="EC2531" s="62">
        <v>46.1</v>
      </c>
      <c r="ED2531" s="62">
        <v>1534.099976</v>
      </c>
      <c r="FR2531" s="335"/>
    </row>
    <row r="2532" spans="132:174" x14ac:dyDescent="0.6">
      <c r="EB2532" s="335">
        <v>39282</v>
      </c>
      <c r="EC2532" s="62">
        <v>46.45</v>
      </c>
      <c r="ED2532" s="62">
        <v>1553.079956</v>
      </c>
      <c r="FR2532" s="335"/>
    </row>
    <row r="2533" spans="132:174" x14ac:dyDescent="0.6">
      <c r="EB2533" s="335">
        <v>39281</v>
      </c>
      <c r="EC2533" s="62">
        <v>46.37</v>
      </c>
      <c r="ED2533" s="62">
        <v>1546.170044</v>
      </c>
      <c r="FR2533" s="335"/>
    </row>
    <row r="2534" spans="132:174" x14ac:dyDescent="0.6">
      <c r="FR2534" s="335"/>
    </row>
    <row r="2535" spans="132:174" x14ac:dyDescent="0.6">
      <c r="FR2535" s="335"/>
    </row>
    <row r="2536" spans="132:174" x14ac:dyDescent="0.6">
      <c r="FR2536" s="335"/>
    </row>
    <row r="2537" spans="132:174" x14ac:dyDescent="0.6">
      <c r="FR2537" s="335"/>
    </row>
    <row r="2538" spans="132:174" x14ac:dyDescent="0.6">
      <c r="FR2538" s="335"/>
    </row>
    <row r="2539" spans="132:174" x14ac:dyDescent="0.6">
      <c r="FR2539" s="335"/>
    </row>
    <row r="2540" spans="132:174" x14ac:dyDescent="0.6">
      <c r="FR2540" s="335"/>
    </row>
    <row r="2541" spans="132:174" x14ac:dyDescent="0.6">
      <c r="FR2541" s="335"/>
    </row>
    <row r="2542" spans="132:174" x14ac:dyDescent="0.6">
      <c r="FR2542" s="335"/>
    </row>
    <row r="2543" spans="132:174" x14ac:dyDescent="0.6">
      <c r="FR2543" s="335"/>
    </row>
    <row r="2544" spans="132:174" x14ac:dyDescent="0.6">
      <c r="FR2544" s="335"/>
    </row>
  </sheetData>
  <sortState xmlns:xlrd2="http://schemas.microsoft.com/office/spreadsheetml/2017/richdata2" ref="C38:G50">
    <sortCondition descending="1" ref="F38:F50"/>
  </sortState>
  <hyperlinks>
    <hyperlink ref="AJ3" r:id="rId1" location="s47186716E67F30320103B1558D4118B5" xr:uid="{00000000-0004-0000-0700-000000000000}"/>
    <hyperlink ref="Q4" r:id="rId2" xr:uid="{00000000-0004-0000-0700-000001000000}"/>
    <hyperlink ref="AF3" r:id="rId3" xr:uid="{00000000-0004-0000-0700-000002000000}"/>
    <hyperlink ref="EZ3" r:id="rId4" location="s47186716E67F30320103B1558D4118B5" xr:uid="{00000000-0004-0000-0700-000003000000}"/>
    <hyperlink ref="C4" r:id="rId5" location="data-table" xr:uid="{00000000-0004-0000-0700-000004000000}"/>
    <hyperlink ref="J4" r:id="rId6" location="data-table" xr:uid="{00000000-0004-0000-0700-000005000000}"/>
    <hyperlink ref="Y3" r:id="rId7" xr:uid="{00000000-0004-0000-0700-000006000000}"/>
    <hyperlink ref="EC3" r:id="rId8" xr:uid="{00000000-0004-0000-0700-000007000000}"/>
    <hyperlink ref="FG3" r:id="rId9" xr:uid="{00000000-0004-0000-0700-000008000000}"/>
    <hyperlink ref="FN3" r:id="rId10" xr:uid="{00000000-0004-0000-0700-000009000000}"/>
  </hyperlinks>
  <pageMargins left="0.7" right="0.7" top="0.75" bottom="0.75" header="0.3" footer="0.3"/>
  <pageSetup orientation="portrait" r:id="rId11"/>
  <ignoredErrors>
    <ignoredError sqref="AJ8:AN8" formulaRange="1"/>
    <ignoredError sqref="EM10:EP10" formula="1"/>
  </ignoredErrors>
  <drawing r:id="rId1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CG795"/>
  <sheetViews>
    <sheetView showGridLines="0" zoomScaleNormal="100" workbookViewId="0"/>
  </sheetViews>
  <sheetFormatPr baseColWidth="10" defaultColWidth="10.8984375" defaultRowHeight="15" x14ac:dyDescent="0.5"/>
  <cols>
    <col min="1" max="1" width="10.8984375" style="18"/>
    <col min="2" max="2" width="44.3984375" style="29" customWidth="1"/>
    <col min="3" max="4" width="18" style="18" bestFit="1" customWidth="1"/>
    <col min="5" max="5" width="19" style="18" bestFit="1" customWidth="1"/>
    <col min="6" max="16384" width="10.8984375" style="18"/>
  </cols>
  <sheetData>
    <row r="2" spans="1:5" x14ac:dyDescent="0.5">
      <c r="B2" s="18" t="s">
        <v>102</v>
      </c>
    </row>
    <row r="3" spans="1:5" x14ac:dyDescent="0.5">
      <c r="B3" s="18" t="s">
        <v>103</v>
      </c>
    </row>
    <row r="4" spans="1:5" x14ac:dyDescent="0.5">
      <c r="B4" s="18"/>
    </row>
    <row r="6" spans="1:5" s="13" customFormat="1" ht="17.100000000000001" customHeight="1" x14ac:dyDescent="0.5">
      <c r="A6" s="13" t="s">
        <v>31</v>
      </c>
      <c r="B6" s="14" t="s">
        <v>0</v>
      </c>
      <c r="C6" s="15" t="s">
        <v>2</v>
      </c>
      <c r="D6" s="15"/>
      <c r="E6" s="15"/>
    </row>
    <row r="7" spans="1:5" s="13" customFormat="1" x14ac:dyDescent="0.5">
      <c r="B7" s="16" t="s">
        <v>1</v>
      </c>
      <c r="C7" s="17">
        <v>42731</v>
      </c>
      <c r="D7" s="17">
        <v>42367</v>
      </c>
      <c r="E7" s="17">
        <v>42003</v>
      </c>
    </row>
    <row r="8" spans="1:5" x14ac:dyDescent="0.5">
      <c r="B8" s="19" t="s">
        <v>3</v>
      </c>
      <c r="C8" s="2"/>
      <c r="D8" s="2"/>
      <c r="E8" s="2"/>
    </row>
    <row r="9" spans="1:5" x14ac:dyDescent="0.5">
      <c r="B9" s="20" t="s">
        <v>4</v>
      </c>
      <c r="C9" s="3">
        <v>2795365000</v>
      </c>
      <c r="D9" s="3">
        <v>2681580000</v>
      </c>
      <c r="E9" s="3">
        <v>2529195000</v>
      </c>
    </row>
    <row r="10" spans="1:5" x14ac:dyDescent="0.5">
      <c r="B10" s="19" t="s">
        <v>5</v>
      </c>
      <c r="C10" s="4"/>
      <c r="D10" s="4"/>
      <c r="E10" s="4"/>
    </row>
    <row r="11" spans="1:5" x14ac:dyDescent="0.5">
      <c r="B11" s="20" t="s">
        <v>6</v>
      </c>
      <c r="C11" s="5">
        <v>709251000</v>
      </c>
      <c r="D11" s="5">
        <v>715502000</v>
      </c>
      <c r="E11" s="5">
        <v>669860000</v>
      </c>
    </row>
    <row r="12" spans="1:5" x14ac:dyDescent="0.5">
      <c r="B12" s="21" t="s">
        <v>7</v>
      </c>
      <c r="C12" s="4">
        <v>790238000</v>
      </c>
      <c r="D12" s="4">
        <v>754646000</v>
      </c>
      <c r="E12" s="4">
        <v>685576000</v>
      </c>
    </row>
    <row r="13" spans="1:5" x14ac:dyDescent="0.5">
      <c r="B13" s="20" t="s">
        <v>8</v>
      </c>
      <c r="C13" s="5">
        <v>167717000</v>
      </c>
      <c r="D13" s="5">
        <v>169998000</v>
      </c>
      <c r="E13" s="5">
        <v>159794000</v>
      </c>
    </row>
    <row r="14" spans="1:5" x14ac:dyDescent="0.5">
      <c r="B14" s="21" t="s">
        <v>9</v>
      </c>
      <c r="C14" s="4">
        <v>359609000</v>
      </c>
      <c r="D14" s="4">
        <v>334635000</v>
      </c>
      <c r="E14" s="4">
        <v>314879000</v>
      </c>
    </row>
    <row r="15" spans="1:5" x14ac:dyDescent="0.5">
      <c r="B15" s="20" t="s">
        <v>10</v>
      </c>
      <c r="C15" s="6">
        <v>2026815000</v>
      </c>
      <c r="D15" s="6">
        <v>1974781000</v>
      </c>
      <c r="E15" s="6">
        <v>1830109000</v>
      </c>
    </row>
    <row r="16" spans="1:5" ht="30" x14ac:dyDescent="0.5">
      <c r="B16" s="21" t="s">
        <v>11</v>
      </c>
      <c r="C16" s="7">
        <v>178585000</v>
      </c>
      <c r="D16" s="7">
        <v>160706000</v>
      </c>
      <c r="E16" s="7">
        <v>152267000</v>
      </c>
    </row>
    <row r="17" spans="2:85" x14ac:dyDescent="0.5">
      <c r="B17" s="20" t="s">
        <v>12</v>
      </c>
      <c r="C17" s="5">
        <v>154355000</v>
      </c>
      <c r="D17" s="5">
        <v>135398000</v>
      </c>
      <c r="E17" s="5">
        <v>124109000</v>
      </c>
    </row>
    <row r="18" spans="2:85" x14ac:dyDescent="0.5">
      <c r="B18" s="21" t="s">
        <v>13</v>
      </c>
      <c r="C18" s="4">
        <v>179876000</v>
      </c>
      <c r="D18" s="4">
        <v>142904000</v>
      </c>
      <c r="E18" s="4">
        <v>138060000</v>
      </c>
    </row>
    <row r="19" spans="2:85" x14ac:dyDescent="0.5">
      <c r="B19" s="20" t="s">
        <v>14</v>
      </c>
      <c r="C19" s="5">
        <v>6899000</v>
      </c>
      <c r="D19" s="5">
        <v>9089000</v>
      </c>
      <c r="E19" s="5">
        <v>8707000</v>
      </c>
    </row>
    <row r="20" spans="2:85" x14ac:dyDescent="0.5">
      <c r="B20" s="21" t="s">
        <v>15</v>
      </c>
      <c r="C20" s="4">
        <v>9072000</v>
      </c>
      <c r="D20" s="4">
        <v>17108000</v>
      </c>
      <c r="E20" s="4">
        <v>0</v>
      </c>
    </row>
    <row r="21" spans="2:85" x14ac:dyDescent="0.5">
      <c r="B21" s="20" t="s">
        <v>16</v>
      </c>
      <c r="C21" s="6">
        <v>2555602000</v>
      </c>
      <c r="D21" s="6">
        <v>2439986000</v>
      </c>
      <c r="E21" s="6">
        <v>2253252000</v>
      </c>
    </row>
    <row r="22" spans="2:85" x14ac:dyDescent="0.5">
      <c r="B22" s="21" t="s">
        <v>17</v>
      </c>
      <c r="C22" s="8">
        <v>239763000</v>
      </c>
      <c r="D22" s="8">
        <v>241594000</v>
      </c>
      <c r="E22" s="8">
        <v>275943000</v>
      </c>
    </row>
    <row r="23" spans="2:85" x14ac:dyDescent="0.5">
      <c r="B23" s="20" t="s">
        <v>18</v>
      </c>
      <c r="C23" s="9">
        <v>8884000</v>
      </c>
      <c r="D23" s="9">
        <v>3830000</v>
      </c>
      <c r="E23" s="9">
        <v>1824000</v>
      </c>
    </row>
    <row r="24" spans="2:85" x14ac:dyDescent="0.5">
      <c r="B24" s="21" t="s">
        <v>19</v>
      </c>
      <c r="C24" s="4">
        <v>1380000</v>
      </c>
      <c r="D24" s="4">
        <v>1192000</v>
      </c>
      <c r="E24" s="4">
        <v>-3175000</v>
      </c>
    </row>
    <row r="25" spans="2:85" x14ac:dyDescent="0.5">
      <c r="B25" s="20" t="s">
        <v>20</v>
      </c>
      <c r="C25" s="6">
        <v>229499000</v>
      </c>
      <c r="D25" s="6">
        <v>236572000</v>
      </c>
      <c r="E25" s="6">
        <v>277294000</v>
      </c>
    </row>
    <row r="26" spans="2:85" x14ac:dyDescent="0.5">
      <c r="B26" s="21" t="s">
        <v>21</v>
      </c>
      <c r="C26" s="7">
        <v>84258000</v>
      </c>
      <c r="D26" s="7">
        <v>87247000</v>
      </c>
      <c r="E26" s="7">
        <v>98001000</v>
      </c>
    </row>
    <row r="27" spans="2:85" x14ac:dyDescent="0.5">
      <c r="B27" s="20" t="s">
        <v>22</v>
      </c>
      <c r="C27" s="6">
        <v>145241000</v>
      </c>
      <c r="D27" s="6">
        <v>149325000</v>
      </c>
      <c r="E27" s="6">
        <v>179293000</v>
      </c>
    </row>
    <row r="28" spans="2:85" ht="30" x14ac:dyDescent="0.5">
      <c r="B28" s="21" t="s">
        <v>23</v>
      </c>
      <c r="C28" s="7">
        <v>-333000</v>
      </c>
      <c r="D28" s="7">
        <v>-17000</v>
      </c>
      <c r="E28" s="7">
        <v>0</v>
      </c>
    </row>
    <row r="29" spans="2:85" ht="30" x14ac:dyDescent="0.5">
      <c r="B29" s="20" t="s">
        <v>24</v>
      </c>
      <c r="C29" s="10">
        <v>145574000</v>
      </c>
      <c r="D29" s="10">
        <v>149342000</v>
      </c>
      <c r="E29" s="10">
        <v>179293000</v>
      </c>
    </row>
    <row r="30" spans="2:85" x14ac:dyDescent="0.5">
      <c r="B30" s="21"/>
      <c r="C30" s="7"/>
      <c r="D30" s="7"/>
      <c r="E30" s="7"/>
      <c r="CG30" s="334"/>
    </row>
    <row r="31" spans="2:85" ht="30" x14ac:dyDescent="0.5">
      <c r="B31" s="22" t="s">
        <v>25</v>
      </c>
      <c r="C31" s="5"/>
      <c r="D31" s="5"/>
      <c r="E31" s="5"/>
      <c r="CG31" s="334"/>
    </row>
    <row r="32" spans="2:85" x14ac:dyDescent="0.5">
      <c r="B32" s="21" t="s">
        <v>26</v>
      </c>
      <c r="C32" s="11">
        <v>6.21</v>
      </c>
      <c r="D32" s="11">
        <v>5.81</v>
      </c>
      <c r="E32" s="11">
        <v>6.67</v>
      </c>
      <c r="CG32" s="334"/>
    </row>
    <row r="33" spans="1:85" x14ac:dyDescent="0.5">
      <c r="B33" s="20" t="s">
        <v>27</v>
      </c>
      <c r="C33" s="12">
        <v>6.18</v>
      </c>
      <c r="D33" s="12">
        <v>5.79</v>
      </c>
      <c r="E33" s="12">
        <v>6.64</v>
      </c>
      <c r="CG33" s="334"/>
    </row>
    <row r="34" spans="1:85" x14ac:dyDescent="0.5">
      <c r="B34" s="21"/>
      <c r="C34" s="4"/>
      <c r="D34" s="4"/>
      <c r="E34" s="4"/>
      <c r="CG34" s="334"/>
    </row>
    <row r="35" spans="1:85" ht="30" x14ac:dyDescent="0.5">
      <c r="B35" s="22" t="s">
        <v>28</v>
      </c>
      <c r="C35" s="5"/>
      <c r="D35" s="5"/>
      <c r="E35" s="5"/>
      <c r="CG35" s="334"/>
    </row>
    <row r="36" spans="1:85" ht="30" x14ac:dyDescent="0.5">
      <c r="B36" s="21" t="s">
        <v>29</v>
      </c>
      <c r="C36" s="4">
        <v>23444</v>
      </c>
      <c r="D36" s="4">
        <v>25685</v>
      </c>
      <c r="E36" s="4">
        <v>26881</v>
      </c>
      <c r="CG36" s="334"/>
    </row>
    <row r="37" spans="1:85" ht="30" x14ac:dyDescent="0.5">
      <c r="B37" s="20" t="s">
        <v>30</v>
      </c>
      <c r="C37" s="5">
        <v>23565</v>
      </c>
      <c r="D37" s="5">
        <v>25788</v>
      </c>
      <c r="E37" s="5">
        <v>26999</v>
      </c>
      <c r="CG37" s="334"/>
    </row>
    <row r="38" spans="1:85" x14ac:dyDescent="0.5">
      <c r="CG38" s="334"/>
    </row>
    <row r="39" spans="1:85" ht="30" x14ac:dyDescent="0.5">
      <c r="A39" s="13" t="s">
        <v>31</v>
      </c>
      <c r="B39" s="23" t="s">
        <v>100</v>
      </c>
      <c r="C39" s="61" t="s">
        <v>2</v>
      </c>
      <c r="D39" s="24"/>
      <c r="E39" s="24"/>
      <c r="CG39" s="334"/>
    </row>
    <row r="40" spans="1:85" x14ac:dyDescent="0.5">
      <c r="A40" s="13"/>
      <c r="B40" s="25"/>
      <c r="C40" s="26">
        <v>42731</v>
      </c>
      <c r="D40" s="26">
        <v>42367</v>
      </c>
      <c r="E40" s="26">
        <v>42003</v>
      </c>
      <c r="CG40" s="334"/>
    </row>
    <row r="41" spans="1:85" x14ac:dyDescent="0.5">
      <c r="B41" s="27" t="s">
        <v>32</v>
      </c>
      <c r="C41" s="28"/>
      <c r="D41" s="28"/>
      <c r="E41" s="28"/>
      <c r="CG41" s="334"/>
    </row>
    <row r="42" spans="1:85" x14ac:dyDescent="0.5">
      <c r="B42" s="29" t="s">
        <v>22</v>
      </c>
      <c r="C42" s="30">
        <v>145241000</v>
      </c>
      <c r="D42" s="30">
        <v>149325000</v>
      </c>
      <c r="E42" s="30">
        <v>179293000</v>
      </c>
      <c r="CG42" s="334"/>
    </row>
    <row r="43" spans="1:85" ht="30" x14ac:dyDescent="0.5">
      <c r="B43" s="27" t="s">
        <v>33</v>
      </c>
      <c r="C43" s="28"/>
      <c r="D43" s="28"/>
      <c r="E43" s="28"/>
      <c r="CG43" s="334"/>
    </row>
    <row r="44" spans="1:85" x14ac:dyDescent="0.5">
      <c r="B44" s="29" t="s">
        <v>12</v>
      </c>
      <c r="C44" s="18">
        <v>154355000</v>
      </c>
      <c r="D44" s="18">
        <v>135398000</v>
      </c>
      <c r="E44" s="18">
        <v>124109000</v>
      </c>
      <c r="CG44" s="334"/>
    </row>
    <row r="45" spans="1:85" x14ac:dyDescent="0.5">
      <c r="B45" s="31" t="s">
        <v>34</v>
      </c>
      <c r="C45" s="28">
        <v>15662000</v>
      </c>
      <c r="D45" s="28">
        <v>15086000</v>
      </c>
      <c r="E45" s="28">
        <v>10077000</v>
      </c>
      <c r="CG45" s="334"/>
    </row>
    <row r="46" spans="1:85" x14ac:dyDescent="0.5">
      <c r="B46" s="29" t="s">
        <v>35</v>
      </c>
      <c r="C46" s="18">
        <v>-2456000</v>
      </c>
      <c r="D46" s="18">
        <v>-2057000</v>
      </c>
      <c r="E46" s="18">
        <v>-3089000</v>
      </c>
      <c r="CG46" s="334"/>
    </row>
    <row r="47" spans="1:85" x14ac:dyDescent="0.5">
      <c r="B47" s="31" t="s">
        <v>36</v>
      </c>
      <c r="C47" s="28">
        <v>-3800000</v>
      </c>
      <c r="D47" s="28">
        <v>-10991000</v>
      </c>
      <c r="E47" s="28">
        <v>10459000</v>
      </c>
      <c r="CG47" s="334"/>
    </row>
    <row r="48" spans="1:85" x14ac:dyDescent="0.5">
      <c r="B48" s="29" t="s">
        <v>15</v>
      </c>
      <c r="C48" s="18">
        <v>7212000</v>
      </c>
      <c r="D48" s="18">
        <v>12942000</v>
      </c>
      <c r="E48" s="18">
        <v>0</v>
      </c>
      <c r="CG48" s="334"/>
    </row>
    <row r="49" spans="2:85" x14ac:dyDescent="0.5">
      <c r="B49" s="31" t="s">
        <v>37</v>
      </c>
      <c r="C49" s="28">
        <v>10551000</v>
      </c>
      <c r="D49" s="28">
        <v>3505000</v>
      </c>
      <c r="E49" s="28">
        <v>4617000</v>
      </c>
      <c r="CG49" s="334"/>
    </row>
    <row r="50" spans="2:85" ht="45" x14ac:dyDescent="0.5">
      <c r="B50" s="32" t="s">
        <v>38</v>
      </c>
      <c r="CG50" s="334"/>
    </row>
    <row r="51" spans="2:85" x14ac:dyDescent="0.5">
      <c r="B51" s="31" t="s">
        <v>39</v>
      </c>
      <c r="C51" s="28">
        <v>66000</v>
      </c>
      <c r="D51" s="28">
        <v>-3605000</v>
      </c>
      <c r="E51" s="28">
        <v>-22139000</v>
      </c>
      <c r="CG51" s="334"/>
    </row>
    <row r="52" spans="2:85" x14ac:dyDescent="0.5">
      <c r="B52" s="29" t="s">
        <v>40</v>
      </c>
      <c r="C52" s="18">
        <v>-977000</v>
      </c>
      <c r="D52" s="18">
        <v>-1698000</v>
      </c>
      <c r="E52" s="18">
        <v>-895000</v>
      </c>
      <c r="CG52" s="334"/>
    </row>
    <row r="53" spans="2:85" x14ac:dyDescent="0.5">
      <c r="B53" s="31" t="s">
        <v>41</v>
      </c>
      <c r="C53" s="28">
        <v>-9923000</v>
      </c>
      <c r="D53" s="28">
        <v>-7191000</v>
      </c>
      <c r="E53" s="28">
        <v>-8524000</v>
      </c>
      <c r="CG53" s="334"/>
    </row>
    <row r="54" spans="2:85" x14ac:dyDescent="0.5">
      <c r="B54" s="29" t="s">
        <v>42</v>
      </c>
      <c r="C54" s="18">
        <v>1625000</v>
      </c>
      <c r="D54" s="18">
        <v>-455000</v>
      </c>
      <c r="E54" s="18">
        <v>239000</v>
      </c>
      <c r="CG54" s="334"/>
    </row>
    <row r="55" spans="2:85" x14ac:dyDescent="0.5">
      <c r="B55" s="31" t="s">
        <v>43</v>
      </c>
      <c r="C55" s="28">
        <v>2650000</v>
      </c>
      <c r="D55" s="28">
        <v>-183000</v>
      </c>
      <c r="E55" s="28">
        <v>1978000</v>
      </c>
      <c r="CG55" s="334"/>
    </row>
    <row r="56" spans="2:85" x14ac:dyDescent="0.5">
      <c r="B56" s="29" t="s">
        <v>44</v>
      </c>
      <c r="C56" s="18">
        <v>63531000</v>
      </c>
      <c r="D56" s="18">
        <v>31169000</v>
      </c>
      <c r="E56" s="18">
        <v>35288000</v>
      </c>
      <c r="CG56" s="334"/>
    </row>
    <row r="57" spans="2:85" x14ac:dyDescent="0.5">
      <c r="B57" s="21" t="s">
        <v>45</v>
      </c>
      <c r="C57" s="33">
        <v>366000</v>
      </c>
      <c r="D57" s="33">
        <v>3751000</v>
      </c>
      <c r="E57" s="33">
        <v>1067000</v>
      </c>
      <c r="CG57" s="334"/>
    </row>
    <row r="58" spans="2:85" x14ac:dyDescent="0.5">
      <c r="B58" s="20" t="s">
        <v>46</v>
      </c>
      <c r="C58" s="34">
        <v>3438000</v>
      </c>
      <c r="D58" s="34">
        <v>-6951000</v>
      </c>
      <c r="E58" s="34">
        <v>2599000</v>
      </c>
      <c r="CG58" s="334"/>
    </row>
    <row r="59" spans="2:85" x14ac:dyDescent="0.5">
      <c r="B59" s="21" t="s">
        <v>47</v>
      </c>
      <c r="C59" s="35">
        <v>387541000</v>
      </c>
      <c r="D59" s="35">
        <v>318045000</v>
      </c>
      <c r="E59" s="35">
        <v>335079000</v>
      </c>
      <c r="CG59" s="334"/>
    </row>
    <row r="60" spans="2:85" x14ac:dyDescent="0.5">
      <c r="B60" s="22" t="s">
        <v>48</v>
      </c>
      <c r="C60" s="34"/>
      <c r="D60" s="34"/>
      <c r="E60" s="34"/>
      <c r="CG60" s="334"/>
    </row>
    <row r="61" spans="2:85" x14ac:dyDescent="0.5">
      <c r="B61" s="21" t="s">
        <v>49</v>
      </c>
      <c r="C61" s="33">
        <v>-200063000</v>
      </c>
      <c r="D61" s="33">
        <v>-223932000</v>
      </c>
      <c r="E61" s="33">
        <v>-224217000</v>
      </c>
      <c r="CG61" s="334"/>
    </row>
    <row r="62" spans="2:85" x14ac:dyDescent="0.5">
      <c r="B62" s="20" t="s">
        <v>50</v>
      </c>
      <c r="C62" s="34">
        <v>216000</v>
      </c>
      <c r="D62" s="34">
        <v>0</v>
      </c>
      <c r="E62" s="34">
        <v>0</v>
      </c>
      <c r="CG62" s="334"/>
    </row>
    <row r="63" spans="2:85" x14ac:dyDescent="0.5">
      <c r="B63" s="21" t="s">
        <v>51</v>
      </c>
      <c r="C63" s="33">
        <v>15649000</v>
      </c>
      <c r="D63" s="33">
        <v>46869000</v>
      </c>
      <c r="E63" s="33">
        <v>0</v>
      </c>
      <c r="CG63" s="334"/>
    </row>
    <row r="64" spans="2:85" x14ac:dyDescent="0.5">
      <c r="B64" s="20" t="s">
        <v>52</v>
      </c>
      <c r="C64" s="34">
        <v>742000</v>
      </c>
      <c r="D64" s="34">
        <v>1553000</v>
      </c>
      <c r="E64" s="34">
        <v>0</v>
      </c>
      <c r="CG64" s="334"/>
    </row>
    <row r="65" spans="2:85" x14ac:dyDescent="0.5">
      <c r="B65" s="21" t="s">
        <v>53</v>
      </c>
      <c r="C65" s="33">
        <v>8940000</v>
      </c>
      <c r="D65" s="33">
        <v>10095000</v>
      </c>
      <c r="E65" s="33">
        <v>12900000</v>
      </c>
      <c r="CG65" s="334"/>
    </row>
    <row r="66" spans="2:85" x14ac:dyDescent="0.5">
      <c r="B66" s="20" t="s">
        <v>54</v>
      </c>
      <c r="C66" s="36">
        <v>-174516000</v>
      </c>
      <c r="D66" s="36">
        <v>-165415000</v>
      </c>
      <c r="E66" s="36">
        <v>-211317000</v>
      </c>
      <c r="CG66" s="334"/>
    </row>
    <row r="67" spans="2:85" x14ac:dyDescent="0.5">
      <c r="B67" s="19" t="s">
        <v>55</v>
      </c>
      <c r="C67" s="37"/>
      <c r="D67" s="37"/>
      <c r="E67" s="37"/>
      <c r="CG67" s="334"/>
    </row>
    <row r="68" spans="2:85" x14ac:dyDescent="0.5">
      <c r="B68" s="20" t="s">
        <v>56</v>
      </c>
      <c r="C68" s="34">
        <v>-18683000</v>
      </c>
      <c r="D68" s="34">
        <v>-6301000</v>
      </c>
      <c r="E68" s="34">
        <v>0</v>
      </c>
      <c r="CG68" s="334"/>
    </row>
    <row r="69" spans="2:85" x14ac:dyDescent="0.5">
      <c r="B69" s="21" t="s">
        <v>57</v>
      </c>
      <c r="C69" s="33">
        <v>0</v>
      </c>
      <c r="D69" s="33">
        <v>299070000</v>
      </c>
      <c r="E69" s="33">
        <v>100000000</v>
      </c>
      <c r="CG69" s="334"/>
    </row>
    <row r="70" spans="2:85" ht="30" x14ac:dyDescent="0.5">
      <c r="B70" s="20" t="s">
        <v>58</v>
      </c>
      <c r="C70" s="34">
        <v>40000000</v>
      </c>
      <c r="D70" s="34">
        <v>0</v>
      </c>
      <c r="E70" s="34">
        <v>0</v>
      </c>
      <c r="CG70" s="334"/>
    </row>
    <row r="71" spans="2:85" x14ac:dyDescent="0.5">
      <c r="B71" s="21" t="s">
        <v>59</v>
      </c>
      <c r="C71" s="33">
        <v>0</v>
      </c>
      <c r="D71" s="33">
        <v>-363000</v>
      </c>
      <c r="E71" s="33">
        <v>-193000</v>
      </c>
      <c r="CG71" s="334"/>
    </row>
    <row r="72" spans="2:85" x14ac:dyDescent="0.5">
      <c r="B72" s="20" t="s">
        <v>60</v>
      </c>
      <c r="C72" s="34">
        <v>0</v>
      </c>
      <c r="D72" s="34">
        <v>0</v>
      </c>
      <c r="E72" s="34">
        <v>-270000</v>
      </c>
      <c r="CG72" s="334"/>
    </row>
    <row r="73" spans="2:85" x14ac:dyDescent="0.5">
      <c r="B73" s="21" t="s">
        <v>61</v>
      </c>
      <c r="C73" s="33">
        <v>-377193000</v>
      </c>
      <c r="D73" s="33">
        <v>-405513000</v>
      </c>
      <c r="E73" s="33">
        <v>-159503000</v>
      </c>
      <c r="CG73" s="334"/>
    </row>
    <row r="74" spans="2:85" x14ac:dyDescent="0.5">
      <c r="B74" s="20" t="s">
        <v>62</v>
      </c>
      <c r="C74" s="34">
        <v>381000</v>
      </c>
      <c r="D74" s="34">
        <v>288000</v>
      </c>
      <c r="E74" s="34">
        <v>1116000</v>
      </c>
      <c r="CG74" s="334"/>
    </row>
    <row r="75" spans="2:85" x14ac:dyDescent="0.5">
      <c r="B75" s="21" t="s">
        <v>35</v>
      </c>
      <c r="C75" s="33">
        <v>2456000</v>
      </c>
      <c r="D75" s="33">
        <v>2057000</v>
      </c>
      <c r="E75" s="33">
        <v>3089000</v>
      </c>
      <c r="CG75" s="334"/>
    </row>
    <row r="76" spans="2:85" ht="30" x14ac:dyDescent="0.5">
      <c r="B76" s="20" t="s">
        <v>63</v>
      </c>
      <c r="C76" s="34">
        <v>3702000</v>
      </c>
      <c r="D76" s="34">
        <v>3525000</v>
      </c>
      <c r="E76" s="34">
        <v>3247000</v>
      </c>
      <c r="CG76" s="334"/>
    </row>
    <row r="77" spans="2:85" x14ac:dyDescent="0.5">
      <c r="B77" s="21" t="s">
        <v>64</v>
      </c>
      <c r="C77" s="33">
        <v>-45000</v>
      </c>
      <c r="D77" s="33">
        <v>0</v>
      </c>
      <c r="E77" s="33">
        <v>0</v>
      </c>
      <c r="CG77" s="334"/>
    </row>
    <row r="78" spans="2:85" x14ac:dyDescent="0.5">
      <c r="B78" s="20" t="s">
        <v>65</v>
      </c>
      <c r="C78" s="36">
        <v>-349382000</v>
      </c>
      <c r="D78" s="36">
        <v>-107237000</v>
      </c>
      <c r="E78" s="36">
        <v>-52514000</v>
      </c>
      <c r="CG78" s="334"/>
    </row>
    <row r="79" spans="2:85" ht="30" x14ac:dyDescent="0.5">
      <c r="B79" s="21" t="s">
        <v>66</v>
      </c>
      <c r="C79" s="38">
        <v>-136357000</v>
      </c>
      <c r="D79" s="38">
        <v>45393000</v>
      </c>
      <c r="E79" s="38">
        <v>71248000</v>
      </c>
      <c r="CG79" s="334"/>
    </row>
    <row r="80" spans="2:85" x14ac:dyDescent="0.5">
      <c r="B80" s="20" t="s">
        <v>67</v>
      </c>
      <c r="C80" s="39">
        <v>241886000</v>
      </c>
      <c r="D80" s="39">
        <v>196493000</v>
      </c>
      <c r="E80" s="39">
        <v>125245000</v>
      </c>
      <c r="CG80" s="334"/>
    </row>
    <row r="81" spans="1:85" x14ac:dyDescent="0.5">
      <c r="B81" s="21" t="s">
        <v>68</v>
      </c>
      <c r="C81" s="40">
        <v>105529000</v>
      </c>
      <c r="D81" s="40">
        <v>241886000</v>
      </c>
      <c r="E81" s="40">
        <v>196493000</v>
      </c>
      <c r="CG81" s="334"/>
    </row>
    <row r="82" spans="1:85" x14ac:dyDescent="0.5">
      <c r="CG82" s="334"/>
    </row>
    <row r="83" spans="1:85" x14ac:dyDescent="0.5">
      <c r="A83" s="18" t="s">
        <v>31</v>
      </c>
      <c r="B83" s="23" t="s">
        <v>101</v>
      </c>
      <c r="C83" s="26">
        <v>42731</v>
      </c>
      <c r="D83" s="41">
        <v>42367</v>
      </c>
      <c r="E83" s="1"/>
      <c r="CG83" s="334"/>
    </row>
    <row r="84" spans="1:85" x14ac:dyDescent="0.5">
      <c r="B84" s="19" t="s">
        <v>69</v>
      </c>
      <c r="C84" s="33"/>
      <c r="D84" s="42"/>
      <c r="CG84" s="334"/>
    </row>
    <row r="85" spans="1:85" x14ac:dyDescent="0.5">
      <c r="B85" s="20" t="s">
        <v>70</v>
      </c>
      <c r="C85" s="43">
        <v>105529000</v>
      </c>
      <c r="D85" s="44">
        <v>241886000</v>
      </c>
      <c r="CG85" s="334"/>
    </row>
    <row r="86" spans="1:85" x14ac:dyDescent="0.5">
      <c r="B86" s="21" t="s">
        <v>71</v>
      </c>
      <c r="C86" s="33">
        <v>53519000</v>
      </c>
      <c r="D86" s="42">
        <v>38211000</v>
      </c>
      <c r="CG86" s="334"/>
    </row>
    <row r="87" spans="1:85" x14ac:dyDescent="0.5">
      <c r="B87" s="20" t="s">
        <v>72</v>
      </c>
      <c r="C87" s="34">
        <v>59404000</v>
      </c>
      <c r="D87" s="45">
        <v>77575000</v>
      </c>
      <c r="CG87" s="334"/>
    </row>
    <row r="88" spans="1:85" x14ac:dyDescent="0.5">
      <c r="B88" s="21" t="s">
        <v>40</v>
      </c>
      <c r="C88" s="33">
        <v>23775000</v>
      </c>
      <c r="D88" s="42">
        <v>22482000</v>
      </c>
      <c r="CG88" s="334"/>
    </row>
    <row r="89" spans="1:85" x14ac:dyDescent="0.5">
      <c r="B89" s="20" t="s">
        <v>41</v>
      </c>
      <c r="C89" s="34">
        <v>69194000</v>
      </c>
      <c r="D89" s="45">
        <v>59457000</v>
      </c>
      <c r="CG89" s="334"/>
    </row>
    <row r="90" spans="1:85" x14ac:dyDescent="0.5">
      <c r="B90" s="21" t="s">
        <v>36</v>
      </c>
      <c r="C90" s="33"/>
      <c r="D90" s="42">
        <v>34500000</v>
      </c>
      <c r="G90" s="18" t="s">
        <v>669</v>
      </c>
      <c r="CG90" s="334"/>
    </row>
    <row r="91" spans="1:85" x14ac:dyDescent="0.5">
      <c r="B91" s="20" t="s">
        <v>73</v>
      </c>
      <c r="C91" s="34">
        <v>0</v>
      </c>
      <c r="D91" s="45">
        <v>28699000</v>
      </c>
      <c r="CG91" s="334"/>
    </row>
    <row r="92" spans="1:85" x14ac:dyDescent="0.5">
      <c r="B92" s="21" t="s">
        <v>74</v>
      </c>
      <c r="C92" s="46">
        <v>311421000</v>
      </c>
      <c r="D92" s="47">
        <v>468310000</v>
      </c>
      <c r="CG92" s="334"/>
    </row>
    <row r="93" spans="1:85" x14ac:dyDescent="0.5">
      <c r="B93" s="20" t="s">
        <v>75</v>
      </c>
      <c r="C93" s="39">
        <v>802759000</v>
      </c>
      <c r="D93" s="48">
        <v>776248000</v>
      </c>
      <c r="CG93" s="334"/>
    </row>
    <row r="94" spans="1:85" x14ac:dyDescent="0.5">
      <c r="B94" s="19" t="s">
        <v>76</v>
      </c>
      <c r="C94" s="33"/>
      <c r="D94" s="42"/>
      <c r="CG94" s="334"/>
    </row>
    <row r="95" spans="1:85" x14ac:dyDescent="0.5">
      <c r="B95" s="20" t="s">
        <v>77</v>
      </c>
      <c r="C95" s="34">
        <v>122377000</v>
      </c>
      <c r="D95" s="45">
        <v>121791000</v>
      </c>
      <c r="CG95" s="334"/>
    </row>
    <row r="96" spans="1:85" x14ac:dyDescent="0.5">
      <c r="B96" s="21" t="s">
        <v>78</v>
      </c>
      <c r="C96" s="33">
        <v>54819000</v>
      </c>
      <c r="D96" s="42">
        <v>63877000</v>
      </c>
      <c r="CG96" s="334"/>
    </row>
    <row r="97" spans="2:85" x14ac:dyDescent="0.5">
      <c r="B97" s="20" t="s">
        <v>42</v>
      </c>
      <c r="C97" s="34">
        <v>10235000</v>
      </c>
      <c r="D97" s="45">
        <v>10613000</v>
      </c>
      <c r="CG97" s="334"/>
    </row>
    <row r="98" spans="2:85" x14ac:dyDescent="0.5">
      <c r="B98" s="21" t="s">
        <v>79</v>
      </c>
      <c r="C98" s="46">
        <v>187431000</v>
      </c>
      <c r="D98" s="47">
        <v>196281000</v>
      </c>
      <c r="CG98" s="334"/>
    </row>
    <row r="99" spans="2:85" x14ac:dyDescent="0.5">
      <c r="B99" s="20" t="s">
        <v>80</v>
      </c>
      <c r="C99" s="49">
        <v>1301611000</v>
      </c>
      <c r="D99" s="50">
        <v>1440839000</v>
      </c>
      <c r="CG99" s="334"/>
    </row>
    <row r="100" spans="2:85" x14ac:dyDescent="0.5">
      <c r="B100" s="19" t="s">
        <v>81</v>
      </c>
      <c r="C100" s="37"/>
      <c r="D100" s="51"/>
      <c r="CG100" s="334"/>
    </row>
    <row r="101" spans="2:85" x14ac:dyDescent="0.5">
      <c r="B101" s="20" t="s">
        <v>43</v>
      </c>
      <c r="C101" s="34">
        <v>22455000</v>
      </c>
      <c r="D101" s="45">
        <v>19805000</v>
      </c>
      <c r="CG101" s="334"/>
    </row>
    <row r="102" spans="2:85" x14ac:dyDescent="0.5">
      <c r="B102" s="21" t="s">
        <v>44</v>
      </c>
      <c r="C102" s="33">
        <v>408637000</v>
      </c>
      <c r="D102" s="42">
        <v>359464000</v>
      </c>
      <c r="CG102" s="334"/>
    </row>
    <row r="103" spans="2:85" x14ac:dyDescent="0.5">
      <c r="B103" s="20" t="s">
        <v>82</v>
      </c>
      <c r="C103" s="34">
        <v>17229000</v>
      </c>
      <c r="D103" s="45">
        <v>17229000</v>
      </c>
      <c r="CG103" s="334"/>
    </row>
    <row r="104" spans="2:85" x14ac:dyDescent="0.5">
      <c r="B104" s="21" t="s">
        <v>83</v>
      </c>
      <c r="C104" s="33">
        <v>0</v>
      </c>
      <c r="D104" s="42">
        <v>2945000</v>
      </c>
      <c r="CG104" s="334"/>
    </row>
    <row r="105" spans="2:85" x14ac:dyDescent="0.5">
      <c r="B105" s="20" t="s">
        <v>84</v>
      </c>
      <c r="C105" s="36">
        <v>448321000</v>
      </c>
      <c r="D105" s="52">
        <v>399443000</v>
      </c>
      <c r="CG105" s="334"/>
    </row>
    <row r="106" spans="2:85" x14ac:dyDescent="0.5">
      <c r="B106" s="21" t="s">
        <v>85</v>
      </c>
      <c r="C106" s="37">
        <v>410594000</v>
      </c>
      <c r="D106" s="51">
        <v>388971000</v>
      </c>
      <c r="CG106" s="334"/>
    </row>
    <row r="107" spans="2:85" x14ac:dyDescent="0.5">
      <c r="B107" s="20" t="s">
        <v>45</v>
      </c>
      <c r="C107" s="34">
        <v>63369000</v>
      </c>
      <c r="D107" s="45">
        <v>62610000</v>
      </c>
      <c r="CG107" s="334"/>
    </row>
    <row r="108" spans="2:85" x14ac:dyDescent="0.5">
      <c r="B108" s="21" t="s">
        <v>36</v>
      </c>
      <c r="C108" s="33">
        <v>32301000</v>
      </c>
      <c r="D108" s="42">
        <v>35968000</v>
      </c>
      <c r="CG108" s="334"/>
    </row>
    <row r="109" spans="2:85" x14ac:dyDescent="0.5">
      <c r="B109" s="20" t="s">
        <v>46</v>
      </c>
      <c r="C109" s="34">
        <v>54636000</v>
      </c>
      <c r="D109" s="45">
        <v>52566000</v>
      </c>
      <c r="CG109" s="334"/>
    </row>
    <row r="110" spans="2:85" x14ac:dyDescent="0.5">
      <c r="B110" s="21" t="s">
        <v>86</v>
      </c>
      <c r="C110" s="46">
        <v>1009221000</v>
      </c>
      <c r="D110" s="47">
        <v>939558000</v>
      </c>
      <c r="CG110" s="334"/>
    </row>
    <row r="111" spans="2:85" x14ac:dyDescent="0.5">
      <c r="B111" s="20" t="s">
        <v>87</v>
      </c>
      <c r="C111" s="39"/>
      <c r="D111" s="48"/>
      <c r="CG111" s="334"/>
    </row>
    <row r="112" spans="2:85" x14ac:dyDescent="0.5">
      <c r="B112" s="21" t="s">
        <v>88</v>
      </c>
      <c r="C112" s="33">
        <v>3603000</v>
      </c>
      <c r="D112" s="42">
        <v>3981000</v>
      </c>
      <c r="CG112" s="334"/>
    </row>
    <row r="113" spans="2:85" x14ac:dyDescent="0.5">
      <c r="B113" s="22" t="s">
        <v>89</v>
      </c>
      <c r="C113" s="34"/>
      <c r="D113" s="45"/>
      <c r="CG113" s="334"/>
    </row>
    <row r="114" spans="2:85" ht="45" x14ac:dyDescent="0.5">
      <c r="B114" s="21" t="s">
        <v>90</v>
      </c>
      <c r="C114" s="33">
        <v>-1488779000</v>
      </c>
      <c r="D114" s="42">
        <v>-1111586000</v>
      </c>
      <c r="CG114" s="334"/>
    </row>
    <row r="115" spans="2:85" ht="60" x14ac:dyDescent="0.5">
      <c r="B115" s="20" t="s">
        <v>91</v>
      </c>
      <c r="C115" s="34">
        <v>0</v>
      </c>
      <c r="D115" s="45">
        <v>0</v>
      </c>
      <c r="CG115" s="334"/>
    </row>
    <row r="116" spans="2:85" x14ac:dyDescent="0.5">
      <c r="B116" s="21" t="s">
        <v>92</v>
      </c>
      <c r="C116" s="33">
        <v>257594000</v>
      </c>
      <c r="D116" s="42">
        <v>235393000</v>
      </c>
      <c r="CG116" s="334"/>
    </row>
    <row r="117" spans="2:85" x14ac:dyDescent="0.5">
      <c r="B117" s="20" t="s">
        <v>93</v>
      </c>
      <c r="C117" s="34">
        <v>-4124000</v>
      </c>
      <c r="D117" s="45">
        <v>-5029000</v>
      </c>
      <c r="CG117" s="334"/>
    </row>
    <row r="118" spans="2:85" x14ac:dyDescent="0.5">
      <c r="B118" s="21" t="s">
        <v>94</v>
      </c>
      <c r="C118" s="33">
        <v>1524093000</v>
      </c>
      <c r="D118" s="42">
        <v>1378519000</v>
      </c>
      <c r="CG118" s="334"/>
    </row>
    <row r="119" spans="2:85" x14ac:dyDescent="0.5">
      <c r="B119" s="20" t="s">
        <v>95</v>
      </c>
      <c r="C119" s="34">
        <v>288787000</v>
      </c>
      <c r="D119" s="45">
        <v>497300000</v>
      </c>
      <c r="CG119" s="334"/>
    </row>
    <row r="120" spans="2:85" ht="30" x14ac:dyDescent="0.5">
      <c r="B120" s="21" t="s">
        <v>96</v>
      </c>
      <c r="C120" s="46">
        <v>1301611000</v>
      </c>
      <c r="D120" s="47">
        <v>1440839000</v>
      </c>
      <c r="CG120" s="334"/>
    </row>
    <row r="121" spans="2:85" x14ac:dyDescent="0.5">
      <c r="B121" s="53" t="s">
        <v>97</v>
      </c>
      <c r="C121" s="54"/>
      <c r="D121" s="55"/>
      <c r="CG121" s="334"/>
    </row>
    <row r="122" spans="2:85" x14ac:dyDescent="0.5">
      <c r="B122" s="19" t="s">
        <v>89</v>
      </c>
      <c r="C122" s="56"/>
      <c r="D122" s="57"/>
      <c r="CG122" s="334"/>
    </row>
    <row r="123" spans="2:85" x14ac:dyDescent="0.5">
      <c r="B123" s="20" t="s">
        <v>98</v>
      </c>
      <c r="C123" s="34">
        <v>3000</v>
      </c>
      <c r="D123" s="45">
        <v>3000</v>
      </c>
      <c r="CG123" s="334"/>
    </row>
    <row r="124" spans="2:85" x14ac:dyDescent="0.5">
      <c r="B124" s="53" t="s">
        <v>99</v>
      </c>
      <c r="C124" s="58"/>
      <c r="D124" s="59"/>
      <c r="CG124" s="334"/>
    </row>
    <row r="125" spans="2:85" x14ac:dyDescent="0.5">
      <c r="B125" s="22" t="s">
        <v>89</v>
      </c>
      <c r="C125" s="34"/>
      <c r="D125" s="45"/>
      <c r="CG125" s="334"/>
    </row>
    <row r="126" spans="2:85" x14ac:dyDescent="0.5">
      <c r="B126" s="21" t="s">
        <v>98</v>
      </c>
      <c r="C126" s="40">
        <v>0</v>
      </c>
      <c r="D126" s="60">
        <v>0</v>
      </c>
      <c r="CG126" s="334"/>
    </row>
    <row r="127" spans="2:85" x14ac:dyDescent="0.5">
      <c r="CG127" s="334"/>
    </row>
    <row r="128" spans="2:85" x14ac:dyDescent="0.5">
      <c r="CG128" s="334"/>
    </row>
    <row r="129" spans="85:85" x14ac:dyDescent="0.5">
      <c r="CG129" s="334"/>
    </row>
    <row r="130" spans="85:85" x14ac:dyDescent="0.5">
      <c r="CG130" s="334"/>
    </row>
    <row r="131" spans="85:85" x14ac:dyDescent="0.5">
      <c r="CG131" s="334"/>
    </row>
    <row r="132" spans="85:85" x14ac:dyDescent="0.5">
      <c r="CG132" s="334"/>
    </row>
    <row r="133" spans="85:85" x14ac:dyDescent="0.5">
      <c r="CG133" s="334"/>
    </row>
    <row r="134" spans="85:85" x14ac:dyDescent="0.5">
      <c r="CG134" s="334"/>
    </row>
    <row r="135" spans="85:85" x14ac:dyDescent="0.5">
      <c r="CG135" s="334"/>
    </row>
    <row r="136" spans="85:85" x14ac:dyDescent="0.5">
      <c r="CG136" s="334"/>
    </row>
    <row r="137" spans="85:85" x14ac:dyDescent="0.5">
      <c r="CG137" s="334"/>
    </row>
    <row r="138" spans="85:85" x14ac:dyDescent="0.5">
      <c r="CG138" s="334"/>
    </row>
    <row r="139" spans="85:85" x14ac:dyDescent="0.5">
      <c r="CG139" s="334"/>
    </row>
    <row r="140" spans="85:85" x14ac:dyDescent="0.5">
      <c r="CG140" s="334"/>
    </row>
    <row r="141" spans="85:85" x14ac:dyDescent="0.5">
      <c r="CG141" s="334"/>
    </row>
    <row r="142" spans="85:85" x14ac:dyDescent="0.5">
      <c r="CG142" s="334"/>
    </row>
    <row r="143" spans="85:85" x14ac:dyDescent="0.5">
      <c r="CG143" s="334"/>
    </row>
    <row r="144" spans="85:85" x14ac:dyDescent="0.5">
      <c r="CG144" s="334"/>
    </row>
    <row r="145" spans="85:85" x14ac:dyDescent="0.5">
      <c r="CG145" s="334"/>
    </row>
    <row r="146" spans="85:85" x14ac:dyDescent="0.5">
      <c r="CG146" s="334"/>
    </row>
    <row r="147" spans="85:85" x14ac:dyDescent="0.5">
      <c r="CG147" s="334"/>
    </row>
    <row r="148" spans="85:85" x14ac:dyDescent="0.5">
      <c r="CG148" s="334"/>
    </row>
    <row r="149" spans="85:85" x14ac:dyDescent="0.5">
      <c r="CG149" s="334"/>
    </row>
    <row r="150" spans="85:85" x14ac:dyDescent="0.5">
      <c r="CG150" s="334"/>
    </row>
    <row r="151" spans="85:85" x14ac:dyDescent="0.5">
      <c r="CG151" s="334"/>
    </row>
    <row r="152" spans="85:85" x14ac:dyDescent="0.5">
      <c r="CG152" s="334"/>
    </row>
    <row r="153" spans="85:85" x14ac:dyDescent="0.5">
      <c r="CG153" s="334"/>
    </row>
    <row r="154" spans="85:85" x14ac:dyDescent="0.5">
      <c r="CG154" s="334"/>
    </row>
    <row r="155" spans="85:85" x14ac:dyDescent="0.5">
      <c r="CG155" s="334"/>
    </row>
    <row r="156" spans="85:85" x14ac:dyDescent="0.5">
      <c r="CG156" s="334"/>
    </row>
    <row r="157" spans="85:85" x14ac:dyDescent="0.5">
      <c r="CG157" s="334"/>
    </row>
    <row r="158" spans="85:85" x14ac:dyDescent="0.5">
      <c r="CG158" s="334"/>
    </row>
    <row r="159" spans="85:85" x14ac:dyDescent="0.5">
      <c r="CG159" s="334"/>
    </row>
    <row r="160" spans="85:85" x14ac:dyDescent="0.5">
      <c r="CG160" s="334"/>
    </row>
    <row r="161" spans="85:85" x14ac:dyDescent="0.5">
      <c r="CG161" s="334"/>
    </row>
    <row r="162" spans="85:85" x14ac:dyDescent="0.5">
      <c r="CG162" s="334"/>
    </row>
    <row r="163" spans="85:85" x14ac:dyDescent="0.5">
      <c r="CG163" s="334"/>
    </row>
    <row r="164" spans="85:85" x14ac:dyDescent="0.5">
      <c r="CG164" s="334"/>
    </row>
    <row r="165" spans="85:85" x14ac:dyDescent="0.5">
      <c r="CG165" s="334"/>
    </row>
    <row r="166" spans="85:85" x14ac:dyDescent="0.5">
      <c r="CG166" s="334"/>
    </row>
    <row r="167" spans="85:85" x14ac:dyDescent="0.5">
      <c r="CG167" s="334"/>
    </row>
    <row r="168" spans="85:85" x14ac:dyDescent="0.5">
      <c r="CG168" s="334"/>
    </row>
    <row r="169" spans="85:85" x14ac:dyDescent="0.5">
      <c r="CG169" s="334"/>
    </row>
    <row r="170" spans="85:85" x14ac:dyDescent="0.5">
      <c r="CG170" s="334"/>
    </row>
    <row r="171" spans="85:85" x14ac:dyDescent="0.5">
      <c r="CG171" s="334"/>
    </row>
    <row r="172" spans="85:85" x14ac:dyDescent="0.5">
      <c r="CG172" s="334"/>
    </row>
    <row r="173" spans="85:85" x14ac:dyDescent="0.5">
      <c r="CG173" s="334"/>
    </row>
    <row r="174" spans="85:85" x14ac:dyDescent="0.5">
      <c r="CG174" s="334"/>
    </row>
    <row r="175" spans="85:85" x14ac:dyDescent="0.5">
      <c r="CG175" s="334"/>
    </row>
    <row r="176" spans="85:85" x14ac:dyDescent="0.5">
      <c r="CG176" s="334"/>
    </row>
    <row r="177" spans="85:85" x14ac:dyDescent="0.5">
      <c r="CG177" s="334"/>
    </row>
    <row r="178" spans="85:85" x14ac:dyDescent="0.5">
      <c r="CG178" s="334"/>
    </row>
    <row r="179" spans="85:85" x14ac:dyDescent="0.5">
      <c r="CG179" s="334"/>
    </row>
    <row r="180" spans="85:85" x14ac:dyDescent="0.5">
      <c r="CG180" s="334"/>
    </row>
    <row r="181" spans="85:85" x14ac:dyDescent="0.5">
      <c r="CG181" s="334"/>
    </row>
    <row r="182" spans="85:85" x14ac:dyDescent="0.5">
      <c r="CG182" s="334"/>
    </row>
    <row r="183" spans="85:85" x14ac:dyDescent="0.5">
      <c r="CG183" s="334"/>
    </row>
    <row r="184" spans="85:85" x14ac:dyDescent="0.5">
      <c r="CG184" s="334"/>
    </row>
    <row r="185" spans="85:85" x14ac:dyDescent="0.5">
      <c r="CG185" s="334"/>
    </row>
    <row r="186" spans="85:85" x14ac:dyDescent="0.5">
      <c r="CG186" s="334"/>
    </row>
    <row r="187" spans="85:85" x14ac:dyDescent="0.5">
      <c r="CG187" s="334"/>
    </row>
    <row r="188" spans="85:85" x14ac:dyDescent="0.5">
      <c r="CG188" s="334"/>
    </row>
    <row r="189" spans="85:85" x14ac:dyDescent="0.5">
      <c r="CG189" s="334"/>
    </row>
    <row r="190" spans="85:85" x14ac:dyDescent="0.5">
      <c r="CG190" s="334"/>
    </row>
    <row r="191" spans="85:85" x14ac:dyDescent="0.5">
      <c r="CG191" s="334"/>
    </row>
    <row r="192" spans="85:85" x14ac:dyDescent="0.5">
      <c r="CG192" s="334"/>
    </row>
    <row r="193" spans="85:85" x14ac:dyDescent="0.5">
      <c r="CG193" s="334"/>
    </row>
    <row r="194" spans="85:85" x14ac:dyDescent="0.5">
      <c r="CG194" s="334"/>
    </row>
    <row r="195" spans="85:85" x14ac:dyDescent="0.5">
      <c r="CG195" s="334"/>
    </row>
    <row r="196" spans="85:85" x14ac:dyDescent="0.5">
      <c r="CG196" s="334"/>
    </row>
    <row r="197" spans="85:85" x14ac:dyDescent="0.5">
      <c r="CG197" s="334"/>
    </row>
    <row r="198" spans="85:85" x14ac:dyDescent="0.5">
      <c r="CG198" s="334"/>
    </row>
    <row r="199" spans="85:85" x14ac:dyDescent="0.5">
      <c r="CG199" s="334"/>
    </row>
    <row r="200" spans="85:85" x14ac:dyDescent="0.5">
      <c r="CG200" s="334"/>
    </row>
    <row r="201" spans="85:85" x14ac:dyDescent="0.5">
      <c r="CG201" s="334"/>
    </row>
    <row r="202" spans="85:85" x14ac:dyDescent="0.5">
      <c r="CG202" s="334"/>
    </row>
    <row r="203" spans="85:85" x14ac:dyDescent="0.5">
      <c r="CG203" s="334"/>
    </row>
    <row r="204" spans="85:85" x14ac:dyDescent="0.5">
      <c r="CG204" s="334"/>
    </row>
    <row r="205" spans="85:85" x14ac:dyDescent="0.5">
      <c r="CG205" s="334"/>
    </row>
    <row r="206" spans="85:85" x14ac:dyDescent="0.5">
      <c r="CG206" s="334"/>
    </row>
    <row r="207" spans="85:85" x14ac:dyDescent="0.5">
      <c r="CG207" s="334"/>
    </row>
    <row r="208" spans="85:85" x14ac:dyDescent="0.5">
      <c r="CG208" s="334"/>
    </row>
    <row r="209" spans="85:85" x14ac:dyDescent="0.5">
      <c r="CG209" s="334"/>
    </row>
    <row r="210" spans="85:85" x14ac:dyDescent="0.5">
      <c r="CG210" s="334"/>
    </row>
    <row r="211" spans="85:85" x14ac:dyDescent="0.5">
      <c r="CG211" s="334"/>
    </row>
    <row r="212" spans="85:85" x14ac:dyDescent="0.5">
      <c r="CG212" s="334"/>
    </row>
    <row r="213" spans="85:85" x14ac:dyDescent="0.5">
      <c r="CG213" s="334"/>
    </row>
    <row r="214" spans="85:85" x14ac:dyDescent="0.5">
      <c r="CG214" s="334"/>
    </row>
    <row r="215" spans="85:85" x14ac:dyDescent="0.5">
      <c r="CG215" s="334"/>
    </row>
    <row r="216" spans="85:85" x14ac:dyDescent="0.5">
      <c r="CG216" s="334"/>
    </row>
    <row r="217" spans="85:85" x14ac:dyDescent="0.5">
      <c r="CG217" s="334"/>
    </row>
    <row r="218" spans="85:85" x14ac:dyDescent="0.5">
      <c r="CG218" s="334"/>
    </row>
    <row r="219" spans="85:85" x14ac:dyDescent="0.5">
      <c r="CG219" s="334"/>
    </row>
    <row r="220" spans="85:85" x14ac:dyDescent="0.5">
      <c r="CG220" s="334"/>
    </row>
    <row r="221" spans="85:85" x14ac:dyDescent="0.5">
      <c r="CG221" s="334"/>
    </row>
    <row r="222" spans="85:85" x14ac:dyDescent="0.5">
      <c r="CG222" s="334"/>
    </row>
    <row r="223" spans="85:85" x14ac:dyDescent="0.5">
      <c r="CG223" s="334"/>
    </row>
    <row r="224" spans="85:85" x14ac:dyDescent="0.5">
      <c r="CG224" s="334"/>
    </row>
    <row r="225" spans="85:85" x14ac:dyDescent="0.5">
      <c r="CG225" s="334"/>
    </row>
    <row r="226" spans="85:85" x14ac:dyDescent="0.5">
      <c r="CG226" s="334"/>
    </row>
    <row r="227" spans="85:85" x14ac:dyDescent="0.5">
      <c r="CG227" s="334"/>
    </row>
    <row r="228" spans="85:85" x14ac:dyDescent="0.5">
      <c r="CG228" s="334"/>
    </row>
    <row r="229" spans="85:85" x14ac:dyDescent="0.5">
      <c r="CG229" s="334"/>
    </row>
    <row r="230" spans="85:85" x14ac:dyDescent="0.5">
      <c r="CG230" s="334"/>
    </row>
    <row r="231" spans="85:85" x14ac:dyDescent="0.5">
      <c r="CG231" s="334"/>
    </row>
    <row r="232" spans="85:85" x14ac:dyDescent="0.5">
      <c r="CG232" s="334"/>
    </row>
    <row r="233" spans="85:85" x14ac:dyDescent="0.5">
      <c r="CG233" s="334"/>
    </row>
    <row r="234" spans="85:85" x14ac:dyDescent="0.5">
      <c r="CG234" s="334"/>
    </row>
    <row r="235" spans="85:85" x14ac:dyDescent="0.5">
      <c r="CG235" s="334"/>
    </row>
    <row r="236" spans="85:85" x14ac:dyDescent="0.5">
      <c r="CG236" s="334"/>
    </row>
    <row r="237" spans="85:85" x14ac:dyDescent="0.5">
      <c r="CG237" s="334"/>
    </row>
    <row r="238" spans="85:85" x14ac:dyDescent="0.5">
      <c r="CG238" s="334"/>
    </row>
    <row r="239" spans="85:85" x14ac:dyDescent="0.5">
      <c r="CG239" s="334"/>
    </row>
    <row r="240" spans="85:85" x14ac:dyDescent="0.5">
      <c r="CG240" s="334"/>
    </row>
    <row r="241" spans="85:85" x14ac:dyDescent="0.5">
      <c r="CG241" s="334"/>
    </row>
    <row r="242" spans="85:85" x14ac:dyDescent="0.5">
      <c r="CG242" s="334"/>
    </row>
    <row r="243" spans="85:85" x14ac:dyDescent="0.5">
      <c r="CG243" s="334"/>
    </row>
    <row r="244" spans="85:85" x14ac:dyDescent="0.5">
      <c r="CG244" s="334"/>
    </row>
    <row r="245" spans="85:85" x14ac:dyDescent="0.5">
      <c r="CG245" s="334"/>
    </row>
    <row r="246" spans="85:85" x14ac:dyDescent="0.5">
      <c r="CG246" s="334"/>
    </row>
    <row r="247" spans="85:85" x14ac:dyDescent="0.5">
      <c r="CG247" s="334"/>
    </row>
    <row r="248" spans="85:85" x14ac:dyDescent="0.5">
      <c r="CG248" s="334"/>
    </row>
    <row r="249" spans="85:85" x14ac:dyDescent="0.5">
      <c r="CG249" s="334"/>
    </row>
    <row r="250" spans="85:85" x14ac:dyDescent="0.5">
      <c r="CG250" s="334"/>
    </row>
    <row r="251" spans="85:85" x14ac:dyDescent="0.5">
      <c r="CG251" s="334"/>
    </row>
    <row r="252" spans="85:85" x14ac:dyDescent="0.5">
      <c r="CG252" s="334"/>
    </row>
    <row r="253" spans="85:85" x14ac:dyDescent="0.5">
      <c r="CG253" s="334"/>
    </row>
    <row r="254" spans="85:85" x14ac:dyDescent="0.5">
      <c r="CG254" s="334"/>
    </row>
    <row r="255" spans="85:85" x14ac:dyDescent="0.5">
      <c r="CG255" s="334"/>
    </row>
    <row r="256" spans="85:85" x14ac:dyDescent="0.5">
      <c r="CG256" s="334"/>
    </row>
    <row r="257" spans="85:85" x14ac:dyDescent="0.5">
      <c r="CG257" s="334"/>
    </row>
    <row r="258" spans="85:85" x14ac:dyDescent="0.5">
      <c r="CG258" s="334"/>
    </row>
    <row r="259" spans="85:85" x14ac:dyDescent="0.5">
      <c r="CG259" s="334"/>
    </row>
    <row r="260" spans="85:85" x14ac:dyDescent="0.5">
      <c r="CG260" s="334"/>
    </row>
    <row r="261" spans="85:85" x14ac:dyDescent="0.5">
      <c r="CG261" s="334"/>
    </row>
    <row r="262" spans="85:85" x14ac:dyDescent="0.5">
      <c r="CG262" s="334"/>
    </row>
    <row r="263" spans="85:85" x14ac:dyDescent="0.5">
      <c r="CG263" s="334"/>
    </row>
    <row r="264" spans="85:85" x14ac:dyDescent="0.5">
      <c r="CG264" s="334"/>
    </row>
    <row r="265" spans="85:85" x14ac:dyDescent="0.5">
      <c r="CG265" s="334"/>
    </row>
    <row r="266" spans="85:85" x14ac:dyDescent="0.5">
      <c r="CG266" s="334"/>
    </row>
    <row r="267" spans="85:85" x14ac:dyDescent="0.5">
      <c r="CG267" s="334"/>
    </row>
    <row r="268" spans="85:85" x14ac:dyDescent="0.5">
      <c r="CG268" s="334"/>
    </row>
    <row r="269" spans="85:85" x14ac:dyDescent="0.5">
      <c r="CG269" s="334"/>
    </row>
    <row r="270" spans="85:85" x14ac:dyDescent="0.5">
      <c r="CG270" s="334"/>
    </row>
    <row r="271" spans="85:85" x14ac:dyDescent="0.5">
      <c r="CG271" s="334"/>
    </row>
    <row r="272" spans="85:85" x14ac:dyDescent="0.5">
      <c r="CG272" s="334"/>
    </row>
    <row r="273" spans="85:85" x14ac:dyDescent="0.5">
      <c r="CG273" s="334"/>
    </row>
    <row r="274" spans="85:85" x14ac:dyDescent="0.5">
      <c r="CG274" s="334"/>
    </row>
    <row r="275" spans="85:85" x14ac:dyDescent="0.5">
      <c r="CG275" s="334"/>
    </row>
    <row r="276" spans="85:85" x14ac:dyDescent="0.5">
      <c r="CG276" s="334"/>
    </row>
    <row r="277" spans="85:85" x14ac:dyDescent="0.5">
      <c r="CG277" s="334"/>
    </row>
    <row r="278" spans="85:85" x14ac:dyDescent="0.5">
      <c r="CG278" s="334"/>
    </row>
    <row r="279" spans="85:85" x14ac:dyDescent="0.5">
      <c r="CG279" s="334"/>
    </row>
    <row r="280" spans="85:85" x14ac:dyDescent="0.5">
      <c r="CG280" s="334"/>
    </row>
    <row r="281" spans="85:85" x14ac:dyDescent="0.5">
      <c r="CG281" s="334"/>
    </row>
    <row r="282" spans="85:85" x14ac:dyDescent="0.5">
      <c r="CG282" s="334"/>
    </row>
    <row r="283" spans="85:85" x14ac:dyDescent="0.5">
      <c r="CG283" s="334"/>
    </row>
    <row r="284" spans="85:85" x14ac:dyDescent="0.5">
      <c r="CG284" s="334"/>
    </row>
    <row r="285" spans="85:85" x14ac:dyDescent="0.5">
      <c r="CG285" s="334"/>
    </row>
    <row r="286" spans="85:85" x14ac:dyDescent="0.5">
      <c r="CG286" s="334"/>
    </row>
    <row r="287" spans="85:85" x14ac:dyDescent="0.5">
      <c r="CG287" s="334"/>
    </row>
    <row r="288" spans="85:85" x14ac:dyDescent="0.5">
      <c r="CG288" s="334"/>
    </row>
    <row r="289" spans="85:85" x14ac:dyDescent="0.5">
      <c r="CG289" s="334"/>
    </row>
    <row r="290" spans="85:85" x14ac:dyDescent="0.5">
      <c r="CG290" s="334"/>
    </row>
    <row r="291" spans="85:85" x14ac:dyDescent="0.5">
      <c r="CG291" s="334"/>
    </row>
    <row r="292" spans="85:85" x14ac:dyDescent="0.5">
      <c r="CG292" s="334"/>
    </row>
    <row r="293" spans="85:85" x14ac:dyDescent="0.5">
      <c r="CG293" s="334"/>
    </row>
    <row r="294" spans="85:85" x14ac:dyDescent="0.5">
      <c r="CG294" s="334"/>
    </row>
    <row r="295" spans="85:85" x14ac:dyDescent="0.5">
      <c r="CG295" s="334"/>
    </row>
    <row r="296" spans="85:85" x14ac:dyDescent="0.5">
      <c r="CG296" s="334"/>
    </row>
    <row r="297" spans="85:85" x14ac:dyDescent="0.5">
      <c r="CG297" s="334"/>
    </row>
    <row r="298" spans="85:85" x14ac:dyDescent="0.5">
      <c r="CG298" s="334"/>
    </row>
    <row r="299" spans="85:85" x14ac:dyDescent="0.5">
      <c r="CG299" s="334"/>
    </row>
    <row r="300" spans="85:85" x14ac:dyDescent="0.5">
      <c r="CG300" s="334"/>
    </row>
    <row r="301" spans="85:85" x14ac:dyDescent="0.5">
      <c r="CG301" s="334"/>
    </row>
    <row r="302" spans="85:85" x14ac:dyDescent="0.5">
      <c r="CG302" s="334"/>
    </row>
    <row r="303" spans="85:85" x14ac:dyDescent="0.5">
      <c r="CG303" s="334"/>
    </row>
    <row r="304" spans="85:85" x14ac:dyDescent="0.5">
      <c r="CG304" s="334"/>
    </row>
    <row r="305" spans="85:85" x14ac:dyDescent="0.5">
      <c r="CG305" s="334"/>
    </row>
    <row r="306" spans="85:85" x14ac:dyDescent="0.5">
      <c r="CG306" s="334"/>
    </row>
    <row r="307" spans="85:85" x14ac:dyDescent="0.5">
      <c r="CG307" s="334"/>
    </row>
    <row r="308" spans="85:85" x14ac:dyDescent="0.5">
      <c r="CG308" s="334"/>
    </row>
    <row r="309" spans="85:85" x14ac:dyDescent="0.5">
      <c r="CG309" s="334"/>
    </row>
    <row r="310" spans="85:85" x14ac:dyDescent="0.5">
      <c r="CG310" s="334"/>
    </row>
    <row r="311" spans="85:85" x14ac:dyDescent="0.5">
      <c r="CG311" s="334"/>
    </row>
    <row r="312" spans="85:85" x14ac:dyDescent="0.5">
      <c r="CG312" s="334"/>
    </row>
    <row r="313" spans="85:85" x14ac:dyDescent="0.5">
      <c r="CG313" s="334"/>
    </row>
    <row r="314" spans="85:85" x14ac:dyDescent="0.5">
      <c r="CG314" s="334"/>
    </row>
    <row r="315" spans="85:85" x14ac:dyDescent="0.5">
      <c r="CG315" s="334"/>
    </row>
    <row r="316" spans="85:85" x14ac:dyDescent="0.5">
      <c r="CG316" s="334"/>
    </row>
    <row r="317" spans="85:85" x14ac:dyDescent="0.5">
      <c r="CG317" s="334"/>
    </row>
    <row r="318" spans="85:85" x14ac:dyDescent="0.5">
      <c r="CG318" s="334"/>
    </row>
    <row r="319" spans="85:85" x14ac:dyDescent="0.5">
      <c r="CG319" s="334"/>
    </row>
    <row r="320" spans="85:85" x14ac:dyDescent="0.5">
      <c r="CG320" s="334"/>
    </row>
    <row r="321" spans="85:85" x14ac:dyDescent="0.5">
      <c r="CG321" s="334"/>
    </row>
    <row r="322" spans="85:85" x14ac:dyDescent="0.5">
      <c r="CG322" s="334"/>
    </row>
    <row r="323" spans="85:85" x14ac:dyDescent="0.5">
      <c r="CG323" s="334"/>
    </row>
    <row r="324" spans="85:85" x14ac:dyDescent="0.5">
      <c r="CG324" s="334"/>
    </row>
    <row r="325" spans="85:85" x14ac:dyDescent="0.5">
      <c r="CG325" s="334"/>
    </row>
    <row r="326" spans="85:85" x14ac:dyDescent="0.5">
      <c r="CG326" s="334"/>
    </row>
    <row r="327" spans="85:85" x14ac:dyDescent="0.5">
      <c r="CG327" s="334"/>
    </row>
    <row r="328" spans="85:85" x14ac:dyDescent="0.5">
      <c r="CG328" s="334"/>
    </row>
    <row r="329" spans="85:85" x14ac:dyDescent="0.5">
      <c r="CG329" s="334"/>
    </row>
    <row r="330" spans="85:85" x14ac:dyDescent="0.5">
      <c r="CG330" s="334"/>
    </row>
    <row r="331" spans="85:85" x14ac:dyDescent="0.5">
      <c r="CG331" s="334"/>
    </row>
    <row r="332" spans="85:85" x14ac:dyDescent="0.5">
      <c r="CG332" s="334"/>
    </row>
    <row r="333" spans="85:85" x14ac:dyDescent="0.5">
      <c r="CG333" s="334"/>
    </row>
    <row r="334" spans="85:85" x14ac:dyDescent="0.5">
      <c r="CG334" s="334"/>
    </row>
    <row r="335" spans="85:85" x14ac:dyDescent="0.5">
      <c r="CG335" s="334"/>
    </row>
    <row r="336" spans="85:85" x14ac:dyDescent="0.5">
      <c r="CG336" s="334"/>
    </row>
    <row r="337" spans="85:85" x14ac:dyDescent="0.5">
      <c r="CG337" s="334"/>
    </row>
    <row r="338" spans="85:85" x14ac:dyDescent="0.5">
      <c r="CG338" s="334"/>
    </row>
    <row r="339" spans="85:85" x14ac:dyDescent="0.5">
      <c r="CG339" s="334"/>
    </row>
    <row r="340" spans="85:85" x14ac:dyDescent="0.5">
      <c r="CG340" s="334"/>
    </row>
    <row r="341" spans="85:85" x14ac:dyDescent="0.5">
      <c r="CG341" s="334"/>
    </row>
    <row r="342" spans="85:85" x14ac:dyDescent="0.5">
      <c r="CG342" s="334"/>
    </row>
    <row r="343" spans="85:85" x14ac:dyDescent="0.5">
      <c r="CG343" s="334"/>
    </row>
    <row r="344" spans="85:85" x14ac:dyDescent="0.5">
      <c r="CG344" s="334"/>
    </row>
    <row r="345" spans="85:85" x14ac:dyDescent="0.5">
      <c r="CG345" s="334"/>
    </row>
    <row r="346" spans="85:85" x14ac:dyDescent="0.5">
      <c r="CG346" s="334"/>
    </row>
    <row r="347" spans="85:85" x14ac:dyDescent="0.5">
      <c r="CG347" s="334"/>
    </row>
    <row r="348" spans="85:85" x14ac:dyDescent="0.5">
      <c r="CG348" s="334"/>
    </row>
    <row r="349" spans="85:85" x14ac:dyDescent="0.5">
      <c r="CG349" s="334"/>
    </row>
    <row r="350" spans="85:85" x14ac:dyDescent="0.5">
      <c r="CG350" s="334"/>
    </row>
    <row r="351" spans="85:85" x14ac:dyDescent="0.5">
      <c r="CG351" s="334"/>
    </row>
    <row r="352" spans="85:85" x14ac:dyDescent="0.5">
      <c r="CG352" s="334"/>
    </row>
    <row r="353" spans="85:85" x14ac:dyDescent="0.5">
      <c r="CG353" s="334"/>
    </row>
    <row r="354" spans="85:85" x14ac:dyDescent="0.5">
      <c r="CG354" s="334"/>
    </row>
    <row r="355" spans="85:85" x14ac:dyDescent="0.5">
      <c r="CG355" s="334"/>
    </row>
    <row r="356" spans="85:85" x14ac:dyDescent="0.5">
      <c r="CG356" s="334"/>
    </row>
    <row r="357" spans="85:85" x14ac:dyDescent="0.5">
      <c r="CG357" s="334"/>
    </row>
    <row r="358" spans="85:85" x14ac:dyDescent="0.5">
      <c r="CG358" s="334"/>
    </row>
    <row r="359" spans="85:85" x14ac:dyDescent="0.5">
      <c r="CG359" s="334"/>
    </row>
    <row r="360" spans="85:85" x14ac:dyDescent="0.5">
      <c r="CG360" s="334"/>
    </row>
    <row r="361" spans="85:85" x14ac:dyDescent="0.5">
      <c r="CG361" s="334"/>
    </row>
    <row r="362" spans="85:85" x14ac:dyDescent="0.5">
      <c r="CG362" s="334"/>
    </row>
    <row r="363" spans="85:85" x14ac:dyDescent="0.5">
      <c r="CG363" s="334"/>
    </row>
    <row r="364" spans="85:85" x14ac:dyDescent="0.5">
      <c r="CG364" s="334"/>
    </row>
    <row r="365" spans="85:85" x14ac:dyDescent="0.5">
      <c r="CG365" s="334"/>
    </row>
    <row r="366" spans="85:85" x14ac:dyDescent="0.5">
      <c r="CG366" s="334"/>
    </row>
    <row r="367" spans="85:85" x14ac:dyDescent="0.5">
      <c r="CG367" s="334"/>
    </row>
    <row r="368" spans="85:85" x14ac:dyDescent="0.5">
      <c r="CG368" s="334"/>
    </row>
    <row r="369" spans="85:85" x14ac:dyDescent="0.5">
      <c r="CG369" s="334"/>
    </row>
    <row r="370" spans="85:85" x14ac:dyDescent="0.5">
      <c r="CG370" s="334"/>
    </row>
    <row r="371" spans="85:85" x14ac:dyDescent="0.5">
      <c r="CG371" s="334"/>
    </row>
    <row r="372" spans="85:85" x14ac:dyDescent="0.5">
      <c r="CG372" s="334"/>
    </row>
    <row r="373" spans="85:85" x14ac:dyDescent="0.5">
      <c r="CG373" s="334"/>
    </row>
    <row r="374" spans="85:85" x14ac:dyDescent="0.5">
      <c r="CG374" s="334"/>
    </row>
    <row r="375" spans="85:85" x14ac:dyDescent="0.5">
      <c r="CG375" s="334"/>
    </row>
    <row r="376" spans="85:85" x14ac:dyDescent="0.5">
      <c r="CG376" s="334"/>
    </row>
    <row r="377" spans="85:85" x14ac:dyDescent="0.5">
      <c r="CG377" s="334"/>
    </row>
    <row r="378" spans="85:85" x14ac:dyDescent="0.5">
      <c r="CG378" s="334"/>
    </row>
    <row r="379" spans="85:85" x14ac:dyDescent="0.5">
      <c r="CG379" s="334"/>
    </row>
    <row r="380" spans="85:85" x14ac:dyDescent="0.5">
      <c r="CG380" s="334"/>
    </row>
    <row r="381" spans="85:85" x14ac:dyDescent="0.5">
      <c r="CG381" s="334"/>
    </row>
    <row r="382" spans="85:85" x14ac:dyDescent="0.5">
      <c r="CG382" s="334"/>
    </row>
    <row r="383" spans="85:85" x14ac:dyDescent="0.5">
      <c r="CG383" s="334"/>
    </row>
    <row r="384" spans="85:85" x14ac:dyDescent="0.5">
      <c r="CG384" s="334"/>
    </row>
    <row r="385" spans="85:85" x14ac:dyDescent="0.5">
      <c r="CG385" s="334"/>
    </row>
    <row r="386" spans="85:85" x14ac:dyDescent="0.5">
      <c r="CG386" s="334"/>
    </row>
    <row r="387" spans="85:85" x14ac:dyDescent="0.5">
      <c r="CG387" s="334"/>
    </row>
    <row r="388" spans="85:85" x14ac:dyDescent="0.5">
      <c r="CG388" s="334"/>
    </row>
    <row r="389" spans="85:85" x14ac:dyDescent="0.5">
      <c r="CG389" s="334"/>
    </row>
    <row r="390" spans="85:85" x14ac:dyDescent="0.5">
      <c r="CG390" s="334"/>
    </row>
    <row r="391" spans="85:85" x14ac:dyDescent="0.5">
      <c r="CG391" s="334"/>
    </row>
    <row r="392" spans="85:85" x14ac:dyDescent="0.5">
      <c r="CG392" s="334"/>
    </row>
    <row r="393" spans="85:85" x14ac:dyDescent="0.5">
      <c r="CG393" s="334"/>
    </row>
    <row r="394" spans="85:85" x14ac:dyDescent="0.5">
      <c r="CG394" s="334"/>
    </row>
    <row r="395" spans="85:85" x14ac:dyDescent="0.5">
      <c r="CG395" s="334"/>
    </row>
    <row r="396" spans="85:85" x14ac:dyDescent="0.5">
      <c r="CG396" s="334"/>
    </row>
    <row r="397" spans="85:85" x14ac:dyDescent="0.5">
      <c r="CG397" s="334"/>
    </row>
    <row r="398" spans="85:85" x14ac:dyDescent="0.5">
      <c r="CG398" s="334"/>
    </row>
    <row r="399" spans="85:85" x14ac:dyDescent="0.5">
      <c r="CG399" s="334"/>
    </row>
    <row r="400" spans="85:85" x14ac:dyDescent="0.5">
      <c r="CG400" s="334"/>
    </row>
    <row r="401" spans="85:85" x14ac:dyDescent="0.5">
      <c r="CG401" s="334"/>
    </row>
    <row r="402" spans="85:85" x14ac:dyDescent="0.5">
      <c r="CG402" s="334"/>
    </row>
    <row r="403" spans="85:85" x14ac:dyDescent="0.5">
      <c r="CG403" s="334"/>
    </row>
    <row r="404" spans="85:85" x14ac:dyDescent="0.5">
      <c r="CG404" s="334"/>
    </row>
    <row r="405" spans="85:85" x14ac:dyDescent="0.5">
      <c r="CG405" s="334"/>
    </row>
    <row r="406" spans="85:85" x14ac:dyDescent="0.5">
      <c r="CG406" s="334"/>
    </row>
    <row r="407" spans="85:85" x14ac:dyDescent="0.5">
      <c r="CG407" s="334"/>
    </row>
    <row r="408" spans="85:85" x14ac:dyDescent="0.5">
      <c r="CG408" s="334"/>
    </row>
    <row r="409" spans="85:85" x14ac:dyDescent="0.5">
      <c r="CG409" s="334"/>
    </row>
    <row r="410" spans="85:85" x14ac:dyDescent="0.5">
      <c r="CG410" s="334"/>
    </row>
    <row r="411" spans="85:85" x14ac:dyDescent="0.5">
      <c r="CG411" s="334"/>
    </row>
    <row r="412" spans="85:85" x14ac:dyDescent="0.5">
      <c r="CG412" s="334"/>
    </row>
    <row r="413" spans="85:85" x14ac:dyDescent="0.5">
      <c r="CG413" s="334"/>
    </row>
    <row r="414" spans="85:85" x14ac:dyDescent="0.5">
      <c r="CG414" s="334"/>
    </row>
    <row r="415" spans="85:85" x14ac:dyDescent="0.5">
      <c r="CG415" s="334"/>
    </row>
    <row r="416" spans="85:85" x14ac:dyDescent="0.5">
      <c r="CG416" s="334"/>
    </row>
    <row r="417" spans="85:85" x14ac:dyDescent="0.5">
      <c r="CG417" s="334"/>
    </row>
    <row r="418" spans="85:85" x14ac:dyDescent="0.5">
      <c r="CG418" s="334"/>
    </row>
    <row r="419" spans="85:85" x14ac:dyDescent="0.5">
      <c r="CG419" s="334"/>
    </row>
    <row r="420" spans="85:85" x14ac:dyDescent="0.5">
      <c r="CG420" s="334"/>
    </row>
    <row r="421" spans="85:85" x14ac:dyDescent="0.5">
      <c r="CG421" s="334"/>
    </row>
    <row r="422" spans="85:85" x14ac:dyDescent="0.5">
      <c r="CG422" s="334"/>
    </row>
    <row r="423" spans="85:85" x14ac:dyDescent="0.5">
      <c r="CG423" s="334"/>
    </row>
    <row r="424" spans="85:85" x14ac:dyDescent="0.5">
      <c r="CG424" s="334"/>
    </row>
    <row r="425" spans="85:85" x14ac:dyDescent="0.5">
      <c r="CG425" s="334"/>
    </row>
    <row r="426" spans="85:85" x14ac:dyDescent="0.5">
      <c r="CG426" s="334"/>
    </row>
    <row r="427" spans="85:85" x14ac:dyDescent="0.5">
      <c r="CG427" s="334"/>
    </row>
    <row r="428" spans="85:85" x14ac:dyDescent="0.5">
      <c r="CG428" s="334"/>
    </row>
    <row r="429" spans="85:85" x14ac:dyDescent="0.5">
      <c r="CG429" s="334"/>
    </row>
    <row r="430" spans="85:85" x14ac:dyDescent="0.5">
      <c r="CG430" s="334"/>
    </row>
    <row r="431" spans="85:85" x14ac:dyDescent="0.5">
      <c r="CG431" s="334"/>
    </row>
    <row r="432" spans="85:85" x14ac:dyDescent="0.5">
      <c r="CG432" s="334"/>
    </row>
    <row r="433" spans="85:85" x14ac:dyDescent="0.5">
      <c r="CG433" s="334"/>
    </row>
    <row r="434" spans="85:85" x14ac:dyDescent="0.5">
      <c r="CG434" s="334"/>
    </row>
    <row r="435" spans="85:85" x14ac:dyDescent="0.5">
      <c r="CG435" s="334"/>
    </row>
    <row r="436" spans="85:85" x14ac:dyDescent="0.5">
      <c r="CG436" s="334"/>
    </row>
    <row r="437" spans="85:85" x14ac:dyDescent="0.5">
      <c r="CG437" s="334"/>
    </row>
    <row r="438" spans="85:85" x14ac:dyDescent="0.5">
      <c r="CG438" s="334"/>
    </row>
    <row r="439" spans="85:85" x14ac:dyDescent="0.5">
      <c r="CG439" s="334"/>
    </row>
    <row r="440" spans="85:85" x14ac:dyDescent="0.5">
      <c r="CG440" s="334"/>
    </row>
    <row r="441" spans="85:85" x14ac:dyDescent="0.5">
      <c r="CG441" s="334"/>
    </row>
    <row r="442" spans="85:85" x14ac:dyDescent="0.5">
      <c r="CG442" s="334"/>
    </row>
    <row r="443" spans="85:85" x14ac:dyDescent="0.5">
      <c r="CG443" s="334"/>
    </row>
    <row r="444" spans="85:85" x14ac:dyDescent="0.5">
      <c r="CG444" s="334"/>
    </row>
    <row r="445" spans="85:85" x14ac:dyDescent="0.5">
      <c r="CG445" s="334"/>
    </row>
    <row r="446" spans="85:85" x14ac:dyDescent="0.5">
      <c r="CG446" s="334"/>
    </row>
    <row r="447" spans="85:85" x14ac:dyDescent="0.5">
      <c r="CG447" s="334"/>
    </row>
    <row r="448" spans="85:85" x14ac:dyDescent="0.5">
      <c r="CG448" s="334"/>
    </row>
    <row r="449" spans="85:85" x14ac:dyDescent="0.5">
      <c r="CG449" s="334"/>
    </row>
    <row r="450" spans="85:85" x14ac:dyDescent="0.5">
      <c r="CG450" s="334"/>
    </row>
    <row r="451" spans="85:85" x14ac:dyDescent="0.5">
      <c r="CG451" s="334"/>
    </row>
    <row r="452" spans="85:85" x14ac:dyDescent="0.5">
      <c r="CG452" s="334"/>
    </row>
    <row r="453" spans="85:85" x14ac:dyDescent="0.5">
      <c r="CG453" s="334"/>
    </row>
    <row r="454" spans="85:85" x14ac:dyDescent="0.5">
      <c r="CG454" s="334"/>
    </row>
    <row r="455" spans="85:85" x14ac:dyDescent="0.5">
      <c r="CG455" s="334"/>
    </row>
    <row r="456" spans="85:85" x14ac:dyDescent="0.5">
      <c r="CG456" s="334"/>
    </row>
    <row r="457" spans="85:85" x14ac:dyDescent="0.5">
      <c r="CG457" s="334"/>
    </row>
    <row r="458" spans="85:85" x14ac:dyDescent="0.5">
      <c r="CG458" s="334"/>
    </row>
    <row r="459" spans="85:85" x14ac:dyDescent="0.5">
      <c r="CG459" s="334"/>
    </row>
    <row r="460" spans="85:85" x14ac:dyDescent="0.5">
      <c r="CG460" s="334"/>
    </row>
    <row r="461" spans="85:85" x14ac:dyDescent="0.5">
      <c r="CG461" s="334"/>
    </row>
    <row r="462" spans="85:85" x14ac:dyDescent="0.5">
      <c r="CG462" s="334"/>
    </row>
    <row r="463" spans="85:85" x14ac:dyDescent="0.5">
      <c r="CG463" s="334"/>
    </row>
    <row r="464" spans="85:85" x14ac:dyDescent="0.5">
      <c r="CG464" s="334"/>
    </row>
    <row r="465" spans="85:85" x14ac:dyDescent="0.5">
      <c r="CG465" s="334"/>
    </row>
    <row r="466" spans="85:85" x14ac:dyDescent="0.5">
      <c r="CG466" s="334"/>
    </row>
    <row r="467" spans="85:85" x14ac:dyDescent="0.5">
      <c r="CG467" s="334"/>
    </row>
    <row r="468" spans="85:85" x14ac:dyDescent="0.5">
      <c r="CG468" s="334"/>
    </row>
    <row r="469" spans="85:85" x14ac:dyDescent="0.5">
      <c r="CG469" s="334"/>
    </row>
    <row r="470" spans="85:85" x14ac:dyDescent="0.5">
      <c r="CG470" s="334"/>
    </row>
    <row r="471" spans="85:85" x14ac:dyDescent="0.5">
      <c r="CG471" s="334"/>
    </row>
    <row r="472" spans="85:85" x14ac:dyDescent="0.5">
      <c r="CG472" s="334"/>
    </row>
    <row r="473" spans="85:85" x14ac:dyDescent="0.5">
      <c r="CG473" s="334"/>
    </row>
    <row r="474" spans="85:85" x14ac:dyDescent="0.5">
      <c r="CG474" s="334"/>
    </row>
    <row r="475" spans="85:85" x14ac:dyDescent="0.5">
      <c r="CG475" s="334"/>
    </row>
    <row r="476" spans="85:85" x14ac:dyDescent="0.5">
      <c r="CG476" s="334"/>
    </row>
    <row r="477" spans="85:85" x14ac:dyDescent="0.5">
      <c r="CG477" s="334"/>
    </row>
    <row r="478" spans="85:85" x14ac:dyDescent="0.5">
      <c r="CG478" s="334"/>
    </row>
    <row r="479" spans="85:85" x14ac:dyDescent="0.5">
      <c r="CG479" s="334"/>
    </row>
    <row r="480" spans="85:85" x14ac:dyDescent="0.5">
      <c r="CG480" s="334"/>
    </row>
    <row r="481" spans="85:85" x14ac:dyDescent="0.5">
      <c r="CG481" s="334"/>
    </row>
    <row r="482" spans="85:85" x14ac:dyDescent="0.5">
      <c r="CG482" s="334"/>
    </row>
    <row r="483" spans="85:85" x14ac:dyDescent="0.5">
      <c r="CG483" s="334"/>
    </row>
    <row r="484" spans="85:85" x14ac:dyDescent="0.5">
      <c r="CG484" s="334"/>
    </row>
    <row r="485" spans="85:85" x14ac:dyDescent="0.5">
      <c r="CG485" s="334"/>
    </row>
    <row r="486" spans="85:85" x14ac:dyDescent="0.5">
      <c r="CG486" s="334"/>
    </row>
    <row r="487" spans="85:85" x14ac:dyDescent="0.5">
      <c r="CG487" s="334"/>
    </row>
    <row r="488" spans="85:85" x14ac:dyDescent="0.5">
      <c r="CG488" s="334"/>
    </row>
    <row r="489" spans="85:85" x14ac:dyDescent="0.5">
      <c r="CG489" s="334"/>
    </row>
    <row r="490" spans="85:85" x14ac:dyDescent="0.5">
      <c r="CG490" s="334"/>
    </row>
    <row r="491" spans="85:85" x14ac:dyDescent="0.5">
      <c r="CG491" s="334"/>
    </row>
    <row r="492" spans="85:85" x14ac:dyDescent="0.5">
      <c r="CG492" s="334"/>
    </row>
    <row r="493" spans="85:85" x14ac:dyDescent="0.5">
      <c r="CG493" s="334"/>
    </row>
    <row r="494" spans="85:85" x14ac:dyDescent="0.5">
      <c r="CG494" s="334"/>
    </row>
    <row r="495" spans="85:85" x14ac:dyDescent="0.5">
      <c r="CG495" s="334"/>
    </row>
    <row r="496" spans="85:85" x14ac:dyDescent="0.5">
      <c r="CG496" s="334"/>
    </row>
    <row r="497" spans="85:85" x14ac:dyDescent="0.5">
      <c r="CG497" s="334"/>
    </row>
    <row r="498" spans="85:85" x14ac:dyDescent="0.5">
      <c r="CG498" s="334"/>
    </row>
    <row r="499" spans="85:85" x14ac:dyDescent="0.5">
      <c r="CG499" s="334"/>
    </row>
    <row r="500" spans="85:85" x14ac:dyDescent="0.5">
      <c r="CG500" s="334"/>
    </row>
    <row r="501" spans="85:85" x14ac:dyDescent="0.5">
      <c r="CG501" s="334"/>
    </row>
    <row r="502" spans="85:85" x14ac:dyDescent="0.5">
      <c r="CG502" s="334"/>
    </row>
    <row r="503" spans="85:85" x14ac:dyDescent="0.5">
      <c r="CG503" s="334"/>
    </row>
    <row r="504" spans="85:85" x14ac:dyDescent="0.5">
      <c r="CG504" s="334"/>
    </row>
    <row r="505" spans="85:85" x14ac:dyDescent="0.5">
      <c r="CG505" s="334"/>
    </row>
    <row r="506" spans="85:85" x14ac:dyDescent="0.5">
      <c r="CG506" s="334"/>
    </row>
    <row r="507" spans="85:85" x14ac:dyDescent="0.5">
      <c r="CG507" s="334"/>
    </row>
    <row r="508" spans="85:85" x14ac:dyDescent="0.5">
      <c r="CG508" s="334"/>
    </row>
    <row r="509" spans="85:85" x14ac:dyDescent="0.5">
      <c r="CG509" s="334"/>
    </row>
    <row r="510" spans="85:85" x14ac:dyDescent="0.5">
      <c r="CG510" s="334"/>
    </row>
    <row r="511" spans="85:85" x14ac:dyDescent="0.5">
      <c r="CG511" s="334"/>
    </row>
    <row r="512" spans="85:85" x14ac:dyDescent="0.5">
      <c r="CG512" s="334"/>
    </row>
    <row r="513" spans="85:85" x14ac:dyDescent="0.5">
      <c r="CG513" s="334"/>
    </row>
    <row r="514" spans="85:85" x14ac:dyDescent="0.5">
      <c r="CG514" s="334"/>
    </row>
    <row r="515" spans="85:85" x14ac:dyDescent="0.5">
      <c r="CG515" s="334"/>
    </row>
    <row r="516" spans="85:85" x14ac:dyDescent="0.5">
      <c r="CG516" s="334"/>
    </row>
    <row r="517" spans="85:85" x14ac:dyDescent="0.5">
      <c r="CG517" s="334"/>
    </row>
    <row r="518" spans="85:85" x14ac:dyDescent="0.5">
      <c r="CG518" s="334"/>
    </row>
    <row r="519" spans="85:85" x14ac:dyDescent="0.5">
      <c r="CG519" s="334"/>
    </row>
    <row r="520" spans="85:85" x14ac:dyDescent="0.5">
      <c r="CG520" s="334"/>
    </row>
    <row r="521" spans="85:85" x14ac:dyDescent="0.5">
      <c r="CG521" s="334"/>
    </row>
    <row r="522" spans="85:85" x14ac:dyDescent="0.5">
      <c r="CG522" s="334"/>
    </row>
    <row r="523" spans="85:85" x14ac:dyDescent="0.5">
      <c r="CG523" s="334"/>
    </row>
    <row r="524" spans="85:85" x14ac:dyDescent="0.5">
      <c r="CG524" s="334"/>
    </row>
    <row r="525" spans="85:85" x14ac:dyDescent="0.5">
      <c r="CG525" s="334"/>
    </row>
    <row r="526" spans="85:85" x14ac:dyDescent="0.5">
      <c r="CG526" s="334"/>
    </row>
    <row r="527" spans="85:85" x14ac:dyDescent="0.5">
      <c r="CG527" s="334"/>
    </row>
    <row r="528" spans="85:85" x14ac:dyDescent="0.5">
      <c r="CG528" s="334"/>
    </row>
    <row r="529" spans="85:85" x14ac:dyDescent="0.5">
      <c r="CG529" s="334"/>
    </row>
    <row r="530" spans="85:85" x14ac:dyDescent="0.5">
      <c r="CG530" s="334"/>
    </row>
    <row r="531" spans="85:85" x14ac:dyDescent="0.5">
      <c r="CG531" s="334"/>
    </row>
    <row r="532" spans="85:85" x14ac:dyDescent="0.5">
      <c r="CG532" s="334"/>
    </row>
    <row r="533" spans="85:85" x14ac:dyDescent="0.5">
      <c r="CG533" s="334"/>
    </row>
    <row r="534" spans="85:85" x14ac:dyDescent="0.5">
      <c r="CG534" s="334"/>
    </row>
    <row r="535" spans="85:85" x14ac:dyDescent="0.5">
      <c r="CG535" s="334"/>
    </row>
    <row r="536" spans="85:85" x14ac:dyDescent="0.5">
      <c r="CG536" s="334"/>
    </row>
    <row r="537" spans="85:85" x14ac:dyDescent="0.5">
      <c r="CG537" s="334"/>
    </row>
    <row r="538" spans="85:85" x14ac:dyDescent="0.5">
      <c r="CG538" s="334"/>
    </row>
    <row r="539" spans="85:85" x14ac:dyDescent="0.5">
      <c r="CG539" s="334"/>
    </row>
    <row r="540" spans="85:85" x14ac:dyDescent="0.5">
      <c r="CG540" s="334"/>
    </row>
    <row r="541" spans="85:85" x14ac:dyDescent="0.5">
      <c r="CG541" s="334"/>
    </row>
    <row r="542" spans="85:85" x14ac:dyDescent="0.5">
      <c r="CG542" s="334"/>
    </row>
    <row r="543" spans="85:85" x14ac:dyDescent="0.5">
      <c r="CG543" s="334"/>
    </row>
    <row r="544" spans="85:85" x14ac:dyDescent="0.5">
      <c r="CG544" s="334"/>
    </row>
    <row r="545" spans="85:85" x14ac:dyDescent="0.5">
      <c r="CG545" s="334"/>
    </row>
    <row r="546" spans="85:85" x14ac:dyDescent="0.5">
      <c r="CG546" s="334"/>
    </row>
    <row r="547" spans="85:85" x14ac:dyDescent="0.5">
      <c r="CG547" s="334"/>
    </row>
    <row r="548" spans="85:85" x14ac:dyDescent="0.5">
      <c r="CG548" s="334"/>
    </row>
    <row r="549" spans="85:85" x14ac:dyDescent="0.5">
      <c r="CG549" s="334"/>
    </row>
    <row r="550" spans="85:85" x14ac:dyDescent="0.5">
      <c r="CG550" s="334"/>
    </row>
    <row r="551" spans="85:85" x14ac:dyDescent="0.5">
      <c r="CG551" s="334"/>
    </row>
    <row r="552" spans="85:85" x14ac:dyDescent="0.5">
      <c r="CG552" s="334"/>
    </row>
    <row r="553" spans="85:85" x14ac:dyDescent="0.5">
      <c r="CG553" s="334"/>
    </row>
    <row r="554" spans="85:85" x14ac:dyDescent="0.5">
      <c r="CG554" s="334"/>
    </row>
    <row r="555" spans="85:85" x14ac:dyDescent="0.5">
      <c r="CG555" s="334"/>
    </row>
    <row r="556" spans="85:85" x14ac:dyDescent="0.5">
      <c r="CG556" s="334"/>
    </row>
    <row r="557" spans="85:85" x14ac:dyDescent="0.5">
      <c r="CG557" s="334"/>
    </row>
    <row r="558" spans="85:85" x14ac:dyDescent="0.5">
      <c r="CG558" s="334"/>
    </row>
    <row r="559" spans="85:85" x14ac:dyDescent="0.5">
      <c r="CG559" s="334"/>
    </row>
    <row r="560" spans="85:85" x14ac:dyDescent="0.5">
      <c r="CG560" s="334"/>
    </row>
    <row r="561" spans="85:85" x14ac:dyDescent="0.5">
      <c r="CG561" s="334"/>
    </row>
    <row r="562" spans="85:85" x14ac:dyDescent="0.5">
      <c r="CG562" s="334"/>
    </row>
    <row r="563" spans="85:85" x14ac:dyDescent="0.5">
      <c r="CG563" s="334"/>
    </row>
    <row r="564" spans="85:85" x14ac:dyDescent="0.5">
      <c r="CG564" s="334"/>
    </row>
    <row r="565" spans="85:85" x14ac:dyDescent="0.5">
      <c r="CG565" s="334"/>
    </row>
    <row r="566" spans="85:85" x14ac:dyDescent="0.5">
      <c r="CG566" s="334"/>
    </row>
    <row r="567" spans="85:85" x14ac:dyDescent="0.5">
      <c r="CG567" s="334"/>
    </row>
    <row r="568" spans="85:85" x14ac:dyDescent="0.5">
      <c r="CG568" s="334"/>
    </row>
    <row r="569" spans="85:85" x14ac:dyDescent="0.5">
      <c r="CG569" s="334"/>
    </row>
    <row r="570" spans="85:85" x14ac:dyDescent="0.5">
      <c r="CG570" s="334"/>
    </row>
    <row r="571" spans="85:85" x14ac:dyDescent="0.5">
      <c r="CG571" s="334"/>
    </row>
    <row r="572" spans="85:85" x14ac:dyDescent="0.5">
      <c r="CG572" s="334"/>
    </row>
    <row r="573" spans="85:85" x14ac:dyDescent="0.5">
      <c r="CG573" s="334"/>
    </row>
    <row r="574" spans="85:85" x14ac:dyDescent="0.5">
      <c r="CG574" s="334"/>
    </row>
    <row r="575" spans="85:85" x14ac:dyDescent="0.5">
      <c r="CG575" s="334"/>
    </row>
    <row r="576" spans="85:85" x14ac:dyDescent="0.5">
      <c r="CG576" s="334"/>
    </row>
    <row r="577" spans="85:85" x14ac:dyDescent="0.5">
      <c r="CG577" s="334"/>
    </row>
    <row r="578" spans="85:85" x14ac:dyDescent="0.5">
      <c r="CG578" s="334"/>
    </row>
    <row r="579" spans="85:85" x14ac:dyDescent="0.5">
      <c r="CG579" s="334"/>
    </row>
    <row r="580" spans="85:85" x14ac:dyDescent="0.5">
      <c r="CG580" s="334"/>
    </row>
    <row r="581" spans="85:85" x14ac:dyDescent="0.5">
      <c r="CG581" s="334"/>
    </row>
    <row r="582" spans="85:85" x14ac:dyDescent="0.5">
      <c r="CG582" s="334"/>
    </row>
    <row r="583" spans="85:85" x14ac:dyDescent="0.5">
      <c r="CG583" s="334"/>
    </row>
    <row r="584" spans="85:85" x14ac:dyDescent="0.5">
      <c r="CG584" s="334"/>
    </row>
    <row r="585" spans="85:85" x14ac:dyDescent="0.5">
      <c r="CG585" s="334"/>
    </row>
    <row r="586" spans="85:85" x14ac:dyDescent="0.5">
      <c r="CG586" s="334"/>
    </row>
    <row r="587" spans="85:85" x14ac:dyDescent="0.5">
      <c r="CG587" s="334"/>
    </row>
    <row r="588" spans="85:85" x14ac:dyDescent="0.5">
      <c r="CG588" s="334"/>
    </row>
    <row r="589" spans="85:85" x14ac:dyDescent="0.5">
      <c r="CG589" s="334"/>
    </row>
    <row r="590" spans="85:85" x14ac:dyDescent="0.5">
      <c r="CG590" s="334"/>
    </row>
    <row r="591" spans="85:85" x14ac:dyDescent="0.5">
      <c r="CG591" s="334"/>
    </row>
    <row r="592" spans="85:85" x14ac:dyDescent="0.5">
      <c r="CG592" s="334"/>
    </row>
    <row r="593" spans="85:85" x14ac:dyDescent="0.5">
      <c r="CG593" s="334"/>
    </row>
    <row r="594" spans="85:85" x14ac:dyDescent="0.5">
      <c r="CG594" s="334"/>
    </row>
    <row r="595" spans="85:85" x14ac:dyDescent="0.5">
      <c r="CG595" s="334"/>
    </row>
    <row r="596" spans="85:85" x14ac:dyDescent="0.5">
      <c r="CG596" s="334"/>
    </row>
    <row r="597" spans="85:85" x14ac:dyDescent="0.5">
      <c r="CG597" s="334"/>
    </row>
    <row r="598" spans="85:85" x14ac:dyDescent="0.5">
      <c r="CG598" s="334"/>
    </row>
    <row r="599" spans="85:85" x14ac:dyDescent="0.5">
      <c r="CG599" s="334"/>
    </row>
    <row r="600" spans="85:85" x14ac:dyDescent="0.5">
      <c r="CG600" s="334"/>
    </row>
    <row r="601" spans="85:85" x14ac:dyDescent="0.5">
      <c r="CG601" s="334"/>
    </row>
    <row r="602" spans="85:85" x14ac:dyDescent="0.5">
      <c r="CG602" s="334"/>
    </row>
    <row r="603" spans="85:85" x14ac:dyDescent="0.5">
      <c r="CG603" s="334"/>
    </row>
    <row r="604" spans="85:85" x14ac:dyDescent="0.5">
      <c r="CG604" s="334"/>
    </row>
    <row r="605" spans="85:85" x14ac:dyDescent="0.5">
      <c r="CG605" s="334"/>
    </row>
    <row r="606" spans="85:85" x14ac:dyDescent="0.5">
      <c r="CG606" s="334"/>
    </row>
    <row r="607" spans="85:85" x14ac:dyDescent="0.5">
      <c r="CG607" s="334"/>
    </row>
    <row r="608" spans="85:85" x14ac:dyDescent="0.5">
      <c r="CG608" s="334"/>
    </row>
    <row r="609" spans="85:85" x14ac:dyDescent="0.5">
      <c r="CG609" s="334"/>
    </row>
    <row r="610" spans="85:85" x14ac:dyDescent="0.5">
      <c r="CG610" s="334"/>
    </row>
    <row r="611" spans="85:85" x14ac:dyDescent="0.5">
      <c r="CG611" s="334"/>
    </row>
    <row r="612" spans="85:85" x14ac:dyDescent="0.5">
      <c r="CG612" s="334"/>
    </row>
    <row r="613" spans="85:85" x14ac:dyDescent="0.5">
      <c r="CG613" s="334"/>
    </row>
    <row r="614" spans="85:85" x14ac:dyDescent="0.5">
      <c r="CG614" s="334"/>
    </row>
    <row r="615" spans="85:85" x14ac:dyDescent="0.5">
      <c r="CG615" s="334"/>
    </row>
    <row r="616" spans="85:85" x14ac:dyDescent="0.5">
      <c r="CG616" s="334"/>
    </row>
    <row r="617" spans="85:85" x14ac:dyDescent="0.5">
      <c r="CG617" s="334"/>
    </row>
    <row r="618" spans="85:85" x14ac:dyDescent="0.5">
      <c r="CG618" s="334"/>
    </row>
    <row r="619" spans="85:85" x14ac:dyDescent="0.5">
      <c r="CG619" s="334"/>
    </row>
    <row r="620" spans="85:85" x14ac:dyDescent="0.5">
      <c r="CG620" s="334"/>
    </row>
    <row r="621" spans="85:85" x14ac:dyDescent="0.5">
      <c r="CG621" s="334"/>
    </row>
    <row r="622" spans="85:85" x14ac:dyDescent="0.5">
      <c r="CG622" s="334"/>
    </row>
    <row r="623" spans="85:85" x14ac:dyDescent="0.5">
      <c r="CG623" s="334"/>
    </row>
    <row r="624" spans="85:85" x14ac:dyDescent="0.5">
      <c r="CG624" s="334"/>
    </row>
    <row r="625" spans="85:85" x14ac:dyDescent="0.5">
      <c r="CG625" s="334"/>
    </row>
    <row r="626" spans="85:85" x14ac:dyDescent="0.5">
      <c r="CG626" s="334"/>
    </row>
    <row r="627" spans="85:85" x14ac:dyDescent="0.5">
      <c r="CG627" s="334"/>
    </row>
    <row r="628" spans="85:85" x14ac:dyDescent="0.5">
      <c r="CG628" s="334"/>
    </row>
    <row r="629" spans="85:85" x14ac:dyDescent="0.5">
      <c r="CG629" s="334"/>
    </row>
    <row r="630" spans="85:85" x14ac:dyDescent="0.5">
      <c r="CG630" s="334"/>
    </row>
    <row r="631" spans="85:85" x14ac:dyDescent="0.5">
      <c r="CG631" s="334"/>
    </row>
    <row r="632" spans="85:85" x14ac:dyDescent="0.5">
      <c r="CG632" s="334"/>
    </row>
    <row r="633" spans="85:85" x14ac:dyDescent="0.5">
      <c r="CG633" s="334"/>
    </row>
    <row r="634" spans="85:85" x14ac:dyDescent="0.5">
      <c r="CG634" s="334"/>
    </row>
    <row r="635" spans="85:85" x14ac:dyDescent="0.5">
      <c r="CG635" s="334"/>
    </row>
    <row r="636" spans="85:85" x14ac:dyDescent="0.5">
      <c r="CG636" s="334"/>
    </row>
    <row r="637" spans="85:85" x14ac:dyDescent="0.5">
      <c r="CG637" s="334"/>
    </row>
    <row r="638" spans="85:85" x14ac:dyDescent="0.5">
      <c r="CG638" s="334"/>
    </row>
    <row r="639" spans="85:85" x14ac:dyDescent="0.5">
      <c r="CG639" s="334"/>
    </row>
    <row r="640" spans="85:85" x14ac:dyDescent="0.5">
      <c r="CG640" s="334"/>
    </row>
    <row r="641" spans="85:85" x14ac:dyDescent="0.5">
      <c r="CG641" s="334"/>
    </row>
    <row r="642" spans="85:85" x14ac:dyDescent="0.5">
      <c r="CG642" s="334"/>
    </row>
    <row r="643" spans="85:85" x14ac:dyDescent="0.5">
      <c r="CG643" s="334"/>
    </row>
    <row r="644" spans="85:85" x14ac:dyDescent="0.5">
      <c r="CG644" s="334"/>
    </row>
    <row r="645" spans="85:85" x14ac:dyDescent="0.5">
      <c r="CG645" s="334"/>
    </row>
    <row r="646" spans="85:85" x14ac:dyDescent="0.5">
      <c r="CG646" s="334"/>
    </row>
    <row r="647" spans="85:85" x14ac:dyDescent="0.5">
      <c r="CG647" s="334"/>
    </row>
    <row r="648" spans="85:85" x14ac:dyDescent="0.5">
      <c r="CG648" s="334"/>
    </row>
    <row r="649" spans="85:85" x14ac:dyDescent="0.5">
      <c r="CG649" s="334"/>
    </row>
    <row r="650" spans="85:85" x14ac:dyDescent="0.5">
      <c r="CG650" s="334"/>
    </row>
    <row r="651" spans="85:85" x14ac:dyDescent="0.5">
      <c r="CG651" s="334"/>
    </row>
    <row r="652" spans="85:85" x14ac:dyDescent="0.5">
      <c r="CG652" s="334"/>
    </row>
    <row r="653" spans="85:85" x14ac:dyDescent="0.5">
      <c r="CG653" s="334"/>
    </row>
    <row r="654" spans="85:85" x14ac:dyDescent="0.5">
      <c r="CG654" s="334"/>
    </row>
    <row r="655" spans="85:85" x14ac:dyDescent="0.5">
      <c r="CG655" s="334"/>
    </row>
    <row r="656" spans="85:85" x14ac:dyDescent="0.5">
      <c r="CG656" s="334"/>
    </row>
    <row r="657" spans="85:85" x14ac:dyDescent="0.5">
      <c r="CG657" s="334"/>
    </row>
    <row r="658" spans="85:85" x14ac:dyDescent="0.5">
      <c r="CG658" s="334"/>
    </row>
    <row r="659" spans="85:85" x14ac:dyDescent="0.5">
      <c r="CG659" s="334"/>
    </row>
    <row r="660" spans="85:85" x14ac:dyDescent="0.5">
      <c r="CG660" s="334"/>
    </row>
    <row r="661" spans="85:85" x14ac:dyDescent="0.5">
      <c r="CG661" s="334"/>
    </row>
    <row r="662" spans="85:85" x14ac:dyDescent="0.5">
      <c r="CG662" s="334"/>
    </row>
    <row r="663" spans="85:85" x14ac:dyDescent="0.5">
      <c r="CG663" s="334"/>
    </row>
    <row r="664" spans="85:85" x14ac:dyDescent="0.5">
      <c r="CG664" s="334"/>
    </row>
    <row r="665" spans="85:85" x14ac:dyDescent="0.5">
      <c r="CG665" s="334"/>
    </row>
    <row r="666" spans="85:85" x14ac:dyDescent="0.5">
      <c r="CG666" s="334"/>
    </row>
    <row r="667" spans="85:85" x14ac:dyDescent="0.5">
      <c r="CG667" s="334"/>
    </row>
    <row r="668" spans="85:85" x14ac:dyDescent="0.5">
      <c r="CG668" s="334"/>
    </row>
    <row r="669" spans="85:85" x14ac:dyDescent="0.5">
      <c r="CG669" s="334"/>
    </row>
    <row r="670" spans="85:85" x14ac:dyDescent="0.5">
      <c r="CG670" s="334"/>
    </row>
    <row r="671" spans="85:85" x14ac:dyDescent="0.5">
      <c r="CG671" s="334"/>
    </row>
    <row r="672" spans="85:85" x14ac:dyDescent="0.5">
      <c r="CG672" s="334"/>
    </row>
    <row r="673" spans="85:85" x14ac:dyDescent="0.5">
      <c r="CG673" s="334"/>
    </row>
    <row r="674" spans="85:85" x14ac:dyDescent="0.5">
      <c r="CG674" s="334"/>
    </row>
    <row r="675" spans="85:85" x14ac:dyDescent="0.5">
      <c r="CG675" s="334"/>
    </row>
    <row r="676" spans="85:85" x14ac:dyDescent="0.5">
      <c r="CG676" s="334"/>
    </row>
    <row r="677" spans="85:85" x14ac:dyDescent="0.5">
      <c r="CG677" s="334"/>
    </row>
    <row r="678" spans="85:85" x14ac:dyDescent="0.5">
      <c r="CG678" s="334"/>
    </row>
    <row r="679" spans="85:85" x14ac:dyDescent="0.5">
      <c r="CG679" s="334"/>
    </row>
    <row r="680" spans="85:85" x14ac:dyDescent="0.5">
      <c r="CG680" s="334"/>
    </row>
    <row r="681" spans="85:85" x14ac:dyDescent="0.5">
      <c r="CG681" s="334"/>
    </row>
    <row r="682" spans="85:85" x14ac:dyDescent="0.5">
      <c r="CG682" s="334"/>
    </row>
    <row r="683" spans="85:85" x14ac:dyDescent="0.5">
      <c r="CG683" s="334"/>
    </row>
    <row r="684" spans="85:85" x14ac:dyDescent="0.5">
      <c r="CG684" s="334"/>
    </row>
    <row r="685" spans="85:85" x14ac:dyDescent="0.5">
      <c r="CG685" s="334"/>
    </row>
    <row r="686" spans="85:85" x14ac:dyDescent="0.5">
      <c r="CG686" s="334"/>
    </row>
    <row r="687" spans="85:85" x14ac:dyDescent="0.5">
      <c r="CG687" s="334"/>
    </row>
    <row r="688" spans="85:85" x14ac:dyDescent="0.5">
      <c r="CG688" s="334"/>
    </row>
    <row r="689" spans="85:85" x14ac:dyDescent="0.5">
      <c r="CG689" s="334"/>
    </row>
    <row r="690" spans="85:85" x14ac:dyDescent="0.5">
      <c r="CG690" s="334"/>
    </row>
    <row r="691" spans="85:85" x14ac:dyDescent="0.5">
      <c r="CG691" s="334"/>
    </row>
    <row r="692" spans="85:85" x14ac:dyDescent="0.5">
      <c r="CG692" s="334"/>
    </row>
    <row r="693" spans="85:85" x14ac:dyDescent="0.5">
      <c r="CG693" s="334"/>
    </row>
    <row r="694" spans="85:85" x14ac:dyDescent="0.5">
      <c r="CG694" s="334"/>
    </row>
    <row r="695" spans="85:85" x14ac:dyDescent="0.5">
      <c r="CG695" s="334"/>
    </row>
    <row r="696" spans="85:85" x14ac:dyDescent="0.5">
      <c r="CG696" s="334"/>
    </row>
    <row r="697" spans="85:85" x14ac:dyDescent="0.5">
      <c r="CG697" s="334"/>
    </row>
    <row r="698" spans="85:85" x14ac:dyDescent="0.5">
      <c r="CG698" s="334"/>
    </row>
    <row r="699" spans="85:85" x14ac:dyDescent="0.5">
      <c r="CG699" s="334"/>
    </row>
    <row r="700" spans="85:85" x14ac:dyDescent="0.5">
      <c r="CG700" s="334"/>
    </row>
    <row r="701" spans="85:85" x14ac:dyDescent="0.5">
      <c r="CG701" s="334"/>
    </row>
    <row r="702" spans="85:85" x14ac:dyDescent="0.5">
      <c r="CG702" s="334"/>
    </row>
    <row r="703" spans="85:85" x14ac:dyDescent="0.5">
      <c r="CG703" s="334"/>
    </row>
    <row r="704" spans="85:85" x14ac:dyDescent="0.5">
      <c r="CG704" s="334"/>
    </row>
    <row r="705" spans="85:85" x14ac:dyDescent="0.5">
      <c r="CG705" s="334"/>
    </row>
    <row r="706" spans="85:85" x14ac:dyDescent="0.5">
      <c r="CG706" s="334"/>
    </row>
    <row r="707" spans="85:85" x14ac:dyDescent="0.5">
      <c r="CG707" s="334"/>
    </row>
    <row r="708" spans="85:85" x14ac:dyDescent="0.5">
      <c r="CG708" s="334"/>
    </row>
    <row r="709" spans="85:85" x14ac:dyDescent="0.5">
      <c r="CG709" s="334"/>
    </row>
    <row r="710" spans="85:85" x14ac:dyDescent="0.5">
      <c r="CG710" s="334"/>
    </row>
    <row r="711" spans="85:85" x14ac:dyDescent="0.5">
      <c r="CG711" s="334"/>
    </row>
    <row r="712" spans="85:85" x14ac:dyDescent="0.5">
      <c r="CG712" s="334"/>
    </row>
    <row r="713" spans="85:85" x14ac:dyDescent="0.5">
      <c r="CG713" s="334"/>
    </row>
    <row r="714" spans="85:85" x14ac:dyDescent="0.5">
      <c r="CG714" s="334"/>
    </row>
    <row r="715" spans="85:85" x14ac:dyDescent="0.5">
      <c r="CG715" s="334"/>
    </row>
    <row r="716" spans="85:85" x14ac:dyDescent="0.5">
      <c r="CG716" s="334"/>
    </row>
    <row r="717" spans="85:85" x14ac:dyDescent="0.5">
      <c r="CG717" s="334"/>
    </row>
    <row r="718" spans="85:85" x14ac:dyDescent="0.5">
      <c r="CG718" s="334"/>
    </row>
    <row r="719" spans="85:85" x14ac:dyDescent="0.5">
      <c r="CG719" s="334"/>
    </row>
    <row r="720" spans="85:85" x14ac:dyDescent="0.5">
      <c r="CG720" s="334"/>
    </row>
    <row r="721" spans="85:85" x14ac:dyDescent="0.5">
      <c r="CG721" s="334"/>
    </row>
    <row r="722" spans="85:85" x14ac:dyDescent="0.5">
      <c r="CG722" s="334"/>
    </row>
    <row r="723" spans="85:85" x14ac:dyDescent="0.5">
      <c r="CG723" s="334"/>
    </row>
    <row r="724" spans="85:85" x14ac:dyDescent="0.5">
      <c r="CG724" s="334"/>
    </row>
    <row r="725" spans="85:85" x14ac:dyDescent="0.5">
      <c r="CG725" s="334"/>
    </row>
    <row r="726" spans="85:85" x14ac:dyDescent="0.5">
      <c r="CG726" s="334"/>
    </row>
    <row r="727" spans="85:85" x14ac:dyDescent="0.5">
      <c r="CG727" s="334"/>
    </row>
    <row r="728" spans="85:85" x14ac:dyDescent="0.5">
      <c r="CG728" s="334"/>
    </row>
    <row r="729" spans="85:85" x14ac:dyDescent="0.5">
      <c r="CG729" s="334"/>
    </row>
    <row r="730" spans="85:85" x14ac:dyDescent="0.5">
      <c r="CG730" s="334"/>
    </row>
    <row r="731" spans="85:85" x14ac:dyDescent="0.5">
      <c r="CG731" s="334"/>
    </row>
    <row r="732" spans="85:85" x14ac:dyDescent="0.5">
      <c r="CG732" s="334"/>
    </row>
    <row r="733" spans="85:85" x14ac:dyDescent="0.5">
      <c r="CG733" s="334"/>
    </row>
    <row r="734" spans="85:85" x14ac:dyDescent="0.5">
      <c r="CG734" s="334"/>
    </row>
    <row r="735" spans="85:85" x14ac:dyDescent="0.5">
      <c r="CG735" s="334"/>
    </row>
    <row r="736" spans="85:85" x14ac:dyDescent="0.5">
      <c r="CG736" s="334"/>
    </row>
    <row r="737" spans="85:85" x14ac:dyDescent="0.5">
      <c r="CG737" s="334"/>
    </row>
    <row r="738" spans="85:85" x14ac:dyDescent="0.5">
      <c r="CG738" s="334"/>
    </row>
    <row r="739" spans="85:85" x14ac:dyDescent="0.5">
      <c r="CG739" s="334"/>
    </row>
    <row r="740" spans="85:85" x14ac:dyDescent="0.5">
      <c r="CG740" s="334"/>
    </row>
    <row r="741" spans="85:85" x14ac:dyDescent="0.5">
      <c r="CG741" s="334"/>
    </row>
    <row r="742" spans="85:85" x14ac:dyDescent="0.5">
      <c r="CG742" s="334"/>
    </row>
    <row r="743" spans="85:85" x14ac:dyDescent="0.5">
      <c r="CG743" s="334"/>
    </row>
    <row r="744" spans="85:85" x14ac:dyDescent="0.5">
      <c r="CG744" s="334"/>
    </row>
    <row r="745" spans="85:85" x14ac:dyDescent="0.5">
      <c r="CG745" s="334"/>
    </row>
    <row r="746" spans="85:85" x14ac:dyDescent="0.5">
      <c r="CG746" s="334"/>
    </row>
    <row r="747" spans="85:85" x14ac:dyDescent="0.5">
      <c r="CG747" s="334"/>
    </row>
    <row r="748" spans="85:85" x14ac:dyDescent="0.5">
      <c r="CG748" s="334"/>
    </row>
    <row r="749" spans="85:85" x14ac:dyDescent="0.5">
      <c r="CG749" s="334"/>
    </row>
    <row r="750" spans="85:85" x14ac:dyDescent="0.5">
      <c r="CG750" s="334"/>
    </row>
    <row r="751" spans="85:85" x14ac:dyDescent="0.5">
      <c r="CG751" s="334"/>
    </row>
    <row r="752" spans="85:85" x14ac:dyDescent="0.5">
      <c r="CG752" s="334"/>
    </row>
    <row r="753" spans="85:85" x14ac:dyDescent="0.5">
      <c r="CG753" s="334"/>
    </row>
    <row r="754" spans="85:85" x14ac:dyDescent="0.5">
      <c r="CG754" s="334"/>
    </row>
    <row r="755" spans="85:85" x14ac:dyDescent="0.5">
      <c r="CG755" s="334"/>
    </row>
    <row r="756" spans="85:85" x14ac:dyDescent="0.5">
      <c r="CG756" s="334"/>
    </row>
    <row r="757" spans="85:85" x14ac:dyDescent="0.5">
      <c r="CG757" s="334"/>
    </row>
    <row r="758" spans="85:85" x14ac:dyDescent="0.5">
      <c r="CG758" s="334"/>
    </row>
    <row r="759" spans="85:85" x14ac:dyDescent="0.5">
      <c r="CG759" s="334"/>
    </row>
    <row r="760" spans="85:85" x14ac:dyDescent="0.5">
      <c r="CG760" s="334"/>
    </row>
    <row r="761" spans="85:85" x14ac:dyDescent="0.5">
      <c r="CG761" s="334"/>
    </row>
    <row r="762" spans="85:85" x14ac:dyDescent="0.5">
      <c r="CG762" s="334"/>
    </row>
    <row r="763" spans="85:85" x14ac:dyDescent="0.5">
      <c r="CG763" s="334"/>
    </row>
    <row r="764" spans="85:85" x14ac:dyDescent="0.5">
      <c r="CG764" s="334"/>
    </row>
    <row r="765" spans="85:85" x14ac:dyDescent="0.5">
      <c r="CG765" s="334"/>
    </row>
    <row r="766" spans="85:85" x14ac:dyDescent="0.5">
      <c r="CG766" s="334"/>
    </row>
    <row r="767" spans="85:85" x14ac:dyDescent="0.5">
      <c r="CG767" s="334"/>
    </row>
    <row r="768" spans="85:85" x14ac:dyDescent="0.5">
      <c r="CG768" s="334"/>
    </row>
    <row r="769" spans="85:85" x14ac:dyDescent="0.5">
      <c r="CG769" s="334"/>
    </row>
    <row r="770" spans="85:85" x14ac:dyDescent="0.5">
      <c r="CG770" s="334"/>
    </row>
    <row r="771" spans="85:85" x14ac:dyDescent="0.5">
      <c r="CG771" s="334"/>
    </row>
    <row r="772" spans="85:85" x14ac:dyDescent="0.5">
      <c r="CG772" s="334"/>
    </row>
    <row r="773" spans="85:85" x14ac:dyDescent="0.5">
      <c r="CG773" s="334"/>
    </row>
    <row r="774" spans="85:85" x14ac:dyDescent="0.5">
      <c r="CG774" s="334"/>
    </row>
    <row r="775" spans="85:85" x14ac:dyDescent="0.5">
      <c r="CG775" s="334"/>
    </row>
    <row r="776" spans="85:85" x14ac:dyDescent="0.5">
      <c r="CG776" s="334"/>
    </row>
    <row r="777" spans="85:85" x14ac:dyDescent="0.5">
      <c r="CG777" s="334"/>
    </row>
    <row r="778" spans="85:85" x14ac:dyDescent="0.5">
      <c r="CG778" s="334"/>
    </row>
    <row r="779" spans="85:85" x14ac:dyDescent="0.5">
      <c r="CG779" s="334"/>
    </row>
    <row r="780" spans="85:85" x14ac:dyDescent="0.5">
      <c r="CG780" s="334"/>
    </row>
    <row r="781" spans="85:85" x14ac:dyDescent="0.5">
      <c r="CG781" s="334"/>
    </row>
    <row r="782" spans="85:85" x14ac:dyDescent="0.5">
      <c r="CG782" s="334"/>
    </row>
    <row r="783" spans="85:85" x14ac:dyDescent="0.5">
      <c r="CG783" s="334"/>
    </row>
    <row r="784" spans="85:85" x14ac:dyDescent="0.5">
      <c r="CG784" s="334"/>
    </row>
    <row r="785" spans="85:85" x14ac:dyDescent="0.5">
      <c r="CG785" s="334"/>
    </row>
    <row r="786" spans="85:85" x14ac:dyDescent="0.5">
      <c r="CG786" s="334"/>
    </row>
    <row r="787" spans="85:85" x14ac:dyDescent="0.5">
      <c r="CG787" s="334"/>
    </row>
    <row r="788" spans="85:85" x14ac:dyDescent="0.5">
      <c r="CG788" s="334"/>
    </row>
    <row r="789" spans="85:85" x14ac:dyDescent="0.5">
      <c r="CG789" s="334"/>
    </row>
    <row r="790" spans="85:85" x14ac:dyDescent="0.5">
      <c r="CG790" s="334"/>
    </row>
    <row r="791" spans="85:85" x14ac:dyDescent="0.5">
      <c r="CG791" s="334"/>
    </row>
    <row r="792" spans="85:85" x14ac:dyDescent="0.5">
      <c r="CG792" s="334"/>
    </row>
    <row r="793" spans="85:85" x14ac:dyDescent="0.5">
      <c r="CG793" s="334"/>
    </row>
    <row r="794" spans="85:85" x14ac:dyDescent="0.5">
      <c r="CG794" s="334"/>
    </row>
    <row r="795" spans="85:85" x14ac:dyDescent="0.5">
      <c r="CG795" s="3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Copyright</vt:lpstr>
      <vt:lpstr>Instructions</vt:lpstr>
      <vt:lpstr>LBO Model --&gt;</vt:lpstr>
      <vt:lpstr>LBO Model</vt:lpstr>
      <vt:lpstr>Current Balance Sheet</vt:lpstr>
      <vt:lpstr>Output</vt:lpstr>
      <vt:lpstr>Case Data --&gt;</vt:lpstr>
      <vt:lpstr>Exhibits</vt:lpstr>
      <vt:lpstr>Raw SEC Filing</vt:lpstr>
      <vt:lpstr>'LBO Model'!Área_de_impresión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Katz</dc:creator>
  <cp:lastModifiedBy>usuario</cp:lastModifiedBy>
  <cp:lastPrinted>2019-02-05T20:18:40Z</cp:lastPrinted>
  <dcterms:created xsi:type="dcterms:W3CDTF">2018-10-20T18:01:24Z</dcterms:created>
  <dcterms:modified xsi:type="dcterms:W3CDTF">2020-05-25T15:20:19Z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Color">
    <vt:lpwstr>False</vt:lpwstr>
  </property>
</Properties>
</file>