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0-AV\UTDT\MFIN\2022 MFIN\Curso FC\FC - EJECUTIVO\2-VC y PE\2b-PE\Clase\"/>
    </mc:Choice>
  </mc:AlternateContent>
  <xr:revisionPtr revIDLastSave="0" documentId="8_{688A63DB-8D59-4AB1-8C2B-4182A864D419}" xr6:coauthVersionLast="47" xr6:coauthVersionMax="47" xr10:uidLastSave="{00000000-0000-0000-0000-000000000000}"/>
  <bookViews>
    <workbookView xWindow="-110" yWindow="-110" windowWidth="19420" windowHeight="10300" tabRatio="766" firstSheet="1" activeTab="2" xr2:uid="{00000000-000D-0000-FFFF-FFFF00000000}"/>
  </bookViews>
  <sheets>
    <sheet name="Instructions" sheetId="34" r:id="rId1"/>
    <sheet name="LBO Model --&gt;" sheetId="10" r:id="rId2"/>
    <sheet name="LBO Model" sheetId="15" r:id="rId3"/>
    <sheet name="LBO Summary (no multiple expan)" sheetId="52" r:id="rId4"/>
    <sheet name="LBO Summary (multiple expand)" sheetId="55" r:id="rId5"/>
    <sheet name="LBO Summary (0 premium)" sheetId="54" r:id="rId6"/>
    <sheet name="Current Balance Sheet" sheetId="16" r:id="rId7"/>
    <sheet name="Output" sheetId="19" r:id="rId8"/>
    <sheet name="WACC" sheetId="48" r:id="rId9"/>
    <sheet name="DCF - Base" sheetId="49" r:id="rId10"/>
    <sheet name="APV - Base" sheetId="51" r:id="rId11"/>
    <sheet name="Valuation Chart" sheetId="50" r:id="rId12"/>
    <sheet name="Benchmarking" sheetId="53" r:id="rId13"/>
    <sheet name="Case Data --&gt;" sheetId="33" r:id="rId14"/>
    <sheet name="Exhibits" sheetId="32" r:id="rId15"/>
    <sheet name="Raw SEC Filing" sheetId="1" r:id="rId16"/>
    <sheet name="Teachers Notes --&gt;" sheetId="40" r:id="rId17"/>
    <sheet name="Teachers Output" sheetId="45" r:id="rId18"/>
    <sheet name="Full LBO Model --&gt;" sheetId="5" r:id="rId19"/>
    <sheet name="Transaction Summary" sheetId="6" r:id="rId20"/>
    <sheet name="Operating Model" sheetId="3" r:id="rId21"/>
    <sheet name="Ratios" sheetId="7" r:id="rId22"/>
    <sheet name="Returns" sheetId="8" r:id="rId23"/>
  </sheets>
  <externalReferences>
    <externalReference r:id="rId24"/>
    <externalReference r:id="rId25"/>
  </externalReferences>
  <definedNames>
    <definedName name="_xlnm._FilterDatabase" localSheetId="14" hidden="1">Exhibits!#REF!</definedName>
    <definedName name="Acquiror">#REF!</definedName>
    <definedName name="amzn" localSheetId="8">'[1]Comps (Ex12)'!#REF!</definedName>
    <definedName name="amzn">'[1]Comps (Ex12)'!#REF!</definedName>
    <definedName name="_xlnm.Print_Area" localSheetId="2">'LBO Model'!$B$2:$R$77,'LBO Model'!$B$79:$M$135,'LBO Model'!$B$137:$R$191,'LBO Model'!$B$193:$R$237,'LBO Model'!$B$239:$R$289,'LBO Model'!$B$292:$R$340,'LBO Model'!$B$342:$R$403,'LBO Model'!$B$406:$R$511</definedName>
    <definedName name="_xlnm.Print_Area" localSheetId="20">'Operating Model'!$B$2:$L$323</definedName>
    <definedName name="asset_write_up">#REF!</definedName>
    <definedName name="assets_acq">#REF!</definedName>
    <definedName name="assets_adj">#REF!</definedName>
    <definedName name="assets_targ">#REF!</definedName>
    <definedName name="assets_total">#REF!</definedName>
    <definedName name="BaseCase">'Teachers Output'!$C$6</definedName>
    <definedName name="baseyear">#REF!</definedName>
    <definedName name="book_acq">#REF!</definedName>
    <definedName name="book_new">#REF!</definedName>
    <definedName name="book_targ">#REF!</definedName>
    <definedName name="book_total">#REF!</definedName>
    <definedName name="cap_acq">#REF!</definedName>
    <definedName name="cash_acq">#REF!</definedName>
    <definedName name="cash_per">#REF!</definedName>
    <definedName name="cash_rate">#REF!</definedName>
    <definedName name="cash_targ">#REF!</definedName>
    <definedName name="cash_total">#REF!</definedName>
    <definedName name="CIQWBGuid" hidden="1">"Bioceres Model v8.xlsx"</definedName>
    <definedName name="date">#REF!</definedName>
    <definedName name="debt_acq">#REF!</definedName>
    <definedName name="debt_adj">#REF!</definedName>
    <definedName name="debt_issue">#REF!</definedName>
    <definedName name="debt_new">#REF!</definedName>
    <definedName name="debt_targ">#REF!</definedName>
    <definedName name="DownsideCase">'Teachers Output'!$C$8</definedName>
    <definedName name="ebdiat_acq">#REF!</definedName>
    <definedName name="ebdiat_targ">#REF!</definedName>
    <definedName name="ebdiat_total">#REF!</definedName>
    <definedName name="ebit_acq">#REF!</definedName>
    <definedName name="ebit_targ">#REF!</definedName>
    <definedName name="ebit_total">#REF!</definedName>
    <definedName name="eps_new1">#REF!</definedName>
    <definedName name="eps_new2">#REF!</definedName>
    <definedName name="eps_new3">#REF!</definedName>
    <definedName name="eps_yr1_acq">#REF!</definedName>
    <definedName name="eps_yr1_targ">#REF!</definedName>
    <definedName name="eps_yr2_acq">#REF!</definedName>
    <definedName name="eps_yr2_targ">#REF!</definedName>
    <definedName name="eps_yr3_acq">#REF!</definedName>
    <definedName name="eps_yr3_targ">#REF!</definedName>
    <definedName name="EQUITY">#REF!</definedName>
    <definedName name="equity_acq">#REF!</definedName>
    <definedName name="equity_targ">#REF!</definedName>
    <definedName name="equity_total">#REF!</definedName>
    <definedName name="exchange">#REF!</definedName>
    <definedName name="fv_acq">#REF!</definedName>
    <definedName name="fv_targ">#REF!</definedName>
    <definedName name="fvcash_acq">#REF!</definedName>
    <definedName name="fvcash_targ">#REF!</definedName>
    <definedName name="gw_adj_1">#REF!</definedName>
    <definedName name="gw_adj_2">#REF!</definedName>
    <definedName name="gw_adj_3">#REF!</definedName>
    <definedName name="gw_new">#REF!</definedName>
    <definedName name="gw_targ">#REF!</definedName>
    <definedName name="gw_target">#REF!</definedName>
    <definedName name="gw_years">#REF!</definedName>
    <definedName name="gwtog">#REF!</definedName>
    <definedName name="HighBid">'Teachers Output'!$C$10</definedName>
    <definedName name="int_adj_1">#REF!</definedName>
    <definedName name="int_adj_2">#REF!</definedName>
    <definedName name="int_adj_3">#REF!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42689.1041435185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KLGHighBid">'Teachers Output'!$C$12</definedName>
    <definedName name="KLGLowBid">'Teachers Output'!$C$13</definedName>
    <definedName name="LowBid">'Teachers Output'!$C$11</definedName>
    <definedName name="LTG">[2]Inputs!$D$22</definedName>
    <definedName name="LTM">[2]Inputs!$D$14</definedName>
    <definedName name="ni_acq">#REF!</definedName>
    <definedName name="ni_targ">#REF!</definedName>
    <definedName name="ni_total">#REF!</definedName>
    <definedName name="pref_acq">#REF!</definedName>
    <definedName name="pref_new">#REF!</definedName>
    <definedName name="pref_targ">#REF!</definedName>
    <definedName name="price_acq">#REF!</definedName>
    <definedName name="price_merg">#REF!</definedName>
    <definedName name="price_targ">#REF!</definedName>
    <definedName name="refin_int">#REF!</definedName>
    <definedName name="refin_rate">#REF!</definedName>
    <definedName name="refin_tog">#REF!</definedName>
    <definedName name="rev_acq">#REF!</definedName>
    <definedName name="rev_targ">#REF!</definedName>
    <definedName name="rev_total">#REF!</definedName>
    <definedName name="shos_acq">#REF!</definedName>
    <definedName name="shos_targ">#REF!</definedName>
    <definedName name="solver_adj" localSheetId="2" hidden="1">'LBO Model'!$I$509:$I$511</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'LBO Model'!$K$15</definedName>
    <definedName name="solver_lhs2" localSheetId="2" hidden="1">'LBO Model'!$K$16</definedName>
    <definedName name="solver_lhs3" localSheetId="2" hidden="1">'LBO Model'!$K$17</definedName>
    <definedName name="solver_lhs4" localSheetId="2" hidden="1">'LBO Model'!$E$46</definedName>
    <definedName name="solver_lhs5" localSheetId="2" hidden="1">'LBO Model'!$F$16</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3</definedName>
    <definedName name="solver_nwt" localSheetId="2" hidden="1">1</definedName>
    <definedName name="solver_opt" localSheetId="2" hidden="1">'LBO Model'!$O$67</definedName>
    <definedName name="solver_pre" localSheetId="2" hidden="1">0.000001</definedName>
    <definedName name="solver_rbv" localSheetId="2" hidden="1">1</definedName>
    <definedName name="solver_rel1" localSheetId="2" hidden="1">2</definedName>
    <definedName name="solver_rel2" localSheetId="2" hidden="1">2</definedName>
    <definedName name="solver_rel3" localSheetId="2" hidden="1">2</definedName>
    <definedName name="solver_rel4" localSheetId="2" hidden="1">2</definedName>
    <definedName name="solver_rel5" localSheetId="2" hidden="1">2</definedName>
    <definedName name="solver_rhs1" localSheetId="2" hidden="1">750</definedName>
    <definedName name="solver_rhs2" localSheetId="2" hidden="1">2250</definedName>
    <definedName name="solver_rhs3" localSheetId="2" hidden="1">0</definedName>
    <definedName name="solver_rhs4" localSheetId="2" hidden="1">3000</definedName>
    <definedName name="solver_rhs5" localSheetId="2" hidden="1">315</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18.5</definedName>
    <definedName name="solver_ver" localSheetId="2" hidden="1">3</definedName>
    <definedName name="syn_adj_1">#REF!</definedName>
    <definedName name="syn_adj_2">#REF!</definedName>
    <definedName name="syn_adj_3">#REF!</definedName>
    <definedName name="Target">#REF!</definedName>
    <definedName name="tax_rate">#REF!</definedName>
    <definedName name="trans_exp">#REF!</definedName>
    <definedName name="transtog">#REF!</definedName>
    <definedName name="TY">[2]Inputs!$D$15</definedName>
    <definedName name="Unlock">'Teachers Output'!$C$4</definedName>
    <definedName name="UpsideCase">'Teachers Output'!$C$7</definedName>
    <definedName name="VALUATION">#REF!</definedName>
    <definedName name="wacc">#REF!</definedName>
  </definedName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39" i="55" l="1"/>
  <c r="C39" i="54"/>
  <c r="C39" i="52"/>
  <c r="G33" i="55"/>
  <c r="F33" i="55"/>
  <c r="E33" i="55"/>
  <c r="D33" i="55"/>
  <c r="D29" i="55"/>
  <c r="E29" i="55" s="1"/>
  <c r="F29" i="55" s="1"/>
  <c r="G29" i="55" s="1"/>
  <c r="H29" i="55" s="1"/>
  <c r="C20" i="55"/>
  <c r="C19" i="55"/>
  <c r="C14" i="55" s="1"/>
  <c r="E6" i="55"/>
  <c r="F6" i="55" s="1"/>
  <c r="G6" i="55" s="1"/>
  <c r="H6" i="55" s="1"/>
  <c r="A24" i="49"/>
  <c r="A30" i="49"/>
  <c r="A31" i="49"/>
  <c r="A34" i="49"/>
  <c r="A24" i="51"/>
  <c r="A30" i="51"/>
  <c r="A31" i="51"/>
  <c r="A37" i="49"/>
  <c r="A52" i="51"/>
  <c r="A51" i="51"/>
  <c r="A49" i="51"/>
  <c r="G33" i="54"/>
  <c r="F33" i="54"/>
  <c r="E33" i="54"/>
  <c r="D33" i="54"/>
  <c r="D29" i="54"/>
  <c r="E29" i="54" s="1"/>
  <c r="F29" i="54" s="1"/>
  <c r="G29" i="54" s="1"/>
  <c r="H29" i="54" s="1"/>
  <c r="E6" i="54"/>
  <c r="F6" i="54" s="1"/>
  <c r="G6" i="54" s="1"/>
  <c r="H6" i="54" s="1"/>
  <c r="D29" i="52" l="1"/>
  <c r="Q7" i="50"/>
  <c r="P7" i="50"/>
  <c r="P6" i="50"/>
  <c r="EZ24" i="32" l="1"/>
  <c r="FA35" i="32"/>
  <c r="FA34" i="32"/>
  <c r="FA33" i="32"/>
  <c r="FA32" i="32"/>
  <c r="FA31" i="32"/>
  <c r="EX43" i="32"/>
  <c r="EX42" i="32"/>
  <c r="EX41" i="32"/>
  <c r="EX40" i="32"/>
  <c r="EX39" i="32"/>
  <c r="GV15" i="32"/>
  <c r="K47" i="15"/>
  <c r="Q11" i="53"/>
  <c r="R12" i="53"/>
  <c r="R11" i="53"/>
  <c r="R10" i="53"/>
  <c r="R9" i="53"/>
  <c r="R8" i="53"/>
  <c r="R7" i="53"/>
  <c r="M14" i="53"/>
  <c r="L14" i="53"/>
  <c r="O6" i="53"/>
  <c r="O12" i="53"/>
  <c r="O11" i="53"/>
  <c r="O10" i="53"/>
  <c r="O9" i="53"/>
  <c r="O8" i="53"/>
  <c r="O7" i="53"/>
  <c r="J12" i="53"/>
  <c r="Q12" i="53" s="1"/>
  <c r="J11" i="53"/>
  <c r="J10" i="53"/>
  <c r="Q10" i="53" s="1"/>
  <c r="J9" i="53"/>
  <c r="Q9" i="53" s="1"/>
  <c r="J8" i="53"/>
  <c r="Q8" i="53" s="1"/>
  <c r="J7" i="53"/>
  <c r="Q7" i="53" s="1"/>
  <c r="J5" i="53"/>
  <c r="Q6" i="53" s="1"/>
  <c r="J11" i="32"/>
  <c r="I11" i="32"/>
  <c r="H11" i="32"/>
  <c r="J18" i="32"/>
  <c r="I18" i="32"/>
  <c r="H18" i="32"/>
  <c r="J14" i="32"/>
  <c r="I14" i="32"/>
  <c r="H14" i="32"/>
  <c r="J15" i="32"/>
  <c r="I15" i="32"/>
  <c r="H15" i="32"/>
  <c r="J28" i="32"/>
  <c r="I28" i="32"/>
  <c r="H28" i="32"/>
  <c r="J17" i="32"/>
  <c r="I17" i="32"/>
  <c r="H17" i="32"/>
  <c r="J16" i="32"/>
  <c r="I16" i="32"/>
  <c r="H16" i="32"/>
  <c r="J10" i="32"/>
  <c r="I10" i="32"/>
  <c r="H10" i="32"/>
  <c r="FS25" i="32"/>
  <c r="D370" i="15"/>
  <c r="C370" i="15"/>
  <c r="W346" i="15"/>
  <c r="W347" i="15" s="1"/>
  <c r="W348" i="15" s="1"/>
  <c r="W349" i="15" s="1"/>
  <c r="W350" i="15" s="1"/>
  <c r="W351" i="15" s="1"/>
  <c r="W352" i="15" s="1"/>
  <c r="I364" i="15" s="1"/>
  <c r="A43" i="51"/>
  <c r="G33" i="52"/>
  <c r="F33" i="52"/>
  <c r="E33" i="52"/>
  <c r="E29" i="52"/>
  <c r="F29" i="52" s="1"/>
  <c r="G29" i="52" s="1"/>
  <c r="H29" i="52" s="1"/>
  <c r="E6" i="52"/>
  <c r="F6" i="52" s="1"/>
  <c r="G6" i="52" s="1"/>
  <c r="H6" i="52" s="1"/>
  <c r="C20" i="54" l="1"/>
  <c r="C20" i="52"/>
  <c r="J14" i="53"/>
  <c r="I360" i="15"/>
  <c r="I361" i="15"/>
  <c r="I362" i="15"/>
  <c r="I359" i="15"/>
  <c r="I363" i="15"/>
  <c r="I358" i="15"/>
  <c r="L15" i="48" l="1"/>
  <c r="L13" i="48"/>
  <c r="L21" i="48"/>
  <c r="L7" i="48"/>
  <c r="L5" i="48" s="1"/>
  <c r="L24" i="48" s="1"/>
  <c r="A44" i="51"/>
  <c r="I41" i="51"/>
  <c r="J40" i="51"/>
  <c r="K40" i="51" s="1"/>
  <c r="K41" i="51" s="1"/>
  <c r="J41" i="51" l="1"/>
  <c r="L40" i="51"/>
  <c r="L41" i="51" s="1"/>
  <c r="M40" i="51" l="1"/>
  <c r="M41" i="51" s="1"/>
  <c r="N40" i="51" l="1"/>
  <c r="N41" i="51" s="1"/>
  <c r="O40" i="51" l="1"/>
  <c r="O41" i="51" s="1"/>
  <c r="P40" i="51" l="1"/>
  <c r="P41" i="51" s="1"/>
  <c r="Q40" i="51" l="1"/>
  <c r="Q41" i="51" s="1"/>
  <c r="R40" i="51" l="1"/>
  <c r="R41" i="51" s="1"/>
  <c r="H76" i="51" l="1"/>
  <c r="G76" i="51"/>
  <c r="A70" i="51"/>
  <c r="F69" i="51"/>
  <c r="A69" i="51"/>
  <c r="A68" i="51"/>
  <c r="F56" i="51"/>
  <c r="A54" i="51"/>
  <c r="J27" i="51"/>
  <c r="H20" i="51"/>
  <c r="G20" i="51"/>
  <c r="I6" i="51"/>
  <c r="I76" i="51" s="1"/>
  <c r="FR25" i="32"/>
  <c r="J6" i="51" l="1"/>
  <c r="K27" i="51"/>
  <c r="Q6" i="50"/>
  <c r="J36" i="50"/>
  <c r="C7" i="50" s="1"/>
  <c r="D6" i="50" l="1"/>
  <c r="C6" i="50"/>
  <c r="D7" i="50"/>
  <c r="J40" i="50"/>
  <c r="J37" i="50"/>
  <c r="L27" i="51"/>
  <c r="J76" i="51"/>
  <c r="K6" i="51"/>
  <c r="S6" i="50" l="1"/>
  <c r="M6" i="50"/>
  <c r="J41" i="50"/>
  <c r="J44" i="50"/>
  <c r="L6" i="51"/>
  <c r="K76" i="51"/>
  <c r="M27" i="51"/>
  <c r="S7" i="50"/>
  <c r="M7" i="50"/>
  <c r="FN46" i="32"/>
  <c r="FN45" i="32"/>
  <c r="FM46" i="32"/>
  <c r="FM45" i="32"/>
  <c r="FK46" i="32"/>
  <c r="FK45" i="32"/>
  <c r="FJ46" i="32"/>
  <c r="FJ45" i="32"/>
  <c r="FN37" i="32"/>
  <c r="FM37" i="32"/>
  <c r="FK37" i="32"/>
  <c r="FJ37" i="32"/>
  <c r="FN36" i="32"/>
  <c r="FM36" i="32"/>
  <c r="FK36" i="32"/>
  <c r="FJ36" i="32"/>
  <c r="FN35" i="32"/>
  <c r="FM35" i="32"/>
  <c r="FK35" i="32"/>
  <c r="FJ35" i="32"/>
  <c r="FS22" i="32"/>
  <c r="FR22" i="32"/>
  <c r="F54" i="49"/>
  <c r="F41" i="49"/>
  <c r="H20" i="49"/>
  <c r="G20" i="49"/>
  <c r="H61" i="49"/>
  <c r="G61" i="49"/>
  <c r="A55" i="49"/>
  <c r="A54" i="49"/>
  <c r="A53" i="49"/>
  <c r="A39" i="49"/>
  <c r="I28" i="49"/>
  <c r="J27" i="49"/>
  <c r="K27" i="49" s="1"/>
  <c r="I6" i="49"/>
  <c r="J6" i="49" s="1"/>
  <c r="J45" i="50" l="1"/>
  <c r="J50" i="50" s="1"/>
  <c r="I50" i="50" s="1"/>
  <c r="J49" i="50"/>
  <c r="I49" i="50" s="1"/>
  <c r="N27" i="51"/>
  <c r="M6" i="51"/>
  <c r="L76" i="51"/>
  <c r="K6" i="49"/>
  <c r="J61" i="49"/>
  <c r="K28" i="49"/>
  <c r="L27" i="49"/>
  <c r="J28" i="49"/>
  <c r="I61" i="49"/>
  <c r="N6" i="51" l="1"/>
  <c r="M76" i="51"/>
  <c r="O27" i="51"/>
  <c r="L6" i="49"/>
  <c r="K61" i="49"/>
  <c r="L28" i="49"/>
  <c r="M27" i="49"/>
  <c r="P27" i="51" l="1"/>
  <c r="O6" i="51"/>
  <c r="N76" i="51"/>
  <c r="L61" i="49"/>
  <c r="M6" i="49"/>
  <c r="M28" i="49"/>
  <c r="N27" i="49"/>
  <c r="O76" i="51" l="1"/>
  <c r="P76" i="51" s="1"/>
  <c r="Q76" i="51" s="1"/>
  <c r="R76" i="51" s="1"/>
  <c r="P6" i="51"/>
  <c r="Q6" i="51" s="1"/>
  <c r="R6" i="51" s="1"/>
  <c r="Q27" i="51"/>
  <c r="N6" i="49"/>
  <c r="M61" i="49"/>
  <c r="N28" i="49"/>
  <c r="O27" i="49"/>
  <c r="R27" i="51" l="1"/>
  <c r="O28" i="49"/>
  <c r="P27" i="49"/>
  <c r="N61" i="49"/>
  <c r="O6" i="49"/>
  <c r="P6" i="49" l="1"/>
  <c r="Q6" i="49" s="1"/>
  <c r="R6" i="49" s="1"/>
  <c r="O61" i="49"/>
  <c r="P61" i="49" s="1"/>
  <c r="Q61" i="49" s="1"/>
  <c r="R61" i="49" s="1"/>
  <c r="Q27" i="49"/>
  <c r="P28" i="49"/>
  <c r="Q28" i="49" l="1"/>
  <c r="R27" i="49"/>
  <c r="R28" i="49" s="1"/>
  <c r="E16" i="48" l="1"/>
  <c r="J16" i="48" l="1"/>
  <c r="L16" i="48"/>
  <c r="H16" i="48"/>
  <c r="J15" i="48"/>
  <c r="J13" i="48"/>
  <c r="H21" i="48"/>
  <c r="J21" i="48"/>
  <c r="H13" i="48"/>
  <c r="E7" i="48"/>
  <c r="E5" i="48" s="1"/>
  <c r="E22" i="48" s="1"/>
  <c r="J7" i="48"/>
  <c r="J5" i="48" s="1"/>
  <c r="J24" i="48" s="1"/>
  <c r="H22" i="48" l="1"/>
  <c r="L22" i="48"/>
  <c r="J22" i="48"/>
  <c r="E24" i="48"/>
  <c r="H15" i="48"/>
  <c r="P357" i="15" l="1"/>
  <c r="K357" i="15"/>
  <c r="O39" i="34" l="1"/>
  <c r="E39" i="34"/>
  <c r="EB7" i="32" l="1"/>
  <c r="EA7" i="32"/>
  <c r="DZ7" i="32"/>
  <c r="GY10" i="32" l="1"/>
  <c r="GY12" i="32"/>
  <c r="C13" i="45" l="1"/>
  <c r="D13" i="45"/>
  <c r="B84" i="45"/>
  <c r="B111" i="45"/>
  <c r="P36" i="34"/>
  <c r="O36" i="34"/>
  <c r="B36" i="34"/>
  <c r="O31" i="34"/>
  <c r="I505" i="15"/>
  <c r="J4" i="15"/>
  <c r="B2" i="19" s="1"/>
  <c r="E31" i="34"/>
  <c r="E36" i="34"/>
  <c r="H183" i="45" l="1"/>
  <c r="G183" i="45"/>
  <c r="F183" i="45"/>
  <c r="B183" i="45"/>
  <c r="H160" i="45"/>
  <c r="G160" i="45"/>
  <c r="F160" i="45"/>
  <c r="B160" i="45"/>
  <c r="H137" i="45" l="1"/>
  <c r="G137" i="45"/>
  <c r="F137" i="45"/>
  <c r="B66" i="45"/>
  <c r="B17" i="45"/>
  <c r="B137" i="45"/>
  <c r="B72" i="19"/>
  <c r="B3" i="19"/>
  <c r="B30" i="19"/>
  <c r="B44" i="45" l="1"/>
  <c r="F9" i="19"/>
  <c r="F16" i="19"/>
  <c r="F17" i="19"/>
  <c r="B52" i="19" l="1"/>
  <c r="O29" i="34"/>
  <c r="B34" i="34"/>
  <c r="B33" i="34"/>
  <c r="M421" i="15"/>
  <c r="L421" i="15"/>
  <c r="K421" i="15"/>
  <c r="J421" i="15"/>
  <c r="I421" i="15"/>
  <c r="R420" i="15"/>
  <c r="M420" i="15"/>
  <c r="L420" i="15"/>
  <c r="K420" i="15"/>
  <c r="J420" i="15"/>
  <c r="I420" i="15"/>
  <c r="I417" i="15"/>
  <c r="I415" i="15"/>
  <c r="I414" i="15"/>
  <c r="M413" i="15"/>
  <c r="L413" i="15"/>
  <c r="K413" i="15"/>
  <c r="J413" i="15"/>
  <c r="I413" i="15"/>
  <c r="R412" i="15"/>
  <c r="M412" i="15"/>
  <c r="L412" i="15"/>
  <c r="K412" i="15"/>
  <c r="J412" i="15"/>
  <c r="I412" i="15"/>
  <c r="E29" i="34"/>
  <c r="C6" i="6" l="1"/>
  <c r="O45" i="34" l="1"/>
  <c r="O43" i="34"/>
  <c r="F505" i="15"/>
  <c r="G505" i="15"/>
  <c r="H505" i="15"/>
  <c r="E507" i="15"/>
  <c r="F15" i="15" s="1"/>
  <c r="E509" i="15"/>
  <c r="E510" i="15"/>
  <c r="E511" i="15"/>
  <c r="L18" i="15" s="1"/>
  <c r="I410" i="15"/>
  <c r="J410" i="15" s="1"/>
  <c r="K410" i="15" s="1"/>
  <c r="L410" i="15" s="1"/>
  <c r="M410" i="15" s="1"/>
  <c r="N410" i="15" s="1"/>
  <c r="O410" i="15" s="1"/>
  <c r="P410" i="15" s="1"/>
  <c r="Q410" i="15" s="1"/>
  <c r="R410" i="15" s="1"/>
  <c r="B423" i="15"/>
  <c r="I426" i="15"/>
  <c r="J426" i="15" s="1"/>
  <c r="K426" i="15" s="1"/>
  <c r="L426" i="15" s="1"/>
  <c r="M426" i="15" s="1"/>
  <c r="N426" i="15" s="1"/>
  <c r="O426" i="15" s="1"/>
  <c r="P426" i="15" s="1"/>
  <c r="Q426" i="15" s="1"/>
  <c r="R426" i="15" s="1"/>
  <c r="N428" i="15"/>
  <c r="N429" i="15"/>
  <c r="J430" i="15"/>
  <c r="J414" i="15" s="1"/>
  <c r="J431" i="15"/>
  <c r="J415" i="15" s="1"/>
  <c r="J433" i="15"/>
  <c r="J417" i="15" s="1"/>
  <c r="N436" i="15"/>
  <c r="N420" i="15" s="1"/>
  <c r="N437" i="15"/>
  <c r="B439" i="15"/>
  <c r="I442" i="15"/>
  <c r="J442" i="15" s="1"/>
  <c r="K442" i="15" s="1"/>
  <c r="L442" i="15" s="1"/>
  <c r="M442" i="15" s="1"/>
  <c r="N442" i="15" s="1"/>
  <c r="O442" i="15" s="1"/>
  <c r="P442" i="15" s="1"/>
  <c r="Q442" i="15" s="1"/>
  <c r="R442" i="15" s="1"/>
  <c r="N444" i="15"/>
  <c r="O444" i="15" s="1"/>
  <c r="P444" i="15" s="1"/>
  <c r="Q444" i="15" s="1"/>
  <c r="N445" i="15"/>
  <c r="O445" i="15" s="1"/>
  <c r="P445" i="15" s="1"/>
  <c r="Q445" i="15" s="1"/>
  <c r="R445" i="15" s="1"/>
  <c r="J446" i="15"/>
  <c r="K446" i="15" s="1"/>
  <c r="L446" i="15" s="1"/>
  <c r="M446" i="15" s="1"/>
  <c r="N446" i="15" s="1"/>
  <c r="O446" i="15" s="1"/>
  <c r="P446" i="15" s="1"/>
  <c r="Q446" i="15" s="1"/>
  <c r="R446" i="15" s="1"/>
  <c r="J447" i="15"/>
  <c r="K447" i="15" s="1"/>
  <c r="L447" i="15" s="1"/>
  <c r="M447" i="15" s="1"/>
  <c r="N447" i="15" s="1"/>
  <c r="O447" i="15" s="1"/>
  <c r="P447" i="15" s="1"/>
  <c r="Q447" i="15" s="1"/>
  <c r="R447" i="15" s="1"/>
  <c r="J449" i="15"/>
  <c r="K449" i="15" s="1"/>
  <c r="L449" i="15" s="1"/>
  <c r="M449" i="15" s="1"/>
  <c r="N449" i="15" s="1"/>
  <c r="O449" i="15" s="1"/>
  <c r="P449" i="15" s="1"/>
  <c r="Q449" i="15" s="1"/>
  <c r="R449" i="15" s="1"/>
  <c r="N452" i="15"/>
  <c r="O452" i="15" s="1"/>
  <c r="P452" i="15" s="1"/>
  <c r="Q452" i="15" s="1"/>
  <c r="R452" i="15" s="1"/>
  <c r="N453" i="15"/>
  <c r="O453" i="15" s="1"/>
  <c r="P453" i="15" s="1"/>
  <c r="Q453" i="15" s="1"/>
  <c r="R453" i="15" s="1"/>
  <c r="B455" i="15"/>
  <c r="I458" i="15"/>
  <c r="J458" i="15" s="1"/>
  <c r="K458" i="15" s="1"/>
  <c r="L458" i="15" s="1"/>
  <c r="M458" i="15" s="1"/>
  <c r="N458" i="15" s="1"/>
  <c r="O458" i="15" s="1"/>
  <c r="P458" i="15" s="1"/>
  <c r="Q458" i="15" s="1"/>
  <c r="R458" i="15" s="1"/>
  <c r="I460" i="15"/>
  <c r="J460" i="15"/>
  <c r="K460" i="15"/>
  <c r="L460" i="15" s="1"/>
  <c r="M460" i="15" s="1"/>
  <c r="N460" i="15" s="1"/>
  <c r="O460" i="15" s="1"/>
  <c r="P460" i="15" s="1"/>
  <c r="Q460" i="15" s="1"/>
  <c r="I461" i="15"/>
  <c r="J461" i="15" s="1"/>
  <c r="K461" i="15" s="1"/>
  <c r="L461" i="15" s="1"/>
  <c r="M461" i="15" s="1"/>
  <c r="N461" i="15" s="1"/>
  <c r="O461" i="15" s="1"/>
  <c r="P461" i="15" s="1"/>
  <c r="Q461" i="15" s="1"/>
  <c r="R461" i="15" s="1"/>
  <c r="I462" i="15"/>
  <c r="J462" i="15" s="1"/>
  <c r="K462" i="15" s="1"/>
  <c r="L462" i="15" s="1"/>
  <c r="M462" i="15" s="1"/>
  <c r="N462" i="15" s="1"/>
  <c r="O462" i="15" s="1"/>
  <c r="P462" i="15" s="1"/>
  <c r="Q462" i="15" s="1"/>
  <c r="R462" i="15" s="1"/>
  <c r="I463" i="15"/>
  <c r="J463" i="15" s="1"/>
  <c r="K463" i="15" s="1"/>
  <c r="L463" i="15" s="1"/>
  <c r="M463" i="15" s="1"/>
  <c r="N463" i="15" s="1"/>
  <c r="O463" i="15" s="1"/>
  <c r="P463" i="15" s="1"/>
  <c r="Q463" i="15" s="1"/>
  <c r="R463" i="15" s="1"/>
  <c r="I465" i="15"/>
  <c r="I468" i="15"/>
  <c r="J468" i="15"/>
  <c r="K468" i="15"/>
  <c r="L468" i="15"/>
  <c r="M468" i="15"/>
  <c r="R468" i="15"/>
  <c r="I469" i="15"/>
  <c r="J469" i="15"/>
  <c r="K469" i="15"/>
  <c r="L469" i="15"/>
  <c r="M469" i="15"/>
  <c r="B471" i="15"/>
  <c r="I474" i="15"/>
  <c r="J474" i="15" s="1"/>
  <c r="K474" i="15" s="1"/>
  <c r="L474" i="15" s="1"/>
  <c r="M474" i="15" s="1"/>
  <c r="N474" i="15" s="1"/>
  <c r="O474" i="15" s="1"/>
  <c r="P474" i="15" s="1"/>
  <c r="Q474" i="15" s="1"/>
  <c r="R474" i="15" s="1"/>
  <c r="B487" i="15"/>
  <c r="I490" i="15"/>
  <c r="J490" i="15" s="1"/>
  <c r="K490" i="15" s="1"/>
  <c r="L490" i="15" s="1"/>
  <c r="M490" i="15" s="1"/>
  <c r="N490" i="15" s="1"/>
  <c r="O490" i="15" s="1"/>
  <c r="P490" i="15" s="1"/>
  <c r="Q490" i="15" s="1"/>
  <c r="R490" i="15" s="1"/>
  <c r="E4" i="15"/>
  <c r="E45" i="34"/>
  <c r="E44" i="34"/>
  <c r="E43" i="34"/>
  <c r="F6" i="19" l="1"/>
  <c r="B384" i="15"/>
  <c r="O429" i="15"/>
  <c r="O413" i="15" s="1"/>
  <c r="N413" i="15"/>
  <c r="O428" i="15"/>
  <c r="O412" i="15" s="1"/>
  <c r="N412" i="15"/>
  <c r="O437" i="15"/>
  <c r="O421" i="15" s="1"/>
  <c r="N421" i="15"/>
  <c r="B112" i="19"/>
  <c r="B69" i="19"/>
  <c r="B62" i="19"/>
  <c r="B503" i="15"/>
  <c r="B51" i="19"/>
  <c r="F59" i="19"/>
  <c r="B406" i="15"/>
  <c r="N468" i="15"/>
  <c r="J465" i="15"/>
  <c r="K433" i="15"/>
  <c r="K431" i="15"/>
  <c r="K415" i="15" s="1"/>
  <c r="N469" i="15"/>
  <c r="O436" i="15"/>
  <c r="O420" i="15" s="1"/>
  <c r="K430" i="15"/>
  <c r="K414" i="15" s="1"/>
  <c r="F14" i="15"/>
  <c r="Q8" i="50" l="1"/>
  <c r="P8" i="50"/>
  <c r="C46" i="50"/>
  <c r="P428" i="15"/>
  <c r="P412" i="15" s="1"/>
  <c r="O469" i="15"/>
  <c r="F5" i="19"/>
  <c r="D58" i="51"/>
  <c r="D43" i="49"/>
  <c r="P437" i="15"/>
  <c r="P421" i="15" s="1"/>
  <c r="K465" i="15"/>
  <c r="K417" i="15"/>
  <c r="P429" i="15"/>
  <c r="P413" i="15" s="1"/>
  <c r="L433" i="15"/>
  <c r="L431" i="15"/>
  <c r="L415" i="15" s="1"/>
  <c r="P436" i="15"/>
  <c r="P420" i="15" s="1"/>
  <c r="O468" i="15"/>
  <c r="Q437" i="15"/>
  <c r="Q421" i="15" s="1"/>
  <c r="L430" i="15"/>
  <c r="L414" i="15" s="1"/>
  <c r="Q428" i="15"/>
  <c r="Q412" i="15" s="1"/>
  <c r="C4" i="45"/>
  <c r="Q429" i="15" l="1"/>
  <c r="Q413" i="15" s="1"/>
  <c r="K45" i="50"/>
  <c r="C45" i="50" s="1"/>
  <c r="C8" i="50"/>
  <c r="K44" i="50"/>
  <c r="C44" i="50" s="1"/>
  <c r="D8" i="50"/>
  <c r="P469" i="15"/>
  <c r="L465" i="15"/>
  <c r="L417" i="15"/>
  <c r="T86" i="45"/>
  <c r="T114" i="45"/>
  <c r="M433" i="15"/>
  <c r="M417" i="15" s="1"/>
  <c r="M431" i="15"/>
  <c r="M415" i="15" s="1"/>
  <c r="M430" i="15"/>
  <c r="M414" i="15" s="1"/>
  <c r="R429" i="15"/>
  <c r="R413" i="15" s="1"/>
  <c r="Q436" i="15"/>
  <c r="Q420" i="15" s="1"/>
  <c r="P468" i="15"/>
  <c r="R437" i="15"/>
  <c r="R421" i="15" s="1"/>
  <c r="Q469" i="15"/>
  <c r="P27" i="34"/>
  <c r="O27" i="34"/>
  <c r="P26" i="34"/>
  <c r="O26" i="34"/>
  <c r="O25" i="34"/>
  <c r="O24" i="34"/>
  <c r="O23" i="34"/>
  <c r="O21" i="34"/>
  <c r="O20" i="34"/>
  <c r="P35" i="34"/>
  <c r="O35" i="34"/>
  <c r="P34" i="34"/>
  <c r="O34" i="34"/>
  <c r="P33" i="34"/>
  <c r="O33" i="34"/>
  <c r="O30" i="34"/>
  <c r="E35" i="34"/>
  <c r="E27" i="34"/>
  <c r="E34" i="34"/>
  <c r="E26" i="34"/>
  <c r="E21" i="34"/>
  <c r="E33" i="34"/>
  <c r="E42" i="34"/>
  <c r="E20" i="34"/>
  <c r="E30" i="34"/>
  <c r="E38" i="34"/>
  <c r="S8" i="50" l="1"/>
  <c r="M8" i="50"/>
  <c r="M465" i="15"/>
  <c r="N433" i="15"/>
  <c r="N417" i="15" s="1"/>
  <c r="N431" i="15"/>
  <c r="N415" i="15" s="1"/>
  <c r="O433" i="15"/>
  <c r="O417" i="15" s="1"/>
  <c r="N465" i="15"/>
  <c r="R469" i="15"/>
  <c r="Q468" i="15"/>
  <c r="N430" i="15"/>
  <c r="N414" i="15" s="1"/>
  <c r="B35" i="34"/>
  <c r="O431" i="15" l="1"/>
  <c r="O415" i="15" s="1"/>
  <c r="O430" i="15"/>
  <c r="O414" i="15" s="1"/>
  <c r="O465" i="15"/>
  <c r="P433" i="15"/>
  <c r="P417" i="15" s="1"/>
  <c r="D10" i="45"/>
  <c r="C12" i="45"/>
  <c r="C11" i="45"/>
  <c r="C10" i="45"/>
  <c r="D12" i="45"/>
  <c r="D11" i="45"/>
  <c r="C8" i="45"/>
  <c r="C7" i="45"/>
  <c r="C6" i="45"/>
  <c r="D8" i="45"/>
  <c r="D7" i="45"/>
  <c r="D6" i="45"/>
  <c r="DM11" i="32"/>
  <c r="DM8" i="32" s="1"/>
  <c r="DN11" i="32"/>
  <c r="DN7" i="32" s="1"/>
  <c r="DO11" i="32"/>
  <c r="DO7" i="32" s="1"/>
  <c r="DP11" i="32"/>
  <c r="DP8" i="32" s="1"/>
  <c r="DQ11" i="32"/>
  <c r="DR11" i="32"/>
  <c r="DR9" i="32" s="1"/>
  <c r="DS11" i="32"/>
  <c r="DS9" i="32" s="1"/>
  <c r="DT11" i="32"/>
  <c r="DT9" i="32" s="1"/>
  <c r="DU11" i="32"/>
  <c r="DU9" i="32" s="1"/>
  <c r="DV11" i="32"/>
  <c r="DV8" i="32" s="1"/>
  <c r="DW11" i="32"/>
  <c r="DW8" i="32" s="1"/>
  <c r="DL11" i="32"/>
  <c r="DL10" i="32" s="1"/>
  <c r="DM12" i="32"/>
  <c r="DN12" i="32" s="1"/>
  <c r="DO12" i="32" s="1"/>
  <c r="DP12" i="32" s="1"/>
  <c r="DQ12" i="32" s="1"/>
  <c r="DR12" i="32" s="1"/>
  <c r="DS12" i="32" s="1"/>
  <c r="DT12" i="32" s="1"/>
  <c r="DU12" i="32" s="1"/>
  <c r="DV12" i="32" s="1"/>
  <c r="DW12" i="32" s="1"/>
  <c r="DP7" i="32"/>
  <c r="DQ7" i="32"/>
  <c r="DU7" i="32"/>
  <c r="DV7" i="32"/>
  <c r="DW7" i="32"/>
  <c r="DN8" i="32"/>
  <c r="DO8" i="32"/>
  <c r="DN9" i="32"/>
  <c r="DO9" i="32"/>
  <c r="DV9" i="32"/>
  <c r="DW9" i="32"/>
  <c r="DN10" i="32"/>
  <c r="DO10" i="32"/>
  <c r="DU10" i="32"/>
  <c r="DV10" i="32"/>
  <c r="DW10" i="32"/>
  <c r="DL7" i="32"/>
  <c r="DM9" i="32" l="1"/>
  <c r="DM7" i="32"/>
  <c r="DM10" i="32"/>
  <c r="DU8" i="32"/>
  <c r="DP9" i="32"/>
  <c r="DP10" i="32"/>
  <c r="T184" i="45"/>
  <c r="DL8" i="32"/>
  <c r="DL9" i="32"/>
  <c r="T272" i="45"/>
  <c r="T294" i="45"/>
  <c r="T261" i="45"/>
  <c r="T239" i="45"/>
  <c r="T161" i="45"/>
  <c r="T322" i="45"/>
  <c r="T206" i="45"/>
  <c r="T308" i="45"/>
  <c r="T228" i="45"/>
  <c r="T19" i="45"/>
  <c r="T138" i="45"/>
  <c r="T47" i="45"/>
  <c r="T68" i="45"/>
  <c r="P431" i="15"/>
  <c r="P415" i="15" s="1"/>
  <c r="Q433" i="15"/>
  <c r="Q417" i="15" s="1"/>
  <c r="P465" i="15"/>
  <c r="P430" i="15"/>
  <c r="P414" i="15" s="1"/>
  <c r="DS8" i="32"/>
  <c r="DT8" i="32"/>
  <c r="DS10" i="32"/>
  <c r="DR10" i="32"/>
  <c r="DQ10" i="32"/>
  <c r="DQ9" i="32"/>
  <c r="DR8" i="32"/>
  <c r="DQ8" i="32"/>
  <c r="DT7" i="32"/>
  <c r="DT10" i="32"/>
  <c r="DS7" i="32"/>
  <c r="DR7" i="32"/>
  <c r="Q431" i="15" l="1"/>
  <c r="Q415" i="15" s="1"/>
  <c r="Q430" i="15"/>
  <c r="Q414" i="15" s="1"/>
  <c r="R433" i="15"/>
  <c r="R417" i="15" s="1"/>
  <c r="Q465" i="15"/>
  <c r="L17" i="15"/>
  <c r="F58" i="19" s="1"/>
  <c r="L16" i="15"/>
  <c r="F57" i="19" s="1"/>
  <c r="B29" i="19"/>
  <c r="R431" i="15" l="1"/>
  <c r="R415" i="15" s="1"/>
  <c r="R465" i="15"/>
  <c r="R430" i="15"/>
  <c r="R414" i="15" s="1"/>
  <c r="D16" i="6"/>
  <c r="D14" i="6"/>
  <c r="D13" i="6"/>
  <c r="F6" i="6"/>
  <c r="B397" i="15"/>
  <c r="O44" i="34" s="1"/>
  <c r="O42" i="34"/>
  <c r="K39" i="15"/>
  <c r="K49" i="15"/>
  <c r="E238" i="45" l="1"/>
  <c r="E271" i="45"/>
  <c r="E205" i="45"/>
  <c r="L39" i="15"/>
  <c r="M39" i="15" l="1"/>
  <c r="F238" i="45"/>
  <c r="F271" i="45"/>
  <c r="F205" i="45"/>
  <c r="F34" i="32"/>
  <c r="F39" i="32"/>
  <c r="N39" i="15" l="1"/>
  <c r="G271" i="45"/>
  <c r="G238" i="45"/>
  <c r="G205" i="45"/>
  <c r="FU8" i="32"/>
  <c r="FV8" i="32"/>
  <c r="FW8" i="32"/>
  <c r="FV9" i="32"/>
  <c r="FW9" i="32"/>
  <c r="FW10" i="32"/>
  <c r="FV11" i="32"/>
  <c r="FW11" i="32"/>
  <c r="FU12" i="32"/>
  <c r="FV12" i="32"/>
  <c r="FW12" i="32"/>
  <c r="FV13" i="32"/>
  <c r="FW13" i="32"/>
  <c r="FV14" i="32"/>
  <c r="FW14" i="32"/>
  <c r="FV15" i="32"/>
  <c r="FW15" i="32"/>
  <c r="FU16" i="32"/>
  <c r="FV16" i="32"/>
  <c r="FW16" i="32"/>
  <c r="FV17" i="32"/>
  <c r="FW17" i="32"/>
  <c r="FV18" i="32"/>
  <c r="FW18" i="32"/>
  <c r="FV19" i="32"/>
  <c r="FW19" i="32"/>
  <c r="FU20" i="32"/>
  <c r="FV20" i="32"/>
  <c r="FW20" i="32"/>
  <c r="FX27" i="32"/>
  <c r="FX11" i="32" s="1"/>
  <c r="FW742" i="32" s="1"/>
  <c r="FX28" i="32"/>
  <c r="FX12" i="32" s="1"/>
  <c r="FW678" i="32" s="1"/>
  <c r="FX30" i="32"/>
  <c r="FX14" i="32" s="1"/>
  <c r="FW554" i="32" s="1"/>
  <c r="FX31" i="32"/>
  <c r="FX15" i="32" s="1"/>
  <c r="FW490" i="32" s="1"/>
  <c r="FX34" i="32"/>
  <c r="FX18" i="32" s="1"/>
  <c r="FW301" i="32" s="1"/>
  <c r="FX35" i="32"/>
  <c r="FX19" i="32" s="1"/>
  <c r="FW237" i="32" s="1"/>
  <c r="O39" i="15" l="1"/>
  <c r="H271" i="45"/>
  <c r="H238" i="45"/>
  <c r="H205" i="45"/>
  <c r="GO17" i="32"/>
  <c r="GP17" i="32" s="1"/>
  <c r="GQ17" i="32" s="1"/>
  <c r="GR17" i="32" s="1"/>
  <c r="GS17" i="32" s="1"/>
  <c r="EO19" i="32"/>
  <c r="EP19" i="32"/>
  <c r="EQ19" i="32"/>
  <c r="ER19" i="32"/>
  <c r="ES19" i="32"/>
  <c r="EV19" i="32"/>
  <c r="EW19" i="32"/>
  <c r="EX19" i="32"/>
  <c r="EY19" i="32"/>
  <c r="EZ19" i="32"/>
  <c r="GS20" i="32"/>
  <c r="GS25" i="32" s="1"/>
  <c r="GE24" i="32"/>
  <c r="FX24" i="32" s="1"/>
  <c r="FX8" i="32" s="1"/>
  <c r="FW930" i="32" s="1"/>
  <c r="EP25" i="32"/>
  <c r="EQ25" i="32" s="1"/>
  <c r="ER25" i="32" s="1"/>
  <c r="ES25" i="32" s="1"/>
  <c r="GE25" i="32"/>
  <c r="FX25" i="32" s="1"/>
  <c r="FX9" i="32" s="1"/>
  <c r="FW869" i="32" s="1"/>
  <c r="GE26" i="32"/>
  <c r="FX26" i="32" s="1"/>
  <c r="FX10" i="32" s="1"/>
  <c r="FW806" i="32" s="1"/>
  <c r="GN25" i="32"/>
  <c r="GO25" i="32"/>
  <c r="GP25" i="32"/>
  <c r="GQ25" i="32"/>
  <c r="GR25" i="32"/>
  <c r="GE29" i="32"/>
  <c r="FX29" i="32" s="1"/>
  <c r="FX13" i="32" s="1"/>
  <c r="FW617" i="32" s="1"/>
  <c r="P39" i="15" l="1"/>
  <c r="I238" i="45"/>
  <c r="I271" i="45"/>
  <c r="I205" i="45"/>
  <c r="EV8" i="32"/>
  <c r="J271" i="45" l="1"/>
  <c r="J238" i="45"/>
  <c r="J205" i="45"/>
  <c r="B27" i="34"/>
  <c r="B26" i="34"/>
  <c r="EX8" i="32" l="1"/>
  <c r="EY8" i="32"/>
  <c r="EZ8" i="32"/>
  <c r="EW8" i="32"/>
  <c r="EH858" i="32" l="1"/>
  <c r="EH857" i="32" s="1"/>
  <c r="EH856" i="32" s="1"/>
  <c r="EH855" i="32" s="1"/>
  <c r="EH854" i="32" s="1"/>
  <c r="EH853" i="32" s="1"/>
  <c r="EH852" i="32" s="1"/>
  <c r="EH851" i="32" s="1"/>
  <c r="EH850" i="32" s="1"/>
  <c r="EH849" i="32" s="1"/>
  <c r="EH848" i="32" s="1"/>
  <c r="EH847" i="32" s="1"/>
  <c r="EH846" i="32" s="1"/>
  <c r="EH845" i="32" s="1"/>
  <c r="EH844" i="32" s="1"/>
  <c r="EH843" i="32" s="1"/>
  <c r="EH842" i="32" s="1"/>
  <c r="EH841" i="32" s="1"/>
  <c r="EH840" i="32" s="1"/>
  <c r="EH839" i="32" s="1"/>
  <c r="EH838" i="32" s="1"/>
  <c r="EH837" i="32" s="1"/>
  <c r="EH836" i="32" s="1"/>
  <c r="EH835" i="32" s="1"/>
  <c r="EH834" i="32" s="1"/>
  <c r="EH833" i="32" s="1"/>
  <c r="EH832" i="32" s="1"/>
  <c r="EH831" i="32" s="1"/>
  <c r="EH830" i="32" s="1"/>
  <c r="EH829" i="32" s="1"/>
  <c r="EH828" i="32" s="1"/>
  <c r="EH827" i="32" s="1"/>
  <c r="EH826" i="32" s="1"/>
  <c r="EH825" i="32" s="1"/>
  <c r="EH824" i="32" s="1"/>
  <c r="EH823" i="32" s="1"/>
  <c r="EH822" i="32" s="1"/>
  <c r="EH821" i="32" s="1"/>
  <c r="EH820" i="32" s="1"/>
  <c r="EH819" i="32" s="1"/>
  <c r="EH818" i="32" s="1"/>
  <c r="EH817" i="32" s="1"/>
  <c r="EH816" i="32" s="1"/>
  <c r="EH815" i="32" s="1"/>
  <c r="EH814" i="32" s="1"/>
  <c r="EH813" i="32" s="1"/>
  <c r="EH812" i="32" s="1"/>
  <c r="EH811" i="32" s="1"/>
  <c r="EH810" i="32" s="1"/>
  <c r="EH809" i="32" s="1"/>
  <c r="EH808" i="32" s="1"/>
  <c r="EH807" i="32" s="1"/>
  <c r="EH806" i="32" s="1"/>
  <c r="EH805" i="32" s="1"/>
  <c r="EH804" i="32" s="1"/>
  <c r="EH803" i="32" s="1"/>
  <c r="EH802" i="32" s="1"/>
  <c r="EH801" i="32" s="1"/>
  <c r="EH800" i="32" s="1"/>
  <c r="EH799" i="32" s="1"/>
  <c r="EH798" i="32" s="1"/>
  <c r="EH797" i="32" s="1"/>
  <c r="EH796" i="32" s="1"/>
  <c r="EI858" i="32"/>
  <c r="EI857" i="32" s="1"/>
  <c r="EI856" i="32" s="1"/>
  <c r="EI855" i="32" s="1"/>
  <c r="EI854" i="32" s="1"/>
  <c r="EI853" i="32" s="1"/>
  <c r="EI852" i="32" s="1"/>
  <c r="EI851" i="32" s="1"/>
  <c r="EI850" i="32" s="1"/>
  <c r="EI849" i="32" s="1"/>
  <c r="EI848" i="32" s="1"/>
  <c r="EI847" i="32" s="1"/>
  <c r="EI846" i="32" s="1"/>
  <c r="EI845" i="32" s="1"/>
  <c r="EI844" i="32" s="1"/>
  <c r="EI843" i="32" s="1"/>
  <c r="EI842" i="32" s="1"/>
  <c r="EI841" i="32" s="1"/>
  <c r="EI840" i="32" s="1"/>
  <c r="EI839" i="32" s="1"/>
  <c r="EI838" i="32" s="1"/>
  <c r="EI837" i="32" s="1"/>
  <c r="EI836" i="32" s="1"/>
  <c r="EI835" i="32" s="1"/>
  <c r="EI834" i="32" s="1"/>
  <c r="EI833" i="32" s="1"/>
  <c r="EI832" i="32" s="1"/>
  <c r="EI831" i="32" s="1"/>
  <c r="EI830" i="32" s="1"/>
  <c r="EI829" i="32" s="1"/>
  <c r="EI828" i="32" s="1"/>
  <c r="EI827" i="32" s="1"/>
  <c r="EI826" i="32" s="1"/>
  <c r="EI825" i="32" s="1"/>
  <c r="EI824" i="32" s="1"/>
  <c r="EI823" i="32" s="1"/>
  <c r="EI822" i="32" s="1"/>
  <c r="EI821" i="32" s="1"/>
  <c r="EI820" i="32" s="1"/>
  <c r="EI819" i="32" s="1"/>
  <c r="EI818" i="32" s="1"/>
  <c r="EI817" i="32" s="1"/>
  <c r="EI816" i="32" s="1"/>
  <c r="EI815" i="32" s="1"/>
  <c r="EI814" i="32" s="1"/>
  <c r="EI813" i="32" s="1"/>
  <c r="EI812" i="32" s="1"/>
  <c r="EI811" i="32" s="1"/>
  <c r="EI810" i="32" s="1"/>
  <c r="EI809" i="32" s="1"/>
  <c r="EI808" i="32" s="1"/>
  <c r="EI807" i="32" s="1"/>
  <c r="EI806" i="32" s="1"/>
  <c r="EI805" i="32" s="1"/>
  <c r="EI804" i="32" s="1"/>
  <c r="EI803" i="32" s="1"/>
  <c r="EI802" i="32" s="1"/>
  <c r="EI801" i="32" s="1"/>
  <c r="EI800" i="32" s="1"/>
  <c r="EI799" i="32" s="1"/>
  <c r="EI798" i="32" s="1"/>
  <c r="EI797" i="32" s="1"/>
  <c r="EI796" i="32" s="1"/>
  <c r="M15" i="15"/>
  <c r="GY8" i="32" s="1"/>
  <c r="P24" i="34" l="1"/>
  <c r="EW16" i="32"/>
  <c r="EX16" i="32"/>
  <c r="EY16" i="32"/>
  <c r="EZ16" i="32"/>
  <c r="EV16" i="32"/>
  <c r="EZ14" i="32"/>
  <c r="EY14" i="32"/>
  <c r="EX14" i="32"/>
  <c r="EW14" i="32"/>
  <c r="EV14" i="32"/>
  <c r="EW11" i="32"/>
  <c r="EX11" i="32"/>
  <c r="EY11" i="32"/>
  <c r="EZ11" i="32"/>
  <c r="EV11" i="32"/>
  <c r="EZ13" i="32"/>
  <c r="EY13" i="32"/>
  <c r="EX13" i="32"/>
  <c r="EW13" i="32"/>
  <c r="EY10" i="32"/>
  <c r="EW5" i="32"/>
  <c r="EX5" i="32" s="1"/>
  <c r="EY5" i="32" s="1"/>
  <c r="EZ5" i="32" s="1"/>
  <c r="EI795" i="32"/>
  <c r="EI794" i="32" s="1"/>
  <c r="EI793" i="32" s="1"/>
  <c r="EI792" i="32" s="1"/>
  <c r="EI791" i="32" s="1"/>
  <c r="EI790" i="32" s="1"/>
  <c r="EI789" i="32" s="1"/>
  <c r="EI788" i="32" s="1"/>
  <c r="EI787" i="32" s="1"/>
  <c r="EI786" i="32" s="1"/>
  <c r="EI785" i="32" s="1"/>
  <c r="EI784" i="32" s="1"/>
  <c r="EI783" i="32" s="1"/>
  <c r="EI782" i="32" s="1"/>
  <c r="EI781" i="32" s="1"/>
  <c r="EI780" i="32" s="1"/>
  <c r="EI779" i="32" s="1"/>
  <c r="EI778" i="32" s="1"/>
  <c r="EI777" i="32" s="1"/>
  <c r="EI776" i="32" s="1"/>
  <c r="EI775" i="32" s="1"/>
  <c r="EI774" i="32" s="1"/>
  <c r="EI773" i="32" s="1"/>
  <c r="EI772" i="32" s="1"/>
  <c r="EI771" i="32" s="1"/>
  <c r="EI770" i="32" s="1"/>
  <c r="EI769" i="32" s="1"/>
  <c r="EI768" i="32" s="1"/>
  <c r="EI767" i="32" s="1"/>
  <c r="EI766" i="32" s="1"/>
  <c r="EI765" i="32" s="1"/>
  <c r="EI764" i="32" s="1"/>
  <c r="EI763" i="32" s="1"/>
  <c r="EI762" i="32" s="1"/>
  <c r="EI761" i="32" s="1"/>
  <c r="EI760" i="32" s="1"/>
  <c r="EI759" i="32" s="1"/>
  <c r="EI758" i="32" s="1"/>
  <c r="EI757" i="32" s="1"/>
  <c r="EI756" i="32" s="1"/>
  <c r="EI755" i="32" s="1"/>
  <c r="EI754" i="32" s="1"/>
  <c r="EI753" i="32" s="1"/>
  <c r="EI752" i="32" s="1"/>
  <c r="EI751" i="32" s="1"/>
  <c r="EI750" i="32" s="1"/>
  <c r="EI749" i="32" s="1"/>
  <c r="EI748" i="32" s="1"/>
  <c r="EI747" i="32" s="1"/>
  <c r="EI746" i="32" s="1"/>
  <c r="EI745" i="32" s="1"/>
  <c r="EI744" i="32" s="1"/>
  <c r="EI743" i="32" s="1"/>
  <c r="EI742" i="32" s="1"/>
  <c r="EI741" i="32" s="1"/>
  <c r="EI740" i="32" s="1"/>
  <c r="EI739" i="32" s="1"/>
  <c r="EI738" i="32" s="1"/>
  <c r="EI737" i="32" s="1"/>
  <c r="EI736" i="32" s="1"/>
  <c r="EI735" i="32" s="1"/>
  <c r="EI734" i="32" s="1"/>
  <c r="EI733" i="32" s="1"/>
  <c r="EI732" i="32" s="1"/>
  <c r="EI731" i="32" s="1"/>
  <c r="EI730" i="32" s="1"/>
  <c r="EI729" i="32" s="1"/>
  <c r="EI728" i="32" s="1"/>
  <c r="EI727" i="32" s="1"/>
  <c r="EI726" i="32" s="1"/>
  <c r="EI725" i="32" s="1"/>
  <c r="EI724" i="32" s="1"/>
  <c r="EI723" i="32" s="1"/>
  <c r="EI722" i="32" s="1"/>
  <c r="EI721" i="32" s="1"/>
  <c r="EI720" i="32" s="1"/>
  <c r="EI719" i="32" s="1"/>
  <c r="EI718" i="32" s="1"/>
  <c r="EI717" i="32" s="1"/>
  <c r="EI716" i="32" s="1"/>
  <c r="EI715" i="32" s="1"/>
  <c r="EI714" i="32" s="1"/>
  <c r="EI713" i="32" s="1"/>
  <c r="EI712" i="32" s="1"/>
  <c r="EI711" i="32" s="1"/>
  <c r="EI710" i="32" s="1"/>
  <c r="EI709" i="32" s="1"/>
  <c r="EI708" i="32" s="1"/>
  <c r="EI707" i="32" s="1"/>
  <c r="EI706" i="32" s="1"/>
  <c r="EI705" i="32" s="1"/>
  <c r="EI704" i="32" s="1"/>
  <c r="EI703" i="32" s="1"/>
  <c r="EI702" i="32" s="1"/>
  <c r="EI701" i="32" s="1"/>
  <c r="EI700" i="32" s="1"/>
  <c r="EI699" i="32" s="1"/>
  <c r="EI698" i="32" s="1"/>
  <c r="EI697" i="32" s="1"/>
  <c r="EI696" i="32" s="1"/>
  <c r="EI695" i="32" s="1"/>
  <c r="EI694" i="32" s="1"/>
  <c r="EI693" i="32" s="1"/>
  <c r="EI692" i="32" s="1"/>
  <c r="EI691" i="32" s="1"/>
  <c r="EI690" i="32" s="1"/>
  <c r="EI689" i="32" s="1"/>
  <c r="EI688" i="32" s="1"/>
  <c r="EI687" i="32" s="1"/>
  <c r="EI686" i="32" s="1"/>
  <c r="EI685" i="32" s="1"/>
  <c r="EI684" i="32" s="1"/>
  <c r="EI683" i="32" s="1"/>
  <c r="EI682" i="32" s="1"/>
  <c r="EI681" i="32" s="1"/>
  <c r="EI680" i="32" s="1"/>
  <c r="EI679" i="32" s="1"/>
  <c r="EI678" i="32" s="1"/>
  <c r="EI677" i="32" s="1"/>
  <c r="EI676" i="32" s="1"/>
  <c r="EI675" i="32" s="1"/>
  <c r="EI674" i="32" s="1"/>
  <c r="EI673" i="32" s="1"/>
  <c r="EI672" i="32" s="1"/>
  <c r="EI671" i="32" s="1"/>
  <c r="EI670" i="32" s="1"/>
  <c r="EI669" i="32" s="1"/>
  <c r="EI668" i="32" s="1"/>
  <c r="EI667" i="32" s="1"/>
  <c r="EI666" i="32" s="1"/>
  <c r="EI665" i="32" s="1"/>
  <c r="EI664" i="32" s="1"/>
  <c r="EI663" i="32" s="1"/>
  <c r="EI662" i="32" s="1"/>
  <c r="EI661" i="32" s="1"/>
  <c r="EI660" i="32" s="1"/>
  <c r="EI659" i="32" s="1"/>
  <c r="EI658" i="32" s="1"/>
  <c r="EI657" i="32" s="1"/>
  <c r="EI656" i="32" s="1"/>
  <c r="EI655" i="32" s="1"/>
  <c r="EI654" i="32" s="1"/>
  <c r="EI653" i="32" s="1"/>
  <c r="EI652" i="32" s="1"/>
  <c r="EI651" i="32" s="1"/>
  <c r="EI650" i="32" s="1"/>
  <c r="EI649" i="32" s="1"/>
  <c r="EI648" i="32" s="1"/>
  <c r="EI647" i="32" s="1"/>
  <c r="EI646" i="32" s="1"/>
  <c r="EI645" i="32" s="1"/>
  <c r="EI644" i="32" s="1"/>
  <c r="EI643" i="32" s="1"/>
  <c r="EI642" i="32" s="1"/>
  <c r="EI641" i="32" s="1"/>
  <c r="EI640" i="32" s="1"/>
  <c r="EI639" i="32" s="1"/>
  <c r="EI638" i="32" s="1"/>
  <c r="EI637" i="32" s="1"/>
  <c r="EI636" i="32" s="1"/>
  <c r="EI635" i="32" s="1"/>
  <c r="EI634" i="32" s="1"/>
  <c r="EI633" i="32" s="1"/>
  <c r="EI632" i="32" s="1"/>
  <c r="EI631" i="32" s="1"/>
  <c r="EI630" i="32" s="1"/>
  <c r="EI629" i="32" s="1"/>
  <c r="EI628" i="32" s="1"/>
  <c r="EI627" i="32" s="1"/>
  <c r="EI626" i="32" s="1"/>
  <c r="EI625" i="32" s="1"/>
  <c r="EI624" i="32" s="1"/>
  <c r="EI623" i="32" s="1"/>
  <c r="EI622" i="32" s="1"/>
  <c r="EI621" i="32" s="1"/>
  <c r="EI620" i="32" s="1"/>
  <c r="EI619" i="32" s="1"/>
  <c r="EI618" i="32" s="1"/>
  <c r="EI617" i="32" s="1"/>
  <c r="EI616" i="32" s="1"/>
  <c r="EI615" i="32" s="1"/>
  <c r="EI614" i="32" s="1"/>
  <c r="EI613" i="32" s="1"/>
  <c r="EI612" i="32" s="1"/>
  <c r="EI611" i="32" s="1"/>
  <c r="EI610" i="32" s="1"/>
  <c r="EI609" i="32" s="1"/>
  <c r="EI608" i="32" s="1"/>
  <c r="EI607" i="32" s="1"/>
  <c r="EI606" i="32" s="1"/>
  <c r="EI605" i="32" s="1"/>
  <c r="EI604" i="32" s="1"/>
  <c r="EI603" i="32" s="1"/>
  <c r="EI602" i="32" s="1"/>
  <c r="EI601" i="32" s="1"/>
  <c r="EI600" i="32" s="1"/>
  <c r="EI599" i="32" s="1"/>
  <c r="EI598" i="32" s="1"/>
  <c r="EI597" i="32" s="1"/>
  <c r="EI596" i="32" s="1"/>
  <c r="EI595" i="32" s="1"/>
  <c r="EI594" i="32" s="1"/>
  <c r="EI593" i="32" s="1"/>
  <c r="EI592" i="32" s="1"/>
  <c r="EI591" i="32" s="1"/>
  <c r="EI590" i="32" s="1"/>
  <c r="EI589" i="32" s="1"/>
  <c r="EI588" i="32" s="1"/>
  <c r="EI587" i="32" s="1"/>
  <c r="EI586" i="32" s="1"/>
  <c r="EI585" i="32" s="1"/>
  <c r="EI584" i="32" s="1"/>
  <c r="EI583" i="32" s="1"/>
  <c r="EI582" i="32" s="1"/>
  <c r="EI581" i="32" s="1"/>
  <c r="EI580" i="32" s="1"/>
  <c r="EI579" i="32" s="1"/>
  <c r="EI578" i="32" s="1"/>
  <c r="EI577" i="32" s="1"/>
  <c r="EI576" i="32" s="1"/>
  <c r="EI575" i="32" s="1"/>
  <c r="EI574" i="32" s="1"/>
  <c r="EI573" i="32" s="1"/>
  <c r="EI572" i="32" s="1"/>
  <c r="EI571" i="32" s="1"/>
  <c r="EI570" i="32" s="1"/>
  <c r="EI569" i="32" s="1"/>
  <c r="EI568" i="32" s="1"/>
  <c r="EI567" i="32" s="1"/>
  <c r="EI566" i="32" s="1"/>
  <c r="EI565" i="32" s="1"/>
  <c r="EI564" i="32" s="1"/>
  <c r="EI563" i="32" s="1"/>
  <c r="EI562" i="32" s="1"/>
  <c r="EI561" i="32" s="1"/>
  <c r="EI560" i="32" s="1"/>
  <c r="EI559" i="32" s="1"/>
  <c r="EI558" i="32" s="1"/>
  <c r="EI557" i="32" s="1"/>
  <c r="EI556" i="32" s="1"/>
  <c r="EI555" i="32" s="1"/>
  <c r="EI554" i="32" s="1"/>
  <c r="EI553" i="32" s="1"/>
  <c r="EI552" i="32" s="1"/>
  <c r="EI551" i="32" s="1"/>
  <c r="EI550" i="32" s="1"/>
  <c r="EI549" i="32" s="1"/>
  <c r="EI548" i="32" s="1"/>
  <c r="EI547" i="32" s="1"/>
  <c r="EI546" i="32" s="1"/>
  <c r="EI545" i="32" s="1"/>
  <c r="EI544" i="32" s="1"/>
  <c r="EI543" i="32" s="1"/>
  <c r="EI542" i="32" s="1"/>
  <c r="EI541" i="32" s="1"/>
  <c r="EI540" i="32" s="1"/>
  <c r="EI539" i="32" s="1"/>
  <c r="EI538" i="32" s="1"/>
  <c r="EI537" i="32" s="1"/>
  <c r="EI536" i="32" s="1"/>
  <c r="EI535" i="32" s="1"/>
  <c r="EI534" i="32" s="1"/>
  <c r="EI533" i="32" s="1"/>
  <c r="EI532" i="32" s="1"/>
  <c r="EI531" i="32" s="1"/>
  <c r="EI530" i="32" s="1"/>
  <c r="EI529" i="32" s="1"/>
  <c r="EI528" i="32" s="1"/>
  <c r="EI527" i="32" s="1"/>
  <c r="EI526" i="32" s="1"/>
  <c r="EI525" i="32" s="1"/>
  <c r="EI524" i="32" s="1"/>
  <c r="EI523" i="32" s="1"/>
  <c r="EI522" i="32" s="1"/>
  <c r="EI521" i="32" s="1"/>
  <c r="EI520" i="32" s="1"/>
  <c r="EI519" i="32" s="1"/>
  <c r="EI518" i="32" s="1"/>
  <c r="EI517" i="32" s="1"/>
  <c r="EI516" i="32" s="1"/>
  <c r="EI515" i="32" s="1"/>
  <c r="EI514" i="32" s="1"/>
  <c r="EI513" i="32" s="1"/>
  <c r="EI512" i="32" s="1"/>
  <c r="EI511" i="32" s="1"/>
  <c r="EI510" i="32" s="1"/>
  <c r="EI509" i="32" s="1"/>
  <c r="EI508" i="32" s="1"/>
  <c r="EI507" i="32" s="1"/>
  <c r="EI506" i="32" s="1"/>
  <c r="EI505" i="32" s="1"/>
  <c r="EI504" i="32" s="1"/>
  <c r="EI503" i="32" s="1"/>
  <c r="EI502" i="32" s="1"/>
  <c r="EI501" i="32" s="1"/>
  <c r="EI500" i="32" s="1"/>
  <c r="EI499" i="32" s="1"/>
  <c r="EI498" i="32" s="1"/>
  <c r="EI497" i="32" s="1"/>
  <c r="EI496" i="32" s="1"/>
  <c r="EI495" i="32" s="1"/>
  <c r="EI494" i="32" s="1"/>
  <c r="EI493" i="32" s="1"/>
  <c r="EI492" i="32" s="1"/>
  <c r="EI491" i="32" s="1"/>
  <c r="EI490" i="32" s="1"/>
  <c r="EI489" i="32" s="1"/>
  <c r="EI488" i="32" s="1"/>
  <c r="EI487" i="32" s="1"/>
  <c r="EI486" i="32" s="1"/>
  <c r="EI485" i="32" s="1"/>
  <c r="EI484" i="32" s="1"/>
  <c r="EI483" i="32" s="1"/>
  <c r="EI482" i="32" s="1"/>
  <c r="EI481" i="32" s="1"/>
  <c r="EI480" i="32" s="1"/>
  <c r="EI479" i="32" s="1"/>
  <c r="EI478" i="32" s="1"/>
  <c r="EI477" i="32" s="1"/>
  <c r="EI476" i="32" s="1"/>
  <c r="EI475" i="32" s="1"/>
  <c r="EI474" i="32" s="1"/>
  <c r="EI473" i="32" s="1"/>
  <c r="EI472" i="32" s="1"/>
  <c r="EI471" i="32" s="1"/>
  <c r="EI470" i="32" s="1"/>
  <c r="EI469" i="32" s="1"/>
  <c r="EI468" i="32" s="1"/>
  <c r="EI467" i="32" s="1"/>
  <c r="EI466" i="32" s="1"/>
  <c r="EI465" i="32" s="1"/>
  <c r="EI464" i="32" s="1"/>
  <c r="EI463" i="32" s="1"/>
  <c r="EI462" i="32" s="1"/>
  <c r="EI461" i="32" s="1"/>
  <c r="EI460" i="32" s="1"/>
  <c r="EI459" i="32" s="1"/>
  <c r="EI458" i="32" s="1"/>
  <c r="EI457" i="32" s="1"/>
  <c r="EI456" i="32" s="1"/>
  <c r="EI455" i="32" s="1"/>
  <c r="EI454" i="32" s="1"/>
  <c r="EI453" i="32" s="1"/>
  <c r="EI452" i="32" s="1"/>
  <c r="EI451" i="32" s="1"/>
  <c r="EI450" i="32" s="1"/>
  <c r="EI449" i="32" s="1"/>
  <c r="EI448" i="32" s="1"/>
  <c r="EI447" i="32" s="1"/>
  <c r="EI446" i="32" s="1"/>
  <c r="EI445" i="32" s="1"/>
  <c r="EI444" i="32" s="1"/>
  <c r="EI443" i="32" s="1"/>
  <c r="EI442" i="32" s="1"/>
  <c r="EI441" i="32" s="1"/>
  <c r="EI440" i="32" s="1"/>
  <c r="EI439" i="32" s="1"/>
  <c r="EI438" i="32" s="1"/>
  <c r="EI437" i="32" s="1"/>
  <c r="EI436" i="32" s="1"/>
  <c r="EI435" i="32" s="1"/>
  <c r="EI434" i="32" s="1"/>
  <c r="EI433" i="32" s="1"/>
  <c r="EI432" i="32" s="1"/>
  <c r="EI431" i="32" s="1"/>
  <c r="EI430" i="32" s="1"/>
  <c r="EI429" i="32" s="1"/>
  <c r="EI428" i="32" s="1"/>
  <c r="EI427" i="32" s="1"/>
  <c r="EI426" i="32" s="1"/>
  <c r="EI425" i="32" s="1"/>
  <c r="EI424" i="32" s="1"/>
  <c r="EI423" i="32" s="1"/>
  <c r="EI422" i="32" s="1"/>
  <c r="EI421" i="32" s="1"/>
  <c r="EI420" i="32" s="1"/>
  <c r="EI419" i="32" s="1"/>
  <c r="EI418" i="32" s="1"/>
  <c r="EI417" i="32" s="1"/>
  <c r="EI416" i="32" s="1"/>
  <c r="EI415" i="32" s="1"/>
  <c r="EI414" i="32" s="1"/>
  <c r="EI413" i="32" s="1"/>
  <c r="EI412" i="32" s="1"/>
  <c r="EI411" i="32" s="1"/>
  <c r="EI410" i="32" s="1"/>
  <c r="EI409" i="32" s="1"/>
  <c r="EI408" i="32" s="1"/>
  <c r="EI407" i="32" s="1"/>
  <c r="EI406" i="32" s="1"/>
  <c r="EI405" i="32" s="1"/>
  <c r="EI404" i="32" s="1"/>
  <c r="EI403" i="32" s="1"/>
  <c r="EI402" i="32" s="1"/>
  <c r="EI401" i="32" s="1"/>
  <c r="EI400" i="32" s="1"/>
  <c r="EI399" i="32" s="1"/>
  <c r="EI398" i="32" s="1"/>
  <c r="EI397" i="32" s="1"/>
  <c r="EI396" i="32" s="1"/>
  <c r="EI395" i="32" s="1"/>
  <c r="EI394" i="32" s="1"/>
  <c r="EI393" i="32" s="1"/>
  <c r="EI392" i="32" s="1"/>
  <c r="EI391" i="32" s="1"/>
  <c r="EI390" i="32" s="1"/>
  <c r="EI389" i="32" s="1"/>
  <c r="EI388" i="32" s="1"/>
  <c r="EI387" i="32" s="1"/>
  <c r="EI386" i="32" s="1"/>
  <c r="EI385" i="32" s="1"/>
  <c r="EI384" i="32" s="1"/>
  <c r="EI383" i="32" s="1"/>
  <c r="EI382" i="32" s="1"/>
  <c r="EI381" i="32" s="1"/>
  <c r="EI380" i="32" s="1"/>
  <c r="EI379" i="32" s="1"/>
  <c r="EI378" i="32" s="1"/>
  <c r="EI377" i="32" s="1"/>
  <c r="EI376" i="32" s="1"/>
  <c r="EI375" i="32" s="1"/>
  <c r="EI374" i="32" s="1"/>
  <c r="EI373" i="32" s="1"/>
  <c r="EI372" i="32" s="1"/>
  <c r="EI371" i="32" s="1"/>
  <c r="EI370" i="32" s="1"/>
  <c r="EI369" i="32" s="1"/>
  <c r="EI368" i="32" s="1"/>
  <c r="EI367" i="32" s="1"/>
  <c r="EI366" i="32" s="1"/>
  <c r="EI365" i="32" s="1"/>
  <c r="EI364" i="32" s="1"/>
  <c r="EI363" i="32" s="1"/>
  <c r="EI362" i="32" s="1"/>
  <c r="EI361" i="32" s="1"/>
  <c r="EI360" i="32" s="1"/>
  <c r="EI359" i="32" s="1"/>
  <c r="EI358" i="32" s="1"/>
  <c r="EI357" i="32" s="1"/>
  <c r="EI356" i="32" s="1"/>
  <c r="EI355" i="32" s="1"/>
  <c r="EI354" i="32" s="1"/>
  <c r="EI353" i="32" s="1"/>
  <c r="EI352" i="32" s="1"/>
  <c r="EI351" i="32" s="1"/>
  <c r="EI350" i="32" s="1"/>
  <c r="EI349" i="32" s="1"/>
  <c r="EI348" i="32" s="1"/>
  <c r="EI347" i="32" s="1"/>
  <c r="EI346" i="32" s="1"/>
  <c r="EI345" i="32" s="1"/>
  <c r="EI344" i="32" s="1"/>
  <c r="EI343" i="32" s="1"/>
  <c r="EI342" i="32" s="1"/>
  <c r="EI341" i="32" s="1"/>
  <c r="EI340" i="32" s="1"/>
  <c r="EI339" i="32" s="1"/>
  <c r="EI338" i="32" s="1"/>
  <c r="EI337" i="32" s="1"/>
  <c r="EI336" i="32" s="1"/>
  <c r="EI335" i="32" s="1"/>
  <c r="EI334" i="32" s="1"/>
  <c r="EI333" i="32" s="1"/>
  <c r="EI332" i="32" s="1"/>
  <c r="EI331" i="32" s="1"/>
  <c r="EI330" i="32" s="1"/>
  <c r="EI329" i="32" s="1"/>
  <c r="EI328" i="32" s="1"/>
  <c r="EI327" i="32" s="1"/>
  <c r="EI326" i="32" s="1"/>
  <c r="EI325" i="32" s="1"/>
  <c r="EI324" i="32" s="1"/>
  <c r="EI323" i="32" s="1"/>
  <c r="EI322" i="32" s="1"/>
  <c r="EI321" i="32" s="1"/>
  <c r="EI320" i="32" s="1"/>
  <c r="EI319" i="32" s="1"/>
  <c r="EI318" i="32" s="1"/>
  <c r="EI317" i="32" s="1"/>
  <c r="EI316" i="32" s="1"/>
  <c r="EI315" i="32" s="1"/>
  <c r="EI314" i="32" s="1"/>
  <c r="EI313" i="32" s="1"/>
  <c r="EI312" i="32" s="1"/>
  <c r="EI311" i="32" s="1"/>
  <c r="EI310" i="32" s="1"/>
  <c r="EI309" i="32" s="1"/>
  <c r="EI308" i="32" s="1"/>
  <c r="EI307" i="32" s="1"/>
  <c r="EI306" i="32" s="1"/>
  <c r="EI305" i="32" s="1"/>
  <c r="EI304" i="32" s="1"/>
  <c r="EI303" i="32" s="1"/>
  <c r="EI302" i="32" s="1"/>
  <c r="EI301" i="32" s="1"/>
  <c r="EI300" i="32" s="1"/>
  <c r="EI299" i="32" s="1"/>
  <c r="EI298" i="32" s="1"/>
  <c r="EI297" i="32" s="1"/>
  <c r="EI296" i="32" s="1"/>
  <c r="EI295" i="32" s="1"/>
  <c r="EI294" i="32" s="1"/>
  <c r="EI293" i="32" s="1"/>
  <c r="EI292" i="32" s="1"/>
  <c r="EI291" i="32" s="1"/>
  <c r="EI290" i="32" s="1"/>
  <c r="EI289" i="32" s="1"/>
  <c r="EI288" i="32" s="1"/>
  <c r="EI287" i="32" s="1"/>
  <c r="EI286" i="32" s="1"/>
  <c r="EI285" i="32" s="1"/>
  <c r="EI284" i="32" s="1"/>
  <c r="EI283" i="32" s="1"/>
  <c r="EI282" i="32" s="1"/>
  <c r="EI281" i="32" s="1"/>
  <c r="EI280" i="32" s="1"/>
  <c r="EI279" i="32" s="1"/>
  <c r="EI278" i="32" s="1"/>
  <c r="EI277" i="32" s="1"/>
  <c r="EI276" i="32" s="1"/>
  <c r="EI275" i="32" s="1"/>
  <c r="EI274" i="32" s="1"/>
  <c r="EI273" i="32" s="1"/>
  <c r="EI272" i="32" s="1"/>
  <c r="EI271" i="32" s="1"/>
  <c r="EI270" i="32" s="1"/>
  <c r="EI269" i="32" s="1"/>
  <c r="EI268" i="32" s="1"/>
  <c r="EI267" i="32" s="1"/>
  <c r="EI266" i="32" s="1"/>
  <c r="EI265" i="32" s="1"/>
  <c r="EI264" i="32" s="1"/>
  <c r="EI263" i="32" s="1"/>
  <c r="EI262" i="32" s="1"/>
  <c r="EI261" i="32" s="1"/>
  <c r="EI260" i="32" s="1"/>
  <c r="EI259" i="32" s="1"/>
  <c r="EI258" i="32" s="1"/>
  <c r="EI257" i="32" s="1"/>
  <c r="EI256" i="32" s="1"/>
  <c r="EI255" i="32" s="1"/>
  <c r="EI254" i="32" s="1"/>
  <c r="EI253" i="32" s="1"/>
  <c r="EI252" i="32" s="1"/>
  <c r="EI251" i="32" s="1"/>
  <c r="EI250" i="32" s="1"/>
  <c r="EI249" i="32" s="1"/>
  <c r="EI248" i="32" s="1"/>
  <c r="EI247" i="32" s="1"/>
  <c r="EI246" i="32" s="1"/>
  <c r="EI245" i="32" s="1"/>
  <c r="EI244" i="32" s="1"/>
  <c r="EI243" i="32" s="1"/>
  <c r="EI242" i="32" s="1"/>
  <c r="EI241" i="32" s="1"/>
  <c r="EI240" i="32" s="1"/>
  <c r="EI239" i="32" s="1"/>
  <c r="EI238" i="32" s="1"/>
  <c r="EI237" i="32" s="1"/>
  <c r="EI236" i="32" s="1"/>
  <c r="EI235" i="32" s="1"/>
  <c r="EI234" i="32" s="1"/>
  <c r="EI233" i="32" s="1"/>
  <c r="EI232" i="32" s="1"/>
  <c r="EI231" i="32" s="1"/>
  <c r="EI230" i="32" s="1"/>
  <c r="EI229" i="32" s="1"/>
  <c r="EI228" i="32" s="1"/>
  <c r="EI227" i="32" s="1"/>
  <c r="EI226" i="32" s="1"/>
  <c r="EI225" i="32" s="1"/>
  <c r="EI224" i="32" s="1"/>
  <c r="EI223" i="32" s="1"/>
  <c r="EI222" i="32" s="1"/>
  <c r="EI221" i="32" s="1"/>
  <c r="EI220" i="32" s="1"/>
  <c r="EI219" i="32" s="1"/>
  <c r="EI218" i="32" s="1"/>
  <c r="EI217" i="32" s="1"/>
  <c r="EI216" i="32" s="1"/>
  <c r="EI215" i="32" s="1"/>
  <c r="EI214" i="32" s="1"/>
  <c r="EI213" i="32" s="1"/>
  <c r="EI212" i="32" s="1"/>
  <c r="EI211" i="32" s="1"/>
  <c r="EI210" i="32" s="1"/>
  <c r="EI209" i="32" s="1"/>
  <c r="EI208" i="32" s="1"/>
  <c r="EI207" i="32" s="1"/>
  <c r="EI206" i="32" s="1"/>
  <c r="EI205" i="32" s="1"/>
  <c r="EI204" i="32" s="1"/>
  <c r="EI203" i="32" s="1"/>
  <c r="EI202" i="32" s="1"/>
  <c r="EI201" i="32" s="1"/>
  <c r="EI200" i="32" s="1"/>
  <c r="EI199" i="32" s="1"/>
  <c r="EI198" i="32" s="1"/>
  <c r="EI197" i="32" s="1"/>
  <c r="EI196" i="32" s="1"/>
  <c r="EI195" i="32" s="1"/>
  <c r="EI194" i="32" s="1"/>
  <c r="EI193" i="32" s="1"/>
  <c r="EI192" i="32" s="1"/>
  <c r="EI191" i="32" s="1"/>
  <c r="EI190" i="32" s="1"/>
  <c r="EI189" i="32" s="1"/>
  <c r="EI188" i="32" s="1"/>
  <c r="EI187" i="32" s="1"/>
  <c r="EI186" i="32" s="1"/>
  <c r="EI185" i="32" s="1"/>
  <c r="EI184" i="32" s="1"/>
  <c r="EI183" i="32" s="1"/>
  <c r="EI182" i="32" s="1"/>
  <c r="EI181" i="32" s="1"/>
  <c r="EI180" i="32" s="1"/>
  <c r="EI179" i="32" s="1"/>
  <c r="EI178" i="32" s="1"/>
  <c r="EI177" i="32" s="1"/>
  <c r="EI176" i="32" s="1"/>
  <c r="EI175" i="32" s="1"/>
  <c r="EI174" i="32" s="1"/>
  <c r="EI173" i="32" s="1"/>
  <c r="EI172" i="32" s="1"/>
  <c r="EI171" i="32" s="1"/>
  <c r="EI170" i="32" s="1"/>
  <c r="EI169" i="32" s="1"/>
  <c r="EI168" i="32" s="1"/>
  <c r="EI167" i="32" s="1"/>
  <c r="EI166" i="32" s="1"/>
  <c r="EI165" i="32" s="1"/>
  <c r="EI164" i="32" s="1"/>
  <c r="EI163" i="32" s="1"/>
  <c r="EI162" i="32" s="1"/>
  <c r="EI161" i="32" s="1"/>
  <c r="EI160" i="32" s="1"/>
  <c r="EI159" i="32" s="1"/>
  <c r="EI158" i="32" s="1"/>
  <c r="EI157" i="32" s="1"/>
  <c r="EI156" i="32" s="1"/>
  <c r="EI155" i="32" s="1"/>
  <c r="EI154" i="32" s="1"/>
  <c r="EI153" i="32" s="1"/>
  <c r="EI152" i="32" s="1"/>
  <c r="EI151" i="32" s="1"/>
  <c r="EI150" i="32" s="1"/>
  <c r="EI149" i="32" s="1"/>
  <c r="EI148" i="32" s="1"/>
  <c r="EI147" i="32" s="1"/>
  <c r="EI146" i="32" s="1"/>
  <c r="EI145" i="32" s="1"/>
  <c r="EI144" i="32" s="1"/>
  <c r="EI143" i="32" s="1"/>
  <c r="EI142" i="32" s="1"/>
  <c r="EI141" i="32" s="1"/>
  <c r="EI140" i="32" s="1"/>
  <c r="EI139" i="32" s="1"/>
  <c r="EI138" i="32" s="1"/>
  <c r="EI137" i="32" s="1"/>
  <c r="EI136" i="32" s="1"/>
  <c r="EI135" i="32" s="1"/>
  <c r="EI134" i="32" s="1"/>
  <c r="EI133" i="32" s="1"/>
  <c r="EI132" i="32" s="1"/>
  <c r="EI131" i="32" s="1"/>
  <c r="EI130" i="32" s="1"/>
  <c r="EI129" i="32" s="1"/>
  <c r="EI128" i="32" s="1"/>
  <c r="EI127" i="32" s="1"/>
  <c r="EI126" i="32" s="1"/>
  <c r="EI125" i="32" s="1"/>
  <c r="EI124" i="32" s="1"/>
  <c r="EI123" i="32" s="1"/>
  <c r="EI122" i="32" s="1"/>
  <c r="EI121" i="32" s="1"/>
  <c r="EI120" i="32" s="1"/>
  <c r="EI119" i="32" s="1"/>
  <c r="EI118" i="32" s="1"/>
  <c r="EI117" i="32" s="1"/>
  <c r="EI116" i="32" s="1"/>
  <c r="EI115" i="32" s="1"/>
  <c r="EI114" i="32" s="1"/>
  <c r="EI113" i="32" s="1"/>
  <c r="EI112" i="32" s="1"/>
  <c r="EI111" i="32" s="1"/>
  <c r="EI110" i="32" s="1"/>
  <c r="EI109" i="32" s="1"/>
  <c r="EI108" i="32" s="1"/>
  <c r="EI107" i="32" s="1"/>
  <c r="EI106" i="32" s="1"/>
  <c r="EI105" i="32" s="1"/>
  <c r="EI104" i="32" s="1"/>
  <c r="EI103" i="32" s="1"/>
  <c r="EI102" i="32" s="1"/>
  <c r="EI101" i="32" s="1"/>
  <c r="EI100" i="32" s="1"/>
  <c r="EI99" i="32" s="1"/>
  <c r="EI98" i="32" s="1"/>
  <c r="EI97" i="32" s="1"/>
  <c r="EI96" i="32" s="1"/>
  <c r="EI95" i="32" s="1"/>
  <c r="EI94" i="32" s="1"/>
  <c r="EI93" i="32" s="1"/>
  <c r="EI92" i="32" s="1"/>
  <c r="EI91" i="32" s="1"/>
  <c r="EI90" i="32" s="1"/>
  <c r="EI89" i="32" s="1"/>
  <c r="EI88" i="32" s="1"/>
  <c r="EI87" i="32" s="1"/>
  <c r="EI86" i="32" s="1"/>
  <c r="EI85" i="32" s="1"/>
  <c r="EI84" i="32" s="1"/>
  <c r="EI83" i="32" s="1"/>
  <c r="EI82" i="32" s="1"/>
  <c r="EI81" i="32" s="1"/>
  <c r="EI80" i="32" s="1"/>
  <c r="EI79" i="32" s="1"/>
  <c r="EI78" i="32" s="1"/>
  <c r="EI77" i="32" s="1"/>
  <c r="EI76" i="32" s="1"/>
  <c r="EI75" i="32" s="1"/>
  <c r="EI74" i="32" s="1"/>
  <c r="EI73" i="32" s="1"/>
  <c r="EI72" i="32" s="1"/>
  <c r="EI71" i="32" s="1"/>
  <c r="EI70" i="32" s="1"/>
  <c r="EI69" i="32" s="1"/>
  <c r="EI68" i="32" s="1"/>
  <c r="EI67" i="32" s="1"/>
  <c r="EI66" i="32" s="1"/>
  <c r="EI65" i="32" s="1"/>
  <c r="EI64" i="32" s="1"/>
  <c r="EI63" i="32" s="1"/>
  <c r="EI62" i="32" s="1"/>
  <c r="EI61" i="32" s="1"/>
  <c r="EI60" i="32" s="1"/>
  <c r="EI59" i="32" s="1"/>
  <c r="EI58" i="32" s="1"/>
  <c r="EI57" i="32" s="1"/>
  <c r="EI56" i="32" s="1"/>
  <c r="EI55" i="32" s="1"/>
  <c r="EI54" i="32" s="1"/>
  <c r="EI53" i="32" s="1"/>
  <c r="EI52" i="32" s="1"/>
  <c r="EI51" i="32" s="1"/>
  <c r="EI50" i="32" s="1"/>
  <c r="EI49" i="32" s="1"/>
  <c r="EI48" i="32" s="1"/>
  <c r="EI47" i="32" s="1"/>
  <c r="EI46" i="32" s="1"/>
  <c r="EI45" i="32" s="1"/>
  <c r="EI44" i="32" s="1"/>
  <c r="EI43" i="32" s="1"/>
  <c r="EI42" i="32" s="1"/>
  <c r="EI41" i="32" s="1"/>
  <c r="EI40" i="32" s="1"/>
  <c r="EI39" i="32" s="1"/>
  <c r="EI38" i="32" s="1"/>
  <c r="EI37" i="32" s="1"/>
  <c r="EI36" i="32" s="1"/>
  <c r="EI35" i="32" s="1"/>
  <c r="EI34" i="32" s="1"/>
  <c r="EI33" i="32" s="1"/>
  <c r="EI32" i="32" s="1"/>
  <c r="EI31" i="32" s="1"/>
  <c r="EI30" i="32" s="1"/>
  <c r="EI29" i="32" s="1"/>
  <c r="EH795" i="32"/>
  <c r="EH794" i="32" s="1"/>
  <c r="EH793" i="32" s="1"/>
  <c r="EH792" i="32" s="1"/>
  <c r="EH791" i="32" s="1"/>
  <c r="EH790" i="32" s="1"/>
  <c r="EH789" i="32" s="1"/>
  <c r="EH788" i="32" s="1"/>
  <c r="EH787" i="32" s="1"/>
  <c r="EH786" i="32" s="1"/>
  <c r="EH785" i="32" s="1"/>
  <c r="EH784" i="32" s="1"/>
  <c r="EH783" i="32" s="1"/>
  <c r="EH782" i="32" s="1"/>
  <c r="EH781" i="32" s="1"/>
  <c r="EH780" i="32" s="1"/>
  <c r="EH779" i="32" s="1"/>
  <c r="EH778" i="32" s="1"/>
  <c r="EH777" i="32" s="1"/>
  <c r="EH776" i="32" s="1"/>
  <c r="EH775" i="32" s="1"/>
  <c r="EH774" i="32" s="1"/>
  <c r="EH773" i="32" s="1"/>
  <c r="EH772" i="32" s="1"/>
  <c r="EH771" i="32" s="1"/>
  <c r="EH770" i="32" s="1"/>
  <c r="EH769" i="32" s="1"/>
  <c r="EH768" i="32" s="1"/>
  <c r="EH767" i="32" s="1"/>
  <c r="EH766" i="32" s="1"/>
  <c r="EH765" i="32" s="1"/>
  <c r="EH764" i="32" s="1"/>
  <c r="EH763" i="32" s="1"/>
  <c r="EH762" i="32" s="1"/>
  <c r="EH761" i="32" s="1"/>
  <c r="EH760" i="32" s="1"/>
  <c r="EH759" i="32" s="1"/>
  <c r="EH758" i="32" s="1"/>
  <c r="EH757" i="32" s="1"/>
  <c r="EH756" i="32" s="1"/>
  <c r="EH755" i="32" s="1"/>
  <c r="EH754" i="32" s="1"/>
  <c r="EH753" i="32" s="1"/>
  <c r="EH752" i="32" s="1"/>
  <c r="EH751" i="32" s="1"/>
  <c r="EH750" i="32" s="1"/>
  <c r="EH749" i="32" s="1"/>
  <c r="EH748" i="32" s="1"/>
  <c r="EH747" i="32" s="1"/>
  <c r="EP68" i="32"/>
  <c r="EQ68" i="32" s="1"/>
  <c r="ER68" i="32" s="1"/>
  <c r="ES68" i="32" s="1"/>
  <c r="EP61" i="32"/>
  <c r="EQ61" i="32" s="1"/>
  <c r="ER61" i="32" s="1"/>
  <c r="ES61" i="32" s="1"/>
  <c r="EP54" i="32"/>
  <c r="EQ54" i="32" s="1"/>
  <c r="ER54" i="32" s="1"/>
  <c r="ES54" i="32" s="1"/>
  <c r="EP47" i="32"/>
  <c r="EQ47" i="32" s="1"/>
  <c r="ER47" i="32" s="1"/>
  <c r="ES47" i="32" s="1"/>
  <c r="EP39" i="32"/>
  <c r="EQ39" i="32" s="1"/>
  <c r="ER39" i="32" s="1"/>
  <c r="ES39" i="32" s="1"/>
  <c r="GE36" i="32"/>
  <c r="FX36" i="32" s="1"/>
  <c r="FX20" i="32" s="1"/>
  <c r="FW174" i="32" s="1"/>
  <c r="GH24" i="32"/>
  <c r="GH25" i="32" s="1"/>
  <c r="GE33" i="32"/>
  <c r="FX33" i="32" s="1"/>
  <c r="FX17" i="32" s="1"/>
  <c r="FW365" i="32" s="1"/>
  <c r="GS30" i="32"/>
  <c r="GS31" i="32" s="1"/>
  <c r="GS37" i="32" s="1"/>
  <c r="GR30" i="32"/>
  <c r="GR31" i="32" s="1"/>
  <c r="GR37" i="32" s="1"/>
  <c r="GQ30" i="32"/>
  <c r="GQ31" i="32" s="1"/>
  <c r="GQ37" i="32" s="1"/>
  <c r="GP30" i="32"/>
  <c r="GP31" i="32" s="1"/>
  <c r="GP37" i="32" s="1"/>
  <c r="GO30" i="32"/>
  <c r="GO31" i="32" s="1"/>
  <c r="GO37" i="32" s="1"/>
  <c r="GN30" i="32"/>
  <c r="GN31" i="32" s="1"/>
  <c r="GN37" i="32" s="1"/>
  <c r="GE32" i="32"/>
  <c r="FX32" i="32" s="1"/>
  <c r="FX16" i="32" s="1"/>
  <c r="FW426" i="32" s="1"/>
  <c r="EP32" i="32"/>
  <c r="EQ32" i="32" s="1"/>
  <c r="ER32" i="32" s="1"/>
  <c r="ES32" i="32" s="1"/>
  <c r="GR6" i="32"/>
  <c r="GQ6" i="32"/>
  <c r="GP6" i="32"/>
  <c r="GO6" i="32"/>
  <c r="GN6" i="32"/>
  <c r="GS6" i="32"/>
  <c r="ES16" i="32"/>
  <c r="ER16" i="32"/>
  <c r="EQ16" i="32"/>
  <c r="EP16" i="32"/>
  <c r="EO16" i="32"/>
  <c r="AB13" i="32"/>
  <c r="ES13" i="32"/>
  <c r="ER13" i="32"/>
  <c r="EQ13" i="32"/>
  <c r="EP13" i="32"/>
  <c r="EO13" i="32"/>
  <c r="AB12" i="32"/>
  <c r="GJ12" i="32"/>
  <c r="Y11" i="32"/>
  <c r="X11" i="32"/>
  <c r="W11" i="32"/>
  <c r="V11" i="32"/>
  <c r="U11" i="32"/>
  <c r="T11" i="32"/>
  <c r="AB11" i="32"/>
  <c r="GJ11" i="32"/>
  <c r="Y10" i="32"/>
  <c r="X10" i="32"/>
  <c r="W10" i="32"/>
  <c r="V10" i="32"/>
  <c r="U10" i="32"/>
  <c r="AB10" i="32"/>
  <c r="GJ10" i="32"/>
  <c r="GI10" i="32"/>
  <c r="ES10" i="32"/>
  <c r="ER10" i="32"/>
  <c r="EQ10" i="32"/>
  <c r="EP10" i="32"/>
  <c r="EO10" i="32"/>
  <c r="AB9" i="32"/>
  <c r="GJ9" i="32"/>
  <c r="GI9" i="32"/>
  <c r="ES8" i="32"/>
  <c r="ES20" i="32" s="1"/>
  <c r="ER8" i="32"/>
  <c r="ER20" i="32" s="1"/>
  <c r="EQ8" i="32"/>
  <c r="EQ20" i="32" s="1"/>
  <c r="EP8" i="32"/>
  <c r="EP20" i="32" s="1"/>
  <c r="EO8" i="32"/>
  <c r="AQ8" i="32"/>
  <c r="AP8" i="32"/>
  <c r="AO8" i="32"/>
  <c r="AN8" i="32"/>
  <c r="AM8" i="32"/>
  <c r="Y8" i="32"/>
  <c r="X8" i="32"/>
  <c r="W8" i="32"/>
  <c r="V8" i="32"/>
  <c r="U8" i="32"/>
  <c r="AB8" i="32"/>
  <c r="GJ8" i="32"/>
  <c r="GI8" i="32"/>
  <c r="AB7" i="32"/>
  <c r="EP6" i="32"/>
  <c r="EQ6" i="32" s="1"/>
  <c r="ER6" i="32" s="1"/>
  <c r="ES6" i="32" s="1"/>
  <c r="U6" i="32"/>
  <c r="V6" i="32" s="1"/>
  <c r="W6" i="32" s="1"/>
  <c r="X6" i="32" s="1"/>
  <c r="Y6" i="32" s="1"/>
  <c r="GO5" i="32"/>
  <c r="GP5" i="32" s="1"/>
  <c r="GQ5" i="32" s="1"/>
  <c r="GR5" i="32" s="1"/>
  <c r="GS5" i="32" s="1"/>
  <c r="E24" i="34"/>
  <c r="EP17" i="32" l="1"/>
  <c r="EO17" i="32"/>
  <c r="EO9" i="32"/>
  <c r="EO20" i="32"/>
  <c r="EQ17" i="32"/>
  <c r="ER17" i="32"/>
  <c r="ES17" i="32"/>
  <c r="ER9" i="32"/>
  <c r="ES9" i="32"/>
  <c r="EP15" i="32"/>
  <c r="EP9" i="32"/>
  <c r="EQ9" i="32"/>
  <c r="EH746" i="32"/>
  <c r="EH745" i="32" s="1"/>
  <c r="EH744" i="32" s="1"/>
  <c r="EH743" i="32" s="1"/>
  <c r="EH742" i="32" s="1"/>
  <c r="EH741" i="32" s="1"/>
  <c r="EH740" i="32" s="1"/>
  <c r="EH739" i="32" s="1"/>
  <c r="EH738" i="32" s="1"/>
  <c r="EH737" i="32" s="1"/>
  <c r="EH736" i="32" s="1"/>
  <c r="EH735" i="32" s="1"/>
  <c r="EH734" i="32" s="1"/>
  <c r="EH733" i="32" s="1"/>
  <c r="EH732" i="32" s="1"/>
  <c r="EH731" i="32" s="1"/>
  <c r="EH730" i="32" s="1"/>
  <c r="EH729" i="32" s="1"/>
  <c r="EH728" i="32" s="1"/>
  <c r="EH727" i="32" s="1"/>
  <c r="EH726" i="32" s="1"/>
  <c r="EH725" i="32" s="1"/>
  <c r="EH724" i="32" s="1"/>
  <c r="EH723" i="32" s="1"/>
  <c r="EH722" i="32" s="1"/>
  <c r="EH721" i="32" s="1"/>
  <c r="EH720" i="32" s="1"/>
  <c r="EH719" i="32" s="1"/>
  <c r="EH718" i="32" s="1"/>
  <c r="EH717" i="32" s="1"/>
  <c r="EH716" i="32" s="1"/>
  <c r="EH715" i="32" s="1"/>
  <c r="EH714" i="32" s="1"/>
  <c r="EH713" i="32" s="1"/>
  <c r="EH712" i="32" s="1"/>
  <c r="EH711" i="32" s="1"/>
  <c r="EH710" i="32" s="1"/>
  <c r="EH709" i="32" s="1"/>
  <c r="EH708" i="32" s="1"/>
  <c r="EH707" i="32" s="1"/>
  <c r="EH706" i="32" s="1"/>
  <c r="EH705" i="32" s="1"/>
  <c r="EH704" i="32" s="1"/>
  <c r="EH703" i="32" s="1"/>
  <c r="EH702" i="32" s="1"/>
  <c r="EH701" i="32" s="1"/>
  <c r="EH700" i="32" s="1"/>
  <c r="EH699" i="32" s="1"/>
  <c r="EH698" i="32" s="1"/>
  <c r="EH697" i="32" s="1"/>
  <c r="EH696" i="32" s="1"/>
  <c r="EH695" i="32" s="1"/>
  <c r="EH694" i="32" s="1"/>
  <c r="EH693" i="32" s="1"/>
  <c r="EH692" i="32" s="1"/>
  <c r="EH691" i="32" s="1"/>
  <c r="EH690" i="32" s="1"/>
  <c r="EH689" i="32" s="1"/>
  <c r="EH688" i="32" s="1"/>
  <c r="EH687" i="32" s="1"/>
  <c r="EH686" i="32" s="1"/>
  <c r="EH685" i="32" s="1"/>
  <c r="EH684" i="32" s="1"/>
  <c r="EH683" i="32" s="1"/>
  <c r="EH682" i="32" s="1"/>
  <c r="EH681" i="32" s="1"/>
  <c r="EH680" i="32" s="1"/>
  <c r="EH679" i="32" s="1"/>
  <c r="EH678" i="32" s="1"/>
  <c r="EH677" i="32" s="1"/>
  <c r="EH676" i="32" s="1"/>
  <c r="EH675" i="32" s="1"/>
  <c r="EH674" i="32" s="1"/>
  <c r="EH673" i="32" s="1"/>
  <c r="EH672" i="32" s="1"/>
  <c r="EH671" i="32" s="1"/>
  <c r="EH670" i="32" s="1"/>
  <c r="EH669" i="32" s="1"/>
  <c r="EH668" i="32" s="1"/>
  <c r="EH667" i="32" s="1"/>
  <c r="EH666" i="32" s="1"/>
  <c r="EH665" i="32" s="1"/>
  <c r="EH664" i="32" s="1"/>
  <c r="EH663" i="32" s="1"/>
  <c r="EH662" i="32" s="1"/>
  <c r="EH661" i="32" s="1"/>
  <c r="EH660" i="32" s="1"/>
  <c r="EH659" i="32" s="1"/>
  <c r="EH658" i="32" s="1"/>
  <c r="EH657" i="32" s="1"/>
  <c r="EH656" i="32" s="1"/>
  <c r="EH655" i="32" s="1"/>
  <c r="EH654" i="32" s="1"/>
  <c r="EH653" i="32" s="1"/>
  <c r="EH652" i="32" s="1"/>
  <c r="EH651" i="32" s="1"/>
  <c r="EH650" i="32" s="1"/>
  <c r="EH649" i="32" s="1"/>
  <c r="EH648" i="32" s="1"/>
  <c r="EH647" i="32" s="1"/>
  <c r="EH646" i="32" s="1"/>
  <c r="EH645" i="32" s="1"/>
  <c r="EH644" i="32" s="1"/>
  <c r="EH643" i="32" s="1"/>
  <c r="EH642" i="32" s="1"/>
  <c r="EH641" i="32" s="1"/>
  <c r="EH640" i="32" s="1"/>
  <c r="EJ747" i="32"/>
  <c r="ER14" i="32"/>
  <c r="EO12" i="32"/>
  <c r="EW10" i="32"/>
  <c r="ER11" i="32"/>
  <c r="GK8" i="32"/>
  <c r="EZ10" i="32"/>
  <c r="GH8" i="32"/>
  <c r="EP11" i="32"/>
  <c r="GK9" i="32"/>
  <c r="EO15" i="32"/>
  <c r="EX10" i="32"/>
  <c r="GH26" i="32"/>
  <c r="GH27" i="32" s="1"/>
  <c r="GH10" i="32" s="1"/>
  <c r="GH9" i="32"/>
  <c r="EQ11" i="32"/>
  <c r="ES15" i="32"/>
  <c r="ES11" i="32"/>
  <c r="EP14" i="32"/>
  <c r="GK10" i="32"/>
  <c r="EP12" i="32"/>
  <c r="EQ14" i="32"/>
  <c r="GQ39" i="32"/>
  <c r="GQ8" i="32" s="1"/>
  <c r="GQ7" i="32"/>
  <c r="GS39" i="32"/>
  <c r="GS8" i="32" s="1"/>
  <c r="GS7" i="32"/>
  <c r="GN39" i="32"/>
  <c r="GN8" i="32" s="1"/>
  <c r="GN7" i="32"/>
  <c r="GR7" i="32"/>
  <c r="GR39" i="32"/>
  <c r="GR8" i="32" s="1"/>
  <c r="GO39" i="32"/>
  <c r="GO8" i="32" s="1"/>
  <c r="GO7" i="32"/>
  <c r="GP39" i="32"/>
  <c r="GP8" i="32" s="1"/>
  <c r="GP7" i="32"/>
  <c r="EQ12" i="32"/>
  <c r="EQ15" i="32"/>
  <c r="ES14" i="32"/>
  <c r="ER12" i="32"/>
  <c r="ER15" i="32"/>
  <c r="ES12" i="32"/>
  <c r="EH639" i="32" l="1"/>
  <c r="EH638" i="32" s="1"/>
  <c r="EH637" i="32" s="1"/>
  <c r="EH636" i="32" s="1"/>
  <c r="EH635" i="32" s="1"/>
  <c r="EH634" i="32" s="1"/>
  <c r="EH633" i="32" s="1"/>
  <c r="EH632" i="32" s="1"/>
  <c r="EH631" i="32" s="1"/>
  <c r="EH630" i="32" s="1"/>
  <c r="EH629" i="32" s="1"/>
  <c r="EH628" i="32" s="1"/>
  <c r="EH627" i="32" s="1"/>
  <c r="EH626" i="32" s="1"/>
  <c r="EH625" i="32" s="1"/>
  <c r="EH624" i="32" s="1"/>
  <c r="EH623" i="32" s="1"/>
  <c r="EH622" i="32" s="1"/>
  <c r="EH621" i="32" s="1"/>
  <c r="EH620" i="32" s="1"/>
  <c r="EH619" i="32" s="1"/>
  <c r="EH618" i="32" s="1"/>
  <c r="EH617" i="32" s="1"/>
  <c r="EH616" i="32" s="1"/>
  <c r="EH615" i="32" s="1"/>
  <c r="EH614" i="32" s="1"/>
  <c r="EH613" i="32" s="1"/>
  <c r="EH612" i="32" s="1"/>
  <c r="EH611" i="32" s="1"/>
  <c r="EH610" i="32" s="1"/>
  <c r="EH609" i="32" s="1"/>
  <c r="EH608" i="32" s="1"/>
  <c r="EH607" i="32" s="1"/>
  <c r="EH606" i="32" s="1"/>
  <c r="EH605" i="32" s="1"/>
  <c r="EH604" i="32" s="1"/>
  <c r="EH603" i="32" s="1"/>
  <c r="EH602" i="32" s="1"/>
  <c r="EH601" i="32" s="1"/>
  <c r="EH600" i="32" s="1"/>
  <c r="EH599" i="32" s="1"/>
  <c r="EH598" i="32" s="1"/>
  <c r="EH597" i="32" s="1"/>
  <c r="EH596" i="32" s="1"/>
  <c r="EJ640" i="32"/>
  <c r="GH28" i="32"/>
  <c r="GH29" i="32" s="1"/>
  <c r="GH12" i="32" s="1"/>
  <c r="GH11" i="32" l="1"/>
  <c r="EH595" i="32"/>
  <c r="EH594" i="32" s="1"/>
  <c r="EH593" i="32" s="1"/>
  <c r="EH592" i="32" s="1"/>
  <c r="EH591" i="32" s="1"/>
  <c r="EH590" i="32" s="1"/>
  <c r="EH589" i="32" s="1"/>
  <c r="EH588" i="32" s="1"/>
  <c r="EH587" i="32" s="1"/>
  <c r="EH586" i="32" s="1"/>
  <c r="EH585" i="32" s="1"/>
  <c r="EH584" i="32" s="1"/>
  <c r="EH583" i="32" s="1"/>
  <c r="EJ596" i="32"/>
  <c r="EH582" i="32" l="1"/>
  <c r="EH581" i="32" s="1"/>
  <c r="EH580" i="32" s="1"/>
  <c r="EH579" i="32" s="1"/>
  <c r="EH578" i="32" s="1"/>
  <c r="EH577" i="32" s="1"/>
  <c r="EH576" i="32" s="1"/>
  <c r="EH575" i="32" s="1"/>
  <c r="EH574" i="32" s="1"/>
  <c r="EH573" i="32" s="1"/>
  <c r="EH572" i="32" s="1"/>
  <c r="EH571" i="32" s="1"/>
  <c r="EH570" i="32" s="1"/>
  <c r="EH569" i="32" s="1"/>
  <c r="EH568" i="32" s="1"/>
  <c r="EH567" i="32" s="1"/>
  <c r="EH566" i="32" s="1"/>
  <c r="EH565" i="32" s="1"/>
  <c r="EH564" i="32" s="1"/>
  <c r="EH563" i="32" s="1"/>
  <c r="EH562" i="32" s="1"/>
  <c r="EH561" i="32" s="1"/>
  <c r="EH560" i="32" s="1"/>
  <c r="EH559" i="32" s="1"/>
  <c r="EH558" i="32" s="1"/>
  <c r="EH557" i="32" s="1"/>
  <c r="EH556" i="32" s="1"/>
  <c r="EH555" i="32" s="1"/>
  <c r="EH554" i="32" s="1"/>
  <c r="EH553" i="32" s="1"/>
  <c r="EH552" i="32" s="1"/>
  <c r="EH551" i="32" s="1"/>
  <c r="EH550" i="32" s="1"/>
  <c r="EH549" i="32" s="1"/>
  <c r="EH548" i="32" s="1"/>
  <c r="EH547" i="32" s="1"/>
  <c r="EH546" i="32" s="1"/>
  <c r="EH545" i="32" s="1"/>
  <c r="EH544" i="32" s="1"/>
  <c r="EH543" i="32" s="1"/>
  <c r="EH542" i="32" s="1"/>
  <c r="EH541" i="32" s="1"/>
  <c r="EH540" i="32" s="1"/>
  <c r="EH539" i="32" s="1"/>
  <c r="EH538" i="32" s="1"/>
  <c r="EH537" i="32" s="1"/>
  <c r="EH536" i="32" s="1"/>
  <c r="EH535" i="32" s="1"/>
  <c r="EH534" i="32" s="1"/>
  <c r="EH533" i="32" s="1"/>
  <c r="EH532" i="32" s="1"/>
  <c r="EH531" i="32" s="1"/>
  <c r="EH530" i="32" s="1"/>
  <c r="EH529" i="32" s="1"/>
  <c r="EH528" i="32" s="1"/>
  <c r="EH527" i="32" s="1"/>
  <c r="EH526" i="32" s="1"/>
  <c r="EH525" i="32" s="1"/>
  <c r="EH524" i="32" s="1"/>
  <c r="EJ583" i="32"/>
  <c r="EH523" i="32" l="1"/>
  <c r="EH522" i="32" s="1"/>
  <c r="EH521" i="32" s="1"/>
  <c r="EH520" i="32" s="1"/>
  <c r="EH519" i="32" s="1"/>
  <c r="EH518" i="32" s="1"/>
  <c r="EH517" i="32" s="1"/>
  <c r="EH516" i="32" s="1"/>
  <c r="EH515" i="32" s="1"/>
  <c r="EH514" i="32" s="1"/>
  <c r="EH513" i="32" s="1"/>
  <c r="EH512" i="32" s="1"/>
  <c r="EH511" i="32" s="1"/>
  <c r="EH510" i="32" s="1"/>
  <c r="EH509" i="32" s="1"/>
  <c r="EH508" i="32" s="1"/>
  <c r="EH507" i="32" s="1"/>
  <c r="EH506" i="32" s="1"/>
  <c r="EH505" i="32" s="1"/>
  <c r="EH504" i="32" s="1"/>
  <c r="EH503" i="32" s="1"/>
  <c r="EH502" i="32" s="1"/>
  <c r="EH501" i="32" s="1"/>
  <c r="EH500" i="32" s="1"/>
  <c r="EH499" i="32" s="1"/>
  <c r="EH498" i="32" s="1"/>
  <c r="EH497" i="32" s="1"/>
  <c r="EH496" i="32" s="1"/>
  <c r="EH495" i="32" s="1"/>
  <c r="EH494" i="32" s="1"/>
  <c r="EH493" i="32" s="1"/>
  <c r="EH492" i="32" s="1"/>
  <c r="EH491" i="32" s="1"/>
  <c r="EH490" i="32" s="1"/>
  <c r="EH489" i="32" s="1"/>
  <c r="EH488" i="32" s="1"/>
  <c r="EH487" i="32" s="1"/>
  <c r="EH486" i="32" s="1"/>
  <c r="EH485" i="32" s="1"/>
  <c r="EH484" i="32" s="1"/>
  <c r="EH483" i="32" s="1"/>
  <c r="EH482" i="32" s="1"/>
  <c r="EH481" i="32" s="1"/>
  <c r="EH480" i="32" s="1"/>
  <c r="EH479" i="32" s="1"/>
  <c r="EH478" i="32" s="1"/>
  <c r="EH477" i="32" s="1"/>
  <c r="EH476" i="32" s="1"/>
  <c r="EH475" i="32" s="1"/>
  <c r="EH474" i="32" s="1"/>
  <c r="EH473" i="32" s="1"/>
  <c r="EH472" i="32" s="1"/>
  <c r="EH471" i="32" s="1"/>
  <c r="EH470" i="32" s="1"/>
  <c r="EH469" i="32" s="1"/>
  <c r="EH468" i="32" s="1"/>
  <c r="EH467" i="32" s="1"/>
  <c r="EH466" i="32" s="1"/>
  <c r="EH465" i="32" s="1"/>
  <c r="EH464" i="32" s="1"/>
  <c r="EH463" i="32" s="1"/>
  <c r="EH462" i="32" s="1"/>
  <c r="EH461" i="32" s="1"/>
  <c r="EH460" i="32" s="1"/>
  <c r="EH459" i="32" s="1"/>
  <c r="EH458" i="32" s="1"/>
  <c r="EH457" i="32" s="1"/>
  <c r="EH456" i="32" s="1"/>
  <c r="EH455" i="32" s="1"/>
  <c r="EH454" i="32" s="1"/>
  <c r="EH453" i="32" s="1"/>
  <c r="EH452" i="32" s="1"/>
  <c r="EH451" i="32" s="1"/>
  <c r="EH450" i="32" s="1"/>
  <c r="EH449" i="32" s="1"/>
  <c r="EH448" i="32" s="1"/>
  <c r="EH447" i="32" s="1"/>
  <c r="EH446" i="32" s="1"/>
  <c r="EJ524" i="32"/>
  <c r="EH445" i="32" l="1"/>
  <c r="EH444" i="32" s="1"/>
  <c r="EH443" i="32" s="1"/>
  <c r="EH442" i="32" s="1"/>
  <c r="EH441" i="32" s="1"/>
  <c r="EH440" i="32" s="1"/>
  <c r="EH439" i="32" s="1"/>
  <c r="EH438" i="32" s="1"/>
  <c r="EH437" i="32" s="1"/>
  <c r="EH436" i="32" s="1"/>
  <c r="EH435" i="32" s="1"/>
  <c r="EH434" i="32" s="1"/>
  <c r="EH433" i="32" s="1"/>
  <c r="EH432" i="32" s="1"/>
  <c r="EH431" i="32" s="1"/>
  <c r="EH430" i="32" s="1"/>
  <c r="EH429" i="32" s="1"/>
  <c r="EH428" i="32" s="1"/>
  <c r="EH427" i="32" s="1"/>
  <c r="EH426" i="32" s="1"/>
  <c r="EH425" i="32" s="1"/>
  <c r="EH424" i="32" s="1"/>
  <c r="EH423" i="32" s="1"/>
  <c r="EH422" i="32" s="1"/>
  <c r="EH421" i="32" s="1"/>
  <c r="EH420" i="32" s="1"/>
  <c r="EH419" i="32" s="1"/>
  <c r="EH418" i="32" s="1"/>
  <c r="EH417" i="32" s="1"/>
  <c r="EH416" i="32" s="1"/>
  <c r="EH415" i="32" s="1"/>
  <c r="EH414" i="32" s="1"/>
  <c r="EH413" i="32" s="1"/>
  <c r="EH412" i="32" s="1"/>
  <c r="EH411" i="32" s="1"/>
  <c r="EH410" i="32" s="1"/>
  <c r="EH409" i="32" s="1"/>
  <c r="EH408" i="32" s="1"/>
  <c r="EH407" i="32" s="1"/>
  <c r="EH406" i="32" s="1"/>
  <c r="EH405" i="32" s="1"/>
  <c r="EH404" i="32" s="1"/>
  <c r="EH403" i="32" s="1"/>
  <c r="EH402" i="32" s="1"/>
  <c r="EH401" i="32" s="1"/>
  <c r="EH400" i="32" s="1"/>
  <c r="EH399" i="32" s="1"/>
  <c r="EH398" i="32" s="1"/>
  <c r="EH397" i="32" s="1"/>
  <c r="EH396" i="32" s="1"/>
  <c r="EH395" i="32" s="1"/>
  <c r="EH394" i="32" s="1"/>
  <c r="EH393" i="32" s="1"/>
  <c r="EH392" i="32" s="1"/>
  <c r="EJ450" i="32"/>
  <c r="EH391" i="32" l="1"/>
  <c r="EH390" i="32" s="1"/>
  <c r="EH389" i="32" s="1"/>
  <c r="EH388" i="32" s="1"/>
  <c r="EH387" i="32" s="1"/>
  <c r="EH386" i="32" s="1"/>
  <c r="EH385" i="32" s="1"/>
  <c r="EH384" i="32" s="1"/>
  <c r="EH383" i="32" s="1"/>
  <c r="EH382" i="32" s="1"/>
  <c r="EH381" i="32" s="1"/>
  <c r="EH380" i="32" s="1"/>
  <c r="EH379" i="32" s="1"/>
  <c r="EH378" i="32" s="1"/>
  <c r="EH377" i="32" s="1"/>
  <c r="EH376" i="32" s="1"/>
  <c r="EH375" i="32" s="1"/>
  <c r="EH374" i="32" s="1"/>
  <c r="EH373" i="32" s="1"/>
  <c r="EH372" i="32" s="1"/>
  <c r="EH371" i="32" s="1"/>
  <c r="EH370" i="32" s="1"/>
  <c r="EH369" i="32" s="1"/>
  <c r="EH368" i="32" s="1"/>
  <c r="EH367" i="32" s="1"/>
  <c r="EH366" i="32" s="1"/>
  <c r="EH365" i="32" s="1"/>
  <c r="EH364" i="32" s="1"/>
  <c r="EH363" i="32" s="1"/>
  <c r="EH362" i="32" s="1"/>
  <c r="EH361" i="32" s="1"/>
  <c r="EH360" i="32" s="1"/>
  <c r="EH359" i="32" s="1"/>
  <c r="EH358" i="32" s="1"/>
  <c r="EH357" i="32" s="1"/>
  <c r="EH356" i="32" s="1"/>
  <c r="EH355" i="32" s="1"/>
  <c r="EH354" i="32" s="1"/>
  <c r="EH353" i="32" s="1"/>
  <c r="EH352" i="32" s="1"/>
  <c r="EH351" i="32" s="1"/>
  <c r="EH350" i="32" s="1"/>
  <c r="EH349" i="32" s="1"/>
  <c r="EH348" i="32" s="1"/>
  <c r="EH347" i="32" s="1"/>
  <c r="EH346" i="32" s="1"/>
  <c r="EH345" i="32" s="1"/>
  <c r="EH344" i="32" s="1"/>
  <c r="EH343" i="32" s="1"/>
  <c r="EH342" i="32" s="1"/>
  <c r="EH341" i="32" s="1"/>
  <c r="EH340" i="32" s="1"/>
  <c r="EH339" i="32" s="1"/>
  <c r="EH338" i="32" s="1"/>
  <c r="EH337" i="32" s="1"/>
  <c r="EH336" i="32" s="1"/>
  <c r="EH335" i="32" s="1"/>
  <c r="EH334" i="32" s="1"/>
  <c r="EH333" i="32" s="1"/>
  <c r="EH332" i="32" s="1"/>
  <c r="EH331" i="32" s="1"/>
  <c r="EH330" i="32" s="1"/>
  <c r="EH329" i="32" s="1"/>
  <c r="EH328" i="32" s="1"/>
  <c r="EH327" i="32" s="1"/>
  <c r="EH326" i="32" s="1"/>
  <c r="EH325" i="32" s="1"/>
  <c r="EH324" i="32" s="1"/>
  <c r="EH323" i="32" s="1"/>
  <c r="EH322" i="32" s="1"/>
  <c r="EH321" i="32" s="1"/>
  <c r="EH320" i="32" s="1"/>
  <c r="EH319" i="32" s="1"/>
  <c r="EH318" i="32" s="1"/>
  <c r="EH317" i="32" s="1"/>
  <c r="EH316" i="32" s="1"/>
  <c r="EH315" i="32" s="1"/>
  <c r="EH314" i="32" s="1"/>
  <c r="EH313" i="32" s="1"/>
  <c r="EH312" i="32" s="1"/>
  <c r="EH311" i="32" s="1"/>
  <c r="EH310" i="32" s="1"/>
  <c r="EH309" i="32" s="1"/>
  <c r="EH308" i="32" s="1"/>
  <c r="EH307" i="32" s="1"/>
  <c r="EH306" i="32" s="1"/>
  <c r="EH305" i="32" s="1"/>
  <c r="EH304" i="32" s="1"/>
  <c r="EH303" i="32" s="1"/>
  <c r="EH302" i="32" s="1"/>
  <c r="EH301" i="32" s="1"/>
  <c r="EH300" i="32" s="1"/>
  <c r="EH299" i="32" s="1"/>
  <c r="EH298" i="32" s="1"/>
  <c r="EH297" i="32" s="1"/>
  <c r="EH296" i="32" s="1"/>
  <c r="EH295" i="32" s="1"/>
  <c r="EH294" i="32" s="1"/>
  <c r="EH293" i="32" s="1"/>
  <c r="EH292" i="32" s="1"/>
  <c r="EH291" i="32" s="1"/>
  <c r="EH290" i="32" s="1"/>
  <c r="EH289" i="32" s="1"/>
  <c r="EH288" i="32" s="1"/>
  <c r="EH287" i="32" s="1"/>
  <c r="EH286" i="32" s="1"/>
  <c r="EH285" i="32" s="1"/>
  <c r="EH284" i="32" s="1"/>
  <c r="EH283" i="32" s="1"/>
  <c r="EH282" i="32" s="1"/>
  <c r="EH281" i="32" s="1"/>
  <c r="EH280" i="32" s="1"/>
  <c r="EH279" i="32" s="1"/>
  <c r="EH278" i="32" s="1"/>
  <c r="EH277" i="32" s="1"/>
  <c r="EH276" i="32" s="1"/>
  <c r="EH275" i="32" s="1"/>
  <c r="EH274" i="32" s="1"/>
  <c r="EH273" i="32" s="1"/>
  <c r="EH272" i="32" s="1"/>
  <c r="EH271" i="32" s="1"/>
  <c r="EH270" i="32" s="1"/>
  <c r="EH269" i="32" s="1"/>
  <c r="EH268" i="32" s="1"/>
  <c r="EH267" i="32" s="1"/>
  <c r="EH266" i="32" s="1"/>
  <c r="EH265" i="32" s="1"/>
  <c r="EH264" i="32" s="1"/>
  <c r="EH263" i="32" s="1"/>
  <c r="EH262" i="32" s="1"/>
  <c r="EH261" i="32" s="1"/>
  <c r="EH260" i="32" s="1"/>
  <c r="EH259" i="32" s="1"/>
  <c r="EH258" i="32" s="1"/>
  <c r="EH257" i="32" s="1"/>
  <c r="EH256" i="32" s="1"/>
  <c r="EH255" i="32" s="1"/>
  <c r="EH254" i="32" s="1"/>
  <c r="EH253" i="32" s="1"/>
  <c r="EH252" i="32" s="1"/>
  <c r="EH251" i="32" s="1"/>
  <c r="EH250" i="32" s="1"/>
  <c r="EH249" i="32" s="1"/>
  <c r="EH248" i="32" s="1"/>
  <c r="EH247" i="32" s="1"/>
  <c r="EH246" i="32" s="1"/>
  <c r="EH245" i="32" s="1"/>
  <c r="EH244" i="32" s="1"/>
  <c r="EJ392" i="32"/>
  <c r="EH243" i="32" l="1"/>
  <c r="EH242" i="32" s="1"/>
  <c r="EH241" i="32" s="1"/>
  <c r="EH240" i="32" s="1"/>
  <c r="EH239" i="32" s="1"/>
  <c r="EH238" i="32" s="1"/>
  <c r="EH237" i="32" s="1"/>
  <c r="EH236" i="32" s="1"/>
  <c r="EH235" i="32" s="1"/>
  <c r="EH234" i="32" s="1"/>
  <c r="EH233" i="32" s="1"/>
  <c r="EH232" i="32" s="1"/>
  <c r="EH231" i="32" s="1"/>
  <c r="EH230" i="32" s="1"/>
  <c r="EH229" i="32" s="1"/>
  <c r="EH228" i="32" s="1"/>
  <c r="EH227" i="32" s="1"/>
  <c r="EH226" i="32" s="1"/>
  <c r="EH225" i="32" s="1"/>
  <c r="EH224" i="32" s="1"/>
  <c r="EH223" i="32" s="1"/>
  <c r="EH222" i="32" s="1"/>
  <c r="EH221" i="32" s="1"/>
  <c r="EH220" i="32" s="1"/>
  <c r="EH219" i="32" s="1"/>
  <c r="EH218" i="32" s="1"/>
  <c r="EH217" i="32" s="1"/>
  <c r="EH216" i="32" s="1"/>
  <c r="EH215" i="32" s="1"/>
  <c r="EH214" i="32" s="1"/>
  <c r="EH213" i="32" s="1"/>
  <c r="EH212" i="32" s="1"/>
  <c r="EH211" i="32" s="1"/>
  <c r="EH210" i="32" s="1"/>
  <c r="EH209" i="32" s="1"/>
  <c r="EH208" i="32" s="1"/>
  <c r="EH207" i="32" s="1"/>
  <c r="EH206" i="32" s="1"/>
  <c r="EH205" i="32" s="1"/>
  <c r="EH204" i="32" s="1"/>
  <c r="EH203" i="32" s="1"/>
  <c r="EH202" i="32" s="1"/>
  <c r="EH201" i="32" s="1"/>
  <c r="EH200" i="32" s="1"/>
  <c r="EH199" i="32" s="1"/>
  <c r="EH198" i="32" s="1"/>
  <c r="EH197" i="32" s="1"/>
  <c r="EH196" i="32" s="1"/>
  <c r="EH195" i="32" s="1"/>
  <c r="EH194" i="32" s="1"/>
  <c r="EH193" i="32" s="1"/>
  <c r="EH192" i="32" s="1"/>
  <c r="EH191" i="32" s="1"/>
  <c r="EH190" i="32" s="1"/>
  <c r="EH189" i="32" s="1"/>
  <c r="EH188" i="32" s="1"/>
  <c r="EH187" i="32" s="1"/>
  <c r="EH186" i="32" s="1"/>
  <c r="EH185" i="32" s="1"/>
  <c r="EH184" i="32" s="1"/>
  <c r="EH183" i="32" s="1"/>
  <c r="EH182" i="32" s="1"/>
  <c r="EH181" i="32" s="1"/>
  <c r="EH180" i="32" s="1"/>
  <c r="EH179" i="32" s="1"/>
  <c r="EH178" i="32" s="1"/>
  <c r="EJ244" i="32"/>
  <c r="EH177" i="32" l="1"/>
  <c r="EH176" i="32" s="1"/>
  <c r="EH175" i="32" s="1"/>
  <c r="EH174" i="32" s="1"/>
  <c r="EH173" i="32" s="1"/>
  <c r="EH172" i="32" s="1"/>
  <c r="EH171" i="32" s="1"/>
  <c r="EH170" i="32" s="1"/>
  <c r="EH169" i="32" s="1"/>
  <c r="EH168" i="32" s="1"/>
  <c r="EH167" i="32" s="1"/>
  <c r="EH166" i="32" s="1"/>
  <c r="EH165" i="32" s="1"/>
  <c r="EH164" i="32" s="1"/>
  <c r="EH163" i="32" s="1"/>
  <c r="EH162" i="32" s="1"/>
  <c r="EH161" i="32" s="1"/>
  <c r="EH160" i="32" s="1"/>
  <c r="EH159" i="32" s="1"/>
  <c r="EH158" i="32" s="1"/>
  <c r="EH157" i="32" s="1"/>
  <c r="EH156" i="32" s="1"/>
  <c r="EH155" i="32" s="1"/>
  <c r="EH154" i="32" s="1"/>
  <c r="EH153" i="32" s="1"/>
  <c r="EH152" i="32" s="1"/>
  <c r="EH151" i="32" s="1"/>
  <c r="EH150" i="32" s="1"/>
  <c r="EH149" i="32" s="1"/>
  <c r="EH148" i="32" s="1"/>
  <c r="EH147" i="32" s="1"/>
  <c r="EH146" i="32" s="1"/>
  <c r="EH145" i="32" s="1"/>
  <c r="EH144" i="32" s="1"/>
  <c r="EH143" i="32" s="1"/>
  <c r="EH142" i="32" s="1"/>
  <c r="EH141" i="32" s="1"/>
  <c r="EH140" i="32" s="1"/>
  <c r="EH139" i="32" s="1"/>
  <c r="EH138" i="32" s="1"/>
  <c r="EJ178" i="32"/>
  <c r="EH137" i="32" l="1"/>
  <c r="EH136" i="32" s="1"/>
  <c r="EH135" i="32" s="1"/>
  <c r="EH134" i="32" s="1"/>
  <c r="EH133" i="32" s="1"/>
  <c r="EH132" i="32" s="1"/>
  <c r="EH131" i="32" s="1"/>
  <c r="EH130" i="32" s="1"/>
  <c r="EH129" i="32" s="1"/>
  <c r="EH128" i="32" s="1"/>
  <c r="EH127" i="32" s="1"/>
  <c r="EH126" i="32" s="1"/>
  <c r="EH125" i="32" s="1"/>
  <c r="EH124" i="32" s="1"/>
  <c r="EH123" i="32" s="1"/>
  <c r="EH122" i="32" s="1"/>
  <c r="EH121" i="32" s="1"/>
  <c r="EH120" i="32" s="1"/>
  <c r="EH119" i="32" s="1"/>
  <c r="EH118" i="32" s="1"/>
  <c r="EH117" i="32" s="1"/>
  <c r="EH116" i="32" s="1"/>
  <c r="EH115" i="32" s="1"/>
  <c r="EH114" i="32" s="1"/>
  <c r="EH113" i="32" s="1"/>
  <c r="EH112" i="32" s="1"/>
  <c r="EH111" i="32" s="1"/>
  <c r="EH110" i="32" s="1"/>
  <c r="EH109" i="32" s="1"/>
  <c r="EH108" i="32" s="1"/>
  <c r="EH107" i="32" s="1"/>
  <c r="EH106" i="32" s="1"/>
  <c r="EH105" i="32" s="1"/>
  <c r="EH104" i="32" s="1"/>
  <c r="EH103" i="32" s="1"/>
  <c r="EH102" i="32" s="1"/>
  <c r="EH101" i="32" s="1"/>
  <c r="EH100" i="32" s="1"/>
  <c r="EH99" i="32" s="1"/>
  <c r="EH98" i="32" s="1"/>
  <c r="EH97" i="32" s="1"/>
  <c r="EH96" i="32" s="1"/>
  <c r="EH95" i="32" s="1"/>
  <c r="EH94" i="32" s="1"/>
  <c r="EH93" i="32" s="1"/>
  <c r="EH92" i="32" s="1"/>
  <c r="EH91" i="32" s="1"/>
  <c r="EH90" i="32" s="1"/>
  <c r="EH89" i="32" s="1"/>
  <c r="EH88" i="32" s="1"/>
  <c r="EH87" i="32" s="1"/>
  <c r="EH86" i="32" s="1"/>
  <c r="EH85" i="32" s="1"/>
  <c r="EH84" i="32" s="1"/>
  <c r="EH83" i="32" s="1"/>
  <c r="EH82" i="32" s="1"/>
  <c r="EH81" i="32" s="1"/>
  <c r="EH80" i="32" s="1"/>
  <c r="EH79" i="32" s="1"/>
  <c r="EH78" i="32" s="1"/>
  <c r="EH77" i="32" s="1"/>
  <c r="EH76" i="32" s="1"/>
  <c r="EH75" i="32" s="1"/>
  <c r="EH74" i="32" s="1"/>
  <c r="EH73" i="32" s="1"/>
  <c r="EH72" i="32" s="1"/>
  <c r="EH71" i="32" s="1"/>
  <c r="EH70" i="32" s="1"/>
  <c r="EH69" i="32" s="1"/>
  <c r="EH68" i="32" s="1"/>
  <c r="EH67" i="32" s="1"/>
  <c r="EH66" i="32" s="1"/>
  <c r="EH65" i="32" s="1"/>
  <c r="EH64" i="32" s="1"/>
  <c r="EH63" i="32" s="1"/>
  <c r="EH62" i="32" s="1"/>
  <c r="EH61" i="32" s="1"/>
  <c r="EH60" i="32" s="1"/>
  <c r="EH59" i="32" s="1"/>
  <c r="EH58" i="32" s="1"/>
  <c r="EH57" i="32" s="1"/>
  <c r="EH56" i="32" s="1"/>
  <c r="EH55" i="32" s="1"/>
  <c r="EH54" i="32" s="1"/>
  <c r="EH53" i="32" s="1"/>
  <c r="EH52" i="32" s="1"/>
  <c r="EH51" i="32" s="1"/>
  <c r="EH50" i="32" s="1"/>
  <c r="EH49" i="32" s="1"/>
  <c r="EH48" i="32" s="1"/>
  <c r="EH47" i="32" s="1"/>
  <c r="EH46" i="32" s="1"/>
  <c r="EH45" i="32" s="1"/>
  <c r="EH44" i="32" s="1"/>
  <c r="EH43" i="32" s="1"/>
  <c r="EH42" i="32" s="1"/>
  <c r="EH41" i="32" s="1"/>
  <c r="EH40" i="32" s="1"/>
  <c r="EH39" i="32" s="1"/>
  <c r="EH38" i="32" s="1"/>
  <c r="EH37" i="32" s="1"/>
  <c r="EH36" i="32" s="1"/>
  <c r="EH35" i="32" s="1"/>
  <c r="EH34" i="32" s="1"/>
  <c r="EH33" i="32" s="1"/>
  <c r="EH32" i="32" s="1"/>
  <c r="EH31" i="32" s="1"/>
  <c r="EH30" i="32" s="1"/>
  <c r="EH29" i="32" s="1"/>
  <c r="EJ138" i="32"/>
  <c r="F16" i="15" l="1"/>
  <c r="F7" i="19" s="1"/>
  <c r="F21" i="15" l="1"/>
  <c r="F12" i="19" s="1"/>
  <c r="R14" i="15"/>
  <c r="C383" i="15"/>
  <c r="C150" i="19"/>
  <c r="C149" i="19"/>
  <c r="C148" i="19"/>
  <c r="C147" i="19"/>
  <c r="C146" i="19"/>
  <c r="C145" i="19"/>
  <c r="C144" i="19"/>
  <c r="L150" i="19"/>
  <c r="J150" i="19"/>
  <c r="H150" i="19"/>
  <c r="F150" i="19"/>
  <c r="D150" i="19"/>
  <c r="L149" i="19"/>
  <c r="J149" i="19"/>
  <c r="H149" i="19"/>
  <c r="F149" i="19"/>
  <c r="D149" i="19"/>
  <c r="L148" i="19"/>
  <c r="J148" i="19"/>
  <c r="H148" i="19"/>
  <c r="F148" i="19"/>
  <c r="D148" i="19"/>
  <c r="L147" i="19"/>
  <c r="J147" i="19"/>
  <c r="H147" i="19"/>
  <c r="F147" i="19"/>
  <c r="D147" i="19"/>
  <c r="L146" i="19"/>
  <c r="J146" i="19"/>
  <c r="H146" i="19"/>
  <c r="F146" i="19"/>
  <c r="D146" i="19"/>
  <c r="L145" i="19"/>
  <c r="J145" i="19"/>
  <c r="H145" i="19"/>
  <c r="F145" i="19"/>
  <c r="D145" i="19"/>
  <c r="K55" i="19" l="1"/>
  <c r="J144" i="19"/>
  <c r="F144" i="19"/>
  <c r="H144" i="19"/>
  <c r="D144" i="19"/>
  <c r="B144" i="19"/>
  <c r="B398" i="15"/>
  <c r="B399" i="15" s="1"/>
  <c r="B400" i="15" s="1"/>
  <c r="B401" i="15" s="1"/>
  <c r="B402" i="15" s="1"/>
  <c r="B403" i="15" s="1"/>
  <c r="L144" i="19"/>
  <c r="D131" i="19"/>
  <c r="F131" i="19"/>
  <c r="H131" i="19"/>
  <c r="J131" i="19"/>
  <c r="L131" i="19"/>
  <c r="D132" i="19"/>
  <c r="F132" i="19"/>
  <c r="H132" i="19"/>
  <c r="J132" i="19"/>
  <c r="L132" i="19"/>
  <c r="D133" i="19"/>
  <c r="F133" i="19"/>
  <c r="H133" i="19"/>
  <c r="J133" i="19"/>
  <c r="L133" i="19"/>
  <c r="D134" i="19"/>
  <c r="F134" i="19"/>
  <c r="H134" i="19"/>
  <c r="J134" i="19"/>
  <c r="L134" i="19"/>
  <c r="D135" i="19"/>
  <c r="F135" i="19"/>
  <c r="H135" i="19"/>
  <c r="J135" i="19"/>
  <c r="L135" i="19"/>
  <c r="D136" i="19"/>
  <c r="F136" i="19"/>
  <c r="H136" i="19"/>
  <c r="J136" i="19"/>
  <c r="L136" i="19"/>
  <c r="D130" i="19"/>
  <c r="F130" i="19"/>
  <c r="H130" i="19"/>
  <c r="J130" i="19"/>
  <c r="L130" i="19"/>
  <c r="B130" i="19"/>
  <c r="C130" i="19"/>
  <c r="B385" i="15"/>
  <c r="C131" i="19" s="1"/>
  <c r="H84" i="19"/>
  <c r="H89" i="19"/>
  <c r="G89" i="19"/>
  <c r="F89" i="19"/>
  <c r="G84" i="19"/>
  <c r="F84" i="19"/>
  <c r="G72" i="19"/>
  <c r="H72" i="19"/>
  <c r="I72" i="19" s="1"/>
  <c r="J72" i="19" s="1"/>
  <c r="K72" i="19" s="1"/>
  <c r="L72" i="19" s="1"/>
  <c r="M72" i="19" s="1"/>
  <c r="N72" i="19" s="1"/>
  <c r="O72" i="19" s="1"/>
  <c r="P72" i="19" s="1"/>
  <c r="Q72" i="19" s="1"/>
  <c r="R72" i="19" s="1"/>
  <c r="F72" i="19"/>
  <c r="F48" i="19"/>
  <c r="B145" i="19" l="1"/>
  <c r="B146" i="19"/>
  <c r="B147" i="19"/>
  <c r="B131" i="19"/>
  <c r="B386" i="15"/>
  <c r="E99" i="19"/>
  <c r="B71" i="19"/>
  <c r="B132" i="19" l="1"/>
  <c r="B387" i="15"/>
  <c r="B133" i="19" s="1"/>
  <c r="B148" i="19"/>
  <c r="C132" i="19"/>
  <c r="B150" i="19" l="1"/>
  <c r="B149" i="19"/>
  <c r="B388" i="15"/>
  <c r="B134" i="19" s="1"/>
  <c r="C133" i="19"/>
  <c r="B389" i="15" l="1"/>
  <c r="B135" i="19" s="1"/>
  <c r="C134" i="19"/>
  <c r="C135" i="19" l="1"/>
  <c r="B390" i="15"/>
  <c r="C136" i="19" l="1"/>
  <c r="B136" i="19"/>
  <c r="I224" i="15"/>
  <c r="F35" i="19" l="1"/>
  <c r="O340" i="15" l="1"/>
  <c r="N340" i="15"/>
  <c r="M340" i="15"/>
  <c r="L340" i="15"/>
  <c r="K340" i="15"/>
  <c r="J340" i="15"/>
  <c r="I340" i="15"/>
  <c r="B140" i="15"/>
  <c r="J339" i="15" l="1"/>
  <c r="G269" i="3"/>
  <c r="L339" i="15"/>
  <c r="I269" i="3"/>
  <c r="K339" i="15"/>
  <c r="H269" i="3"/>
  <c r="M339" i="15"/>
  <c r="J269" i="3"/>
  <c r="I339" i="15"/>
  <c r="F269" i="3"/>
  <c r="K184" i="15"/>
  <c r="H50" i="3"/>
  <c r="L184" i="15"/>
  <c r="I50" i="3"/>
  <c r="J184" i="15"/>
  <c r="G50" i="3"/>
  <c r="K183" i="15"/>
  <c r="H49" i="3"/>
  <c r="J183" i="15"/>
  <c r="G49" i="3"/>
  <c r="M183" i="15"/>
  <c r="J49" i="3"/>
  <c r="M184" i="15"/>
  <c r="J50" i="3"/>
  <c r="L183" i="15"/>
  <c r="I49" i="3"/>
  <c r="I191" i="15"/>
  <c r="I86" i="51" s="1"/>
  <c r="F57" i="3"/>
  <c r="I186" i="15"/>
  <c r="F52" i="3"/>
  <c r="I185" i="15"/>
  <c r="F51" i="3"/>
  <c r="I184" i="15"/>
  <c r="F50" i="3"/>
  <c r="I183" i="15"/>
  <c r="F49" i="3"/>
  <c r="B125" i="19"/>
  <c r="B92" i="19"/>
  <c r="B139" i="19"/>
  <c r="P340" i="15"/>
  <c r="E10" i="48" l="1"/>
  <c r="I71" i="49"/>
  <c r="K191" i="15"/>
  <c r="Q340" i="15"/>
  <c r="N41" i="15"/>
  <c r="N44" i="15"/>
  <c r="L44" i="15"/>
  <c r="L41" i="15"/>
  <c r="O41" i="15"/>
  <c r="O44" i="15"/>
  <c r="M44" i="15"/>
  <c r="M41" i="15"/>
  <c r="P41" i="15"/>
  <c r="P44" i="15"/>
  <c r="O339" i="15"/>
  <c r="L269" i="3"/>
  <c r="N339" i="15"/>
  <c r="K269" i="3"/>
  <c r="J191" i="15"/>
  <c r="G57" i="3"/>
  <c r="K185" i="15"/>
  <c r="H51" i="3"/>
  <c r="K186" i="15"/>
  <c r="H52" i="3"/>
  <c r="N184" i="15"/>
  <c r="K50" i="3"/>
  <c r="N183" i="15"/>
  <c r="K49" i="3"/>
  <c r="J186" i="15"/>
  <c r="G52" i="3"/>
  <c r="O184" i="15"/>
  <c r="L50" i="3"/>
  <c r="J185" i="15"/>
  <c r="G51" i="3"/>
  <c r="O183" i="15"/>
  <c r="L49" i="3"/>
  <c r="J10" i="48" l="1"/>
  <c r="J23" i="48" s="1"/>
  <c r="L10" i="48"/>
  <c r="L23" i="48" s="1"/>
  <c r="L25" i="48" s="1"/>
  <c r="L14" i="48" s="1"/>
  <c r="L18" i="48" s="1"/>
  <c r="K71" i="49"/>
  <c r="K86" i="51"/>
  <c r="J71" i="49"/>
  <c r="J86" i="51"/>
  <c r="E23" i="48"/>
  <c r="E25" i="48" s="1"/>
  <c r="E14" i="48" s="1"/>
  <c r="E18" i="48" s="1"/>
  <c r="H10" i="48"/>
  <c r="P25" i="34"/>
  <c r="P23" i="34"/>
  <c r="H57" i="3"/>
  <c r="L191" i="15"/>
  <c r="P183" i="15"/>
  <c r="R340" i="15"/>
  <c r="P339" i="15"/>
  <c r="P184" i="15"/>
  <c r="E25" i="34"/>
  <c r="E23" i="34"/>
  <c r="L71" i="49" l="1"/>
  <c r="L86" i="51"/>
  <c r="I57" i="3"/>
  <c r="J57" i="3"/>
  <c r="Q184" i="15"/>
  <c r="L185" i="15"/>
  <c r="I51" i="3"/>
  <c r="L186" i="15"/>
  <c r="I52" i="3"/>
  <c r="Q339" i="15"/>
  <c r="Q183" i="15"/>
  <c r="M191" i="15" l="1"/>
  <c r="K57" i="3"/>
  <c r="M185" i="15"/>
  <c r="J51" i="3"/>
  <c r="R339" i="15"/>
  <c r="R184" i="15"/>
  <c r="R183" i="15"/>
  <c r="M186" i="15"/>
  <c r="J52" i="3"/>
  <c r="M71" i="49" l="1"/>
  <c r="M86" i="51"/>
  <c r="N191" i="15"/>
  <c r="O191" i="15"/>
  <c r="N186" i="15"/>
  <c r="K52" i="3"/>
  <c r="K51" i="3"/>
  <c r="N185" i="15"/>
  <c r="O71" i="49" l="1"/>
  <c r="O86" i="51"/>
  <c r="N71" i="49"/>
  <c r="N86" i="51"/>
  <c r="L57" i="3"/>
  <c r="P191" i="15"/>
  <c r="L51" i="3"/>
  <c r="O185" i="15"/>
  <c r="P185" i="15"/>
  <c r="O186" i="15"/>
  <c r="L52" i="3"/>
  <c r="P186" i="15"/>
  <c r="P71" i="49" l="1"/>
  <c r="P86" i="51"/>
  <c r="Q191" i="15"/>
  <c r="Q186" i="15"/>
  <c r="Q185" i="15"/>
  <c r="C29" i="6"/>
  <c r="D29" i="6" s="1"/>
  <c r="E29" i="6" s="1"/>
  <c r="F29" i="6" s="1"/>
  <c r="G29" i="6" s="1"/>
  <c r="H29" i="6" s="1"/>
  <c r="I29" i="6" s="1"/>
  <c r="J29" i="6" s="1"/>
  <c r="D31" i="6"/>
  <c r="E31" i="6"/>
  <c r="F31" i="6"/>
  <c r="G31" i="6"/>
  <c r="H31" i="6"/>
  <c r="I31" i="6"/>
  <c r="J31" i="6"/>
  <c r="G65" i="6"/>
  <c r="Q71" i="49" l="1"/>
  <c r="Q86" i="51"/>
  <c r="R186" i="15"/>
  <c r="R185" i="15"/>
  <c r="R191" i="15"/>
  <c r="C54" i="6"/>
  <c r="D54" i="6" s="1"/>
  <c r="C21" i="6"/>
  <c r="B23" i="6"/>
  <c r="C65" i="6"/>
  <c r="B20" i="6" s="1"/>
  <c r="R71" i="49" l="1"/>
  <c r="R86" i="51"/>
  <c r="H301" i="15"/>
  <c r="D77" i="15" l="1"/>
  <c r="F331" i="3" l="1"/>
  <c r="F327" i="3"/>
  <c r="G327" i="3" s="1"/>
  <c r="H327" i="3" s="1"/>
  <c r="I327" i="3" s="1"/>
  <c r="J327" i="3" s="1"/>
  <c r="K327" i="3" s="1"/>
  <c r="L327" i="3" s="1"/>
  <c r="L97" i="15" l="1"/>
  <c r="H260" i="15" s="1"/>
  <c r="F63" i="3" l="1"/>
  <c r="G63" i="3" s="1"/>
  <c r="H63" i="3" s="1"/>
  <c r="I63" i="3" s="1"/>
  <c r="J63" i="3" s="1"/>
  <c r="K63" i="3" s="1"/>
  <c r="L63" i="3" s="1"/>
  <c r="G67" i="3"/>
  <c r="H67" i="3" s="1"/>
  <c r="I67" i="3" s="1"/>
  <c r="J67" i="3" s="1"/>
  <c r="K67" i="3" s="1"/>
  <c r="L67" i="3" s="1"/>
  <c r="G68" i="3"/>
  <c r="H68" i="3" s="1"/>
  <c r="I68" i="3" s="1"/>
  <c r="J68" i="3" s="1"/>
  <c r="K68" i="3" s="1"/>
  <c r="L68" i="3" s="1"/>
  <c r="G70" i="3"/>
  <c r="H70" i="3" s="1"/>
  <c r="I70" i="3" s="1"/>
  <c r="J70" i="3" s="1"/>
  <c r="K70" i="3" s="1"/>
  <c r="L70" i="3" s="1"/>
  <c r="G71" i="3"/>
  <c r="H71" i="3" s="1"/>
  <c r="I71" i="3" s="1"/>
  <c r="J71" i="3" s="1"/>
  <c r="K71" i="3" s="1"/>
  <c r="L71" i="3" s="1"/>
  <c r="C78" i="3"/>
  <c r="C84" i="3" s="1"/>
  <c r="D78" i="3"/>
  <c r="D84" i="3" s="1"/>
  <c r="E78" i="3"/>
  <c r="E84" i="3" s="1"/>
  <c r="G79" i="3"/>
  <c r="H79" i="3" s="1"/>
  <c r="I79" i="3" s="1"/>
  <c r="J79" i="3" s="1"/>
  <c r="K79" i="3" s="1"/>
  <c r="L79" i="3" s="1"/>
  <c r="G80" i="3"/>
  <c r="H80" i="3" s="1"/>
  <c r="I80" i="3" s="1"/>
  <c r="J80" i="3" s="1"/>
  <c r="K80" i="3" s="1"/>
  <c r="L80" i="3" s="1"/>
  <c r="G81" i="3"/>
  <c r="H81" i="3" s="1"/>
  <c r="I81" i="3" s="1"/>
  <c r="J81" i="3" s="1"/>
  <c r="K81" i="3" s="1"/>
  <c r="L81" i="3" s="1"/>
  <c r="G88" i="3"/>
  <c r="H88" i="3" s="1"/>
  <c r="I88" i="3" s="1"/>
  <c r="J88" i="3" s="1"/>
  <c r="K88" i="3" s="1"/>
  <c r="L88" i="3" s="1"/>
  <c r="G89" i="3"/>
  <c r="H89" i="3" s="1"/>
  <c r="G90" i="3"/>
  <c r="H90" i="3" s="1"/>
  <c r="I90" i="3" s="1"/>
  <c r="J90" i="3" s="1"/>
  <c r="K90" i="3" s="1"/>
  <c r="L90" i="3" s="1"/>
  <c r="G91" i="3"/>
  <c r="H91" i="3" s="1"/>
  <c r="I91" i="3" s="1"/>
  <c r="J91" i="3" s="1"/>
  <c r="K91" i="3" s="1"/>
  <c r="L91" i="3" s="1"/>
  <c r="C92" i="3"/>
  <c r="D92" i="3"/>
  <c r="E92" i="3"/>
  <c r="I89" i="3" l="1"/>
  <c r="J89" i="3" s="1"/>
  <c r="K89" i="3" s="1"/>
  <c r="L89" i="3" s="1"/>
  <c r="F15" i="16"/>
  <c r="H15" i="16"/>
  <c r="F23" i="16"/>
  <c r="H23" i="16"/>
  <c r="F25" i="16"/>
  <c r="F32" i="16"/>
  <c r="F39" i="16" s="1"/>
  <c r="F52" i="16" s="1"/>
  <c r="H32" i="16"/>
  <c r="H39" i="16" s="1"/>
  <c r="H52" i="16" s="1"/>
  <c r="F50" i="16"/>
  <c r="H50" i="16"/>
  <c r="F71" i="15"/>
  <c r="B81" i="15"/>
  <c r="F84" i="15"/>
  <c r="H84" i="15"/>
  <c r="K14" i="15" s="1"/>
  <c r="F85" i="15"/>
  <c r="G319" i="15" s="1"/>
  <c r="H85" i="15"/>
  <c r="L85" i="15" s="1"/>
  <c r="H248" i="15" s="1"/>
  <c r="F86" i="15"/>
  <c r="G321" i="15" s="1"/>
  <c r="H86" i="15"/>
  <c r="L86" i="15" s="1"/>
  <c r="H249" i="15" s="1"/>
  <c r="F87" i="15"/>
  <c r="G323" i="15" s="1"/>
  <c r="G324" i="15" s="1"/>
  <c r="H87" i="15"/>
  <c r="H323" i="15" s="1"/>
  <c r="F88" i="15"/>
  <c r="H88" i="15"/>
  <c r="L88" i="15" s="1"/>
  <c r="H251" i="15" s="1"/>
  <c r="I251" i="15" s="1"/>
  <c r="J251" i="15" s="1"/>
  <c r="K251" i="15" s="1"/>
  <c r="L251" i="15" s="1"/>
  <c r="M251" i="15" s="1"/>
  <c r="N251" i="15" s="1"/>
  <c r="O251" i="15" s="1"/>
  <c r="P251" i="15" s="1"/>
  <c r="Q251" i="15" s="1"/>
  <c r="R251" i="15" s="1"/>
  <c r="F91" i="15"/>
  <c r="H91" i="15"/>
  <c r="L91" i="15" s="1"/>
  <c r="H254" i="15" s="1"/>
  <c r="F93" i="15"/>
  <c r="H93" i="15"/>
  <c r="J93" i="15" s="1"/>
  <c r="L93" i="15" s="1"/>
  <c r="H256" i="15" s="1"/>
  <c r="I256" i="15" s="1"/>
  <c r="J256" i="15" s="1"/>
  <c r="K256" i="15" s="1"/>
  <c r="L256" i="15" s="1"/>
  <c r="M256" i="15" s="1"/>
  <c r="N256" i="15" s="1"/>
  <c r="O256" i="15" s="1"/>
  <c r="P256" i="15" s="1"/>
  <c r="Q256" i="15" s="1"/>
  <c r="R256" i="15" s="1"/>
  <c r="F98" i="15"/>
  <c r="H98" i="15"/>
  <c r="L98" i="15" s="1"/>
  <c r="H261" i="15" s="1"/>
  <c r="F103" i="15"/>
  <c r="G325" i="15" s="1"/>
  <c r="H103" i="15"/>
  <c r="L103" i="15" s="1"/>
  <c r="H266" i="15" s="1"/>
  <c r="F104" i="15"/>
  <c r="G327" i="15" s="1"/>
  <c r="H104" i="15"/>
  <c r="L104" i="15" s="1"/>
  <c r="H267" i="15" s="1"/>
  <c r="F105" i="15"/>
  <c r="H105" i="15"/>
  <c r="L105" i="15" s="1"/>
  <c r="H268" i="15" s="1"/>
  <c r="I268" i="15" s="1"/>
  <c r="J268" i="15" s="1"/>
  <c r="K268" i="15" s="1"/>
  <c r="L268" i="15" s="1"/>
  <c r="M268" i="15" s="1"/>
  <c r="N268" i="15" s="1"/>
  <c r="O268" i="15" s="1"/>
  <c r="P268" i="15" s="1"/>
  <c r="Q268" i="15" s="1"/>
  <c r="R268" i="15" s="1"/>
  <c r="F108" i="15"/>
  <c r="F112" i="15" s="1"/>
  <c r="H108" i="15"/>
  <c r="F24" i="15" s="1"/>
  <c r="F114" i="15"/>
  <c r="H114" i="15"/>
  <c r="L114" i="15" s="1"/>
  <c r="H277" i="15" s="1"/>
  <c r="I277" i="15" s="1"/>
  <c r="J277" i="15" s="1"/>
  <c r="K277" i="15" s="1"/>
  <c r="L277" i="15" s="1"/>
  <c r="M277" i="15" s="1"/>
  <c r="N277" i="15" s="1"/>
  <c r="O277" i="15" s="1"/>
  <c r="P277" i="15" s="1"/>
  <c r="Q277" i="15" s="1"/>
  <c r="R277" i="15" s="1"/>
  <c r="F115" i="15"/>
  <c r="H115" i="15"/>
  <c r="L115" i="15" s="1"/>
  <c r="H278" i="15" s="1"/>
  <c r="F119" i="15"/>
  <c r="H119" i="15"/>
  <c r="L119" i="15" s="1"/>
  <c r="H282" i="15" s="1"/>
  <c r="I282" i="15" s="1"/>
  <c r="J282" i="15" s="1"/>
  <c r="K282" i="15" s="1"/>
  <c r="L282" i="15" s="1"/>
  <c r="M282" i="15" s="1"/>
  <c r="N282" i="15" s="1"/>
  <c r="O282" i="15" s="1"/>
  <c r="P282" i="15" s="1"/>
  <c r="Q282" i="15" s="1"/>
  <c r="R282" i="15" s="1"/>
  <c r="F123" i="15"/>
  <c r="F124" i="15" s="1"/>
  <c r="H123" i="15"/>
  <c r="J123" i="15" s="1"/>
  <c r="B138" i="15"/>
  <c r="I143" i="15"/>
  <c r="F148" i="15"/>
  <c r="G148" i="15"/>
  <c r="H148" i="15"/>
  <c r="EZ22" i="32" s="1"/>
  <c r="EX28" i="32" s="1"/>
  <c r="F155" i="15"/>
  <c r="F157" i="15" s="1"/>
  <c r="G155" i="15"/>
  <c r="G157" i="15" s="1"/>
  <c r="H155" i="15"/>
  <c r="H157" i="15" s="1"/>
  <c r="J179" i="15"/>
  <c r="K179" i="15" s="1"/>
  <c r="L179" i="15" s="1"/>
  <c r="M179" i="15" s="1"/>
  <c r="N179" i="15" s="1"/>
  <c r="O179" i="15" s="1"/>
  <c r="P179" i="15" s="1"/>
  <c r="Q179" i="15" s="1"/>
  <c r="R179" i="15" s="1"/>
  <c r="J180" i="15"/>
  <c r="K180" i="15" s="1"/>
  <c r="L180" i="15" s="1"/>
  <c r="M180" i="15" s="1"/>
  <c r="N180" i="15" s="1"/>
  <c r="O180" i="15" s="1"/>
  <c r="P180" i="15" s="1"/>
  <c r="Q180" i="15" s="1"/>
  <c r="R180" i="15" s="1"/>
  <c r="B194" i="15"/>
  <c r="B196" i="15"/>
  <c r="B198" i="15"/>
  <c r="F199" i="15"/>
  <c r="G199" i="15"/>
  <c r="H199" i="15"/>
  <c r="I199" i="15" s="1"/>
  <c r="J199" i="15" s="1"/>
  <c r="K199" i="15" s="1"/>
  <c r="L199" i="15" s="1"/>
  <c r="M199" i="15" s="1"/>
  <c r="N199" i="15" s="1"/>
  <c r="O199" i="15" s="1"/>
  <c r="P199" i="15" s="1"/>
  <c r="Q199" i="15" s="1"/>
  <c r="R199" i="15" s="1"/>
  <c r="I206" i="15"/>
  <c r="I207" i="15"/>
  <c r="J224" i="15"/>
  <c r="K224" i="15" s="1"/>
  <c r="L224" i="15" s="1"/>
  <c r="M224" i="15" s="1"/>
  <c r="N224" i="15" s="1"/>
  <c r="O224" i="15" s="1"/>
  <c r="P224" i="15" s="1"/>
  <c r="Q224" i="15" s="1"/>
  <c r="R224" i="15" s="1"/>
  <c r="B240" i="15"/>
  <c r="B242" i="15"/>
  <c r="B244" i="15"/>
  <c r="F245" i="15"/>
  <c r="G245" i="15"/>
  <c r="H245" i="15"/>
  <c r="I245" i="15" s="1"/>
  <c r="J245" i="15" s="1"/>
  <c r="K245" i="15" s="1"/>
  <c r="L245" i="15" s="1"/>
  <c r="M245" i="15" s="1"/>
  <c r="N245" i="15" s="1"/>
  <c r="O245" i="15" s="1"/>
  <c r="P245" i="15" s="1"/>
  <c r="Q245" i="15" s="1"/>
  <c r="R245" i="15" s="1"/>
  <c r="B293" i="15"/>
  <c r="B295" i="15"/>
  <c r="B297" i="15"/>
  <c r="F298" i="15"/>
  <c r="G298" i="15"/>
  <c r="H298" i="15"/>
  <c r="I298" i="15" s="1"/>
  <c r="H313" i="15"/>
  <c r="I313" i="15" s="1"/>
  <c r="J313" i="15" s="1"/>
  <c r="K313" i="15" s="1"/>
  <c r="H302" i="15"/>
  <c r="I301" i="15" s="1"/>
  <c r="J301" i="15" s="1"/>
  <c r="K301" i="15" s="1"/>
  <c r="H303" i="15"/>
  <c r="I303" i="15" s="1"/>
  <c r="H304" i="15"/>
  <c r="I304" i="15" s="1"/>
  <c r="J320" i="15"/>
  <c r="K320" i="15" s="1"/>
  <c r="L320" i="15" s="1"/>
  <c r="M320" i="15" s="1"/>
  <c r="N320" i="15" s="1"/>
  <c r="J322" i="15"/>
  <c r="K322" i="15" s="1"/>
  <c r="L322" i="15" s="1"/>
  <c r="M322" i="15" s="1"/>
  <c r="N322" i="15" s="1"/>
  <c r="J324" i="15"/>
  <c r="K324" i="15" s="1"/>
  <c r="L324" i="15" s="1"/>
  <c r="M324" i="15" s="1"/>
  <c r="N324" i="15" s="1"/>
  <c r="O324" i="15" s="1"/>
  <c r="P324" i="15" s="1"/>
  <c r="Q324" i="15" s="1"/>
  <c r="J326" i="15"/>
  <c r="J328" i="15"/>
  <c r="K328" i="15" s="1"/>
  <c r="J335" i="15"/>
  <c r="K335" i="15" s="1"/>
  <c r="J336" i="15"/>
  <c r="B343" i="15"/>
  <c r="C357" i="15"/>
  <c r="F54" i="16" l="1"/>
  <c r="G9" i="51"/>
  <c r="G8" i="51"/>
  <c r="G8" i="49"/>
  <c r="G9" i="49"/>
  <c r="H8" i="51"/>
  <c r="H8" i="49"/>
  <c r="F68" i="51"/>
  <c r="F70" i="51" s="1"/>
  <c r="F54" i="51" s="1"/>
  <c r="H36" i="50"/>
  <c r="F53" i="49"/>
  <c r="F55" i="49" s="1"/>
  <c r="F39" i="49" s="1"/>
  <c r="J298" i="15"/>
  <c r="L357" i="15"/>
  <c r="H25" i="16"/>
  <c r="H54" i="16" s="1"/>
  <c r="R16" i="15"/>
  <c r="K57" i="19" s="1"/>
  <c r="F15" i="19"/>
  <c r="I160" i="45"/>
  <c r="I183" i="45"/>
  <c r="I137" i="45"/>
  <c r="B136" i="45" s="1"/>
  <c r="J84" i="15"/>
  <c r="L84" i="15" s="1"/>
  <c r="H247" i="15" s="1"/>
  <c r="E55" i="19"/>
  <c r="K40" i="15"/>
  <c r="H76" i="19"/>
  <c r="F76" i="19"/>
  <c r="G76" i="19"/>
  <c r="I148" i="15"/>
  <c r="EW23" i="32" s="1"/>
  <c r="H73" i="19"/>
  <c r="G339" i="15"/>
  <c r="G420" i="15" s="1"/>
  <c r="G73" i="19"/>
  <c r="F186" i="15"/>
  <c r="F415" i="15" s="1"/>
  <c r="F73" i="19"/>
  <c r="E94" i="19"/>
  <c r="F94" i="19" s="1"/>
  <c r="G94" i="19" s="1"/>
  <c r="H94" i="19" s="1"/>
  <c r="I94" i="19" s="1"/>
  <c r="J94" i="19" s="1"/>
  <c r="F76" i="15"/>
  <c r="F75" i="15"/>
  <c r="H321" i="15"/>
  <c r="H340" i="15"/>
  <c r="H421" i="15" s="1"/>
  <c r="E132" i="15"/>
  <c r="G317" i="15"/>
  <c r="G322" i="15" s="1"/>
  <c r="F339" i="15"/>
  <c r="F420" i="15" s="1"/>
  <c r="F340" i="15"/>
  <c r="F421" i="15" s="1"/>
  <c r="I261" i="15"/>
  <c r="J206" i="15"/>
  <c r="I317" i="15"/>
  <c r="I278" i="15"/>
  <c r="H317" i="15"/>
  <c r="F185" i="15"/>
  <c r="F414" i="15" s="1"/>
  <c r="H327" i="15"/>
  <c r="H328" i="15" s="1"/>
  <c r="G183" i="15"/>
  <c r="G412" i="15" s="1"/>
  <c r="G185" i="15"/>
  <c r="G414" i="15" s="1"/>
  <c r="H185" i="15"/>
  <c r="H414" i="15" s="1"/>
  <c r="G340" i="15"/>
  <c r="G421" i="15" s="1"/>
  <c r="I302" i="15"/>
  <c r="J302" i="15" s="1"/>
  <c r="K302" i="15" s="1"/>
  <c r="L302" i="15" s="1"/>
  <c r="M302" i="15" s="1"/>
  <c r="N302" i="15" s="1"/>
  <c r="O302" i="15" s="1"/>
  <c r="G186" i="15"/>
  <c r="G415" i="15" s="1"/>
  <c r="H183" i="15"/>
  <c r="H412" i="15" s="1"/>
  <c r="G330" i="15"/>
  <c r="H324" i="15"/>
  <c r="F158" i="15"/>
  <c r="F184" i="15" s="1"/>
  <c r="F413" i="15" s="1"/>
  <c r="H325" i="15"/>
  <c r="F89" i="15"/>
  <c r="F100" i="15" s="1"/>
  <c r="R324" i="15"/>
  <c r="O322" i="15"/>
  <c r="P322" i="15" s="1"/>
  <c r="G158" i="15"/>
  <c r="H269" i="15"/>
  <c r="H186" i="15"/>
  <c r="H415" i="15" s="1"/>
  <c r="E131" i="15"/>
  <c r="J317" i="15"/>
  <c r="H158" i="15"/>
  <c r="L123" i="15"/>
  <c r="H286" i="15" s="1"/>
  <c r="I286" i="15" s="1"/>
  <c r="J286" i="15" s="1"/>
  <c r="K286" i="15" s="1"/>
  <c r="L286" i="15" s="1"/>
  <c r="M286" i="15" s="1"/>
  <c r="N286" i="15" s="1"/>
  <c r="O286" i="15" s="1"/>
  <c r="P286" i="15" s="1"/>
  <c r="Q286" i="15" s="1"/>
  <c r="R286" i="15" s="1"/>
  <c r="G328" i="15"/>
  <c r="G331" i="15"/>
  <c r="H339" i="15"/>
  <c r="H420" i="15" s="1"/>
  <c r="H112" i="15"/>
  <c r="H319" i="15"/>
  <c r="J304" i="15"/>
  <c r="O320" i="15"/>
  <c r="L301" i="15"/>
  <c r="L313" i="15"/>
  <c r="K206" i="15"/>
  <c r="L335" i="15"/>
  <c r="J207" i="15"/>
  <c r="K336" i="15"/>
  <c r="L328" i="15"/>
  <c r="K326" i="15"/>
  <c r="J303" i="15"/>
  <c r="F106" i="15"/>
  <c r="F117" i="15" s="1"/>
  <c r="F126" i="15" s="1"/>
  <c r="L106" i="15"/>
  <c r="L87" i="15"/>
  <c r="H250" i="15" s="1"/>
  <c r="H89" i="15"/>
  <c r="H100" i="15" s="1"/>
  <c r="H124" i="15"/>
  <c r="J143" i="15"/>
  <c r="H106" i="15"/>
  <c r="H68" i="49" l="1"/>
  <c r="H9" i="49"/>
  <c r="H67" i="49"/>
  <c r="H83" i="51"/>
  <c r="H82" i="51"/>
  <c r="H9" i="51"/>
  <c r="G68" i="49"/>
  <c r="G67" i="49"/>
  <c r="G83" i="51"/>
  <c r="G82" i="51"/>
  <c r="H37" i="50"/>
  <c r="H40" i="50"/>
  <c r="I8" i="49"/>
  <c r="I9" i="49" s="1"/>
  <c r="I8" i="51"/>
  <c r="I9" i="51" s="1"/>
  <c r="K298" i="15"/>
  <c r="M357" i="15"/>
  <c r="J160" i="45"/>
  <c r="J183" i="45"/>
  <c r="J137" i="45"/>
  <c r="G77" i="19"/>
  <c r="F90" i="19"/>
  <c r="H77" i="19"/>
  <c r="L40" i="15"/>
  <c r="H78" i="19"/>
  <c r="I209" i="15"/>
  <c r="K52" i="15"/>
  <c r="E104" i="19" s="1"/>
  <c r="K41" i="15"/>
  <c r="K44" i="15"/>
  <c r="I73" i="19"/>
  <c r="I201" i="15"/>
  <c r="FA39" i="32" s="1"/>
  <c r="J148" i="15"/>
  <c r="EW24" i="32" s="1"/>
  <c r="I160" i="15"/>
  <c r="I164" i="15"/>
  <c r="I157" i="15"/>
  <c r="I161" i="15"/>
  <c r="F78" i="19"/>
  <c r="G74" i="19"/>
  <c r="G90" i="19"/>
  <c r="H74" i="19"/>
  <c r="H90" i="19"/>
  <c r="I319" i="15"/>
  <c r="I248" i="15" s="1"/>
  <c r="G78" i="19"/>
  <c r="H252" i="15"/>
  <c r="H75" i="15"/>
  <c r="G75" i="15"/>
  <c r="H76" i="15"/>
  <c r="G76" i="15"/>
  <c r="G326" i="15"/>
  <c r="G320" i="15"/>
  <c r="H322" i="15"/>
  <c r="J261" i="15"/>
  <c r="K261" i="15" s="1"/>
  <c r="J278" i="15"/>
  <c r="F162" i="15"/>
  <c r="G332" i="15"/>
  <c r="H331" i="15"/>
  <c r="L89" i="15"/>
  <c r="H117" i="15"/>
  <c r="H126" i="15" s="1"/>
  <c r="H127" i="15" s="1"/>
  <c r="F127" i="15"/>
  <c r="H326" i="15"/>
  <c r="H320" i="15"/>
  <c r="H330" i="15"/>
  <c r="G162" i="15"/>
  <c r="G184" i="15"/>
  <c r="G413" i="15" s="1"/>
  <c r="H162" i="15"/>
  <c r="EZ23" i="32" s="1"/>
  <c r="H184" i="15"/>
  <c r="H413" i="15" s="1"/>
  <c r="T413" i="15" s="1"/>
  <c r="K303" i="15"/>
  <c r="P302" i="15"/>
  <c r="M313" i="15"/>
  <c r="P320" i="15"/>
  <c r="M328" i="15"/>
  <c r="M301" i="15"/>
  <c r="L326" i="15"/>
  <c r="K143" i="15"/>
  <c r="K207" i="15"/>
  <c r="L336" i="15"/>
  <c r="L206" i="15"/>
  <c r="M335" i="15"/>
  <c r="Q322" i="15"/>
  <c r="K304" i="15"/>
  <c r="EX36" i="32" l="1"/>
  <c r="EZ25" i="32"/>
  <c r="EX44" i="32" s="1"/>
  <c r="H11" i="51"/>
  <c r="C36" i="50"/>
  <c r="H11" i="49"/>
  <c r="G11" i="51"/>
  <c r="G11" i="49"/>
  <c r="H44" i="50"/>
  <c r="H41" i="50"/>
  <c r="J8" i="49"/>
  <c r="J9" i="49" s="1"/>
  <c r="J8" i="51"/>
  <c r="J9" i="51" s="1"/>
  <c r="I20" i="49"/>
  <c r="I67" i="49" s="1"/>
  <c r="I20" i="51"/>
  <c r="I82" i="51" s="1"/>
  <c r="L298" i="15"/>
  <c r="N357" i="15"/>
  <c r="K317" i="15"/>
  <c r="K160" i="45"/>
  <c r="K183" i="45"/>
  <c r="K137" i="45"/>
  <c r="M40" i="15"/>
  <c r="K43" i="15"/>
  <c r="I89" i="19"/>
  <c r="I74" i="19"/>
  <c r="I158" i="15"/>
  <c r="F80" i="19"/>
  <c r="J73" i="19"/>
  <c r="I323" i="15"/>
  <c r="I250" i="15" s="1"/>
  <c r="I254" i="15"/>
  <c r="J164" i="15"/>
  <c r="J161" i="15"/>
  <c r="K148" i="15"/>
  <c r="EW25" i="32" s="1"/>
  <c r="J201" i="15"/>
  <c r="FA40" i="32" s="1"/>
  <c r="J157" i="15"/>
  <c r="J160" i="15"/>
  <c r="J319" i="15"/>
  <c r="J248" i="15" s="1"/>
  <c r="I327" i="15"/>
  <c r="I267" i="15" s="1"/>
  <c r="I321" i="15"/>
  <c r="I249" i="15" s="1"/>
  <c r="I76" i="19"/>
  <c r="I325" i="15"/>
  <c r="I266" i="15" s="1"/>
  <c r="G166" i="15"/>
  <c r="G80" i="19"/>
  <c r="H166" i="15"/>
  <c r="H80" i="19"/>
  <c r="F200" i="15"/>
  <c r="F166" i="15"/>
  <c r="G77" i="15"/>
  <c r="F19" i="15" s="1"/>
  <c r="F10" i="19" s="1"/>
  <c r="H77" i="15"/>
  <c r="F22" i="15" s="1"/>
  <c r="F13" i="19" s="1"/>
  <c r="K278" i="15"/>
  <c r="F188" i="15"/>
  <c r="H332" i="15"/>
  <c r="L261" i="15"/>
  <c r="H188" i="15"/>
  <c r="K45" i="15" s="1"/>
  <c r="F32" i="15"/>
  <c r="H200" i="15"/>
  <c r="G200" i="15"/>
  <c r="G188" i="15"/>
  <c r="R322" i="15"/>
  <c r="Q320" i="15"/>
  <c r="L303" i="15"/>
  <c r="L207" i="15"/>
  <c r="M336" i="15"/>
  <c r="M326" i="15"/>
  <c r="L304" i="15"/>
  <c r="N301" i="15"/>
  <c r="Q302" i="15"/>
  <c r="L143" i="15"/>
  <c r="N313" i="15"/>
  <c r="M206" i="15"/>
  <c r="N335" i="15"/>
  <c r="N328" i="15"/>
  <c r="H45" i="50" l="1"/>
  <c r="H50" i="50" s="1"/>
  <c r="G50" i="50" s="1"/>
  <c r="H49" i="50"/>
  <c r="G49" i="50" s="1"/>
  <c r="E49" i="50" s="1"/>
  <c r="F40" i="19"/>
  <c r="C19" i="54"/>
  <c r="C14" i="54" s="1"/>
  <c r="C19" i="52"/>
  <c r="C14" i="52" s="1"/>
  <c r="C37" i="50"/>
  <c r="C49" i="50"/>
  <c r="G36" i="50"/>
  <c r="H14" i="51"/>
  <c r="H14" i="49"/>
  <c r="H19" i="49" s="1"/>
  <c r="H66" i="49" s="1"/>
  <c r="G14" i="51"/>
  <c r="G14" i="49"/>
  <c r="G19" i="49" s="1"/>
  <c r="G66" i="49" s="1"/>
  <c r="G62" i="49"/>
  <c r="G12" i="49"/>
  <c r="G19" i="51"/>
  <c r="G81" i="51" s="1"/>
  <c r="G77" i="51"/>
  <c r="G12" i="51"/>
  <c r="H12" i="49"/>
  <c r="H62" i="49"/>
  <c r="H12" i="51"/>
  <c r="H77" i="51"/>
  <c r="H19" i="51"/>
  <c r="H81" i="51" s="1"/>
  <c r="K8" i="49"/>
  <c r="K9" i="49" s="1"/>
  <c r="K8" i="51"/>
  <c r="K9" i="51" s="1"/>
  <c r="J20" i="49"/>
  <c r="J67" i="49" s="1"/>
  <c r="J20" i="51"/>
  <c r="J82" i="51" s="1"/>
  <c r="I162" i="15"/>
  <c r="K32" i="15" s="1"/>
  <c r="M298" i="15"/>
  <c r="O357" i="15"/>
  <c r="L317" i="15"/>
  <c r="L183" i="45"/>
  <c r="L160" i="45"/>
  <c r="L137" i="45"/>
  <c r="E40" i="15"/>
  <c r="F23" i="19"/>
  <c r="R15" i="15"/>
  <c r="F20" i="15"/>
  <c r="F82" i="19"/>
  <c r="F99" i="19"/>
  <c r="N40" i="15"/>
  <c r="G189" i="15"/>
  <c r="H172" i="15"/>
  <c r="H177" i="15" s="1"/>
  <c r="H181" i="15" s="1"/>
  <c r="H189" i="15"/>
  <c r="I90" i="19"/>
  <c r="J89" i="19"/>
  <c r="J321" i="15"/>
  <c r="J249" i="15" s="1"/>
  <c r="J74" i="19"/>
  <c r="I78" i="19"/>
  <c r="F85" i="19"/>
  <c r="H85" i="19"/>
  <c r="G85" i="19"/>
  <c r="G172" i="15"/>
  <c r="G177" i="15" s="1"/>
  <c r="G181" i="15" s="1"/>
  <c r="K164" i="15"/>
  <c r="K319" i="15"/>
  <c r="K248" i="15" s="1"/>
  <c r="K161" i="15"/>
  <c r="K201" i="15"/>
  <c r="FA41" i="32" s="1"/>
  <c r="E96" i="19"/>
  <c r="K160" i="15"/>
  <c r="L148" i="15"/>
  <c r="EW26" i="32" s="1"/>
  <c r="K157" i="15"/>
  <c r="J327" i="15"/>
  <c r="J267" i="15" s="1"/>
  <c r="J158" i="15"/>
  <c r="J162" i="15" s="1"/>
  <c r="L32" i="15" s="1"/>
  <c r="K73" i="19"/>
  <c r="J254" i="15"/>
  <c r="J76" i="19"/>
  <c r="J325" i="15"/>
  <c r="J266" i="15" s="1"/>
  <c r="J323" i="15"/>
  <c r="J250" i="15" s="1"/>
  <c r="I269" i="15"/>
  <c r="I331" i="15"/>
  <c r="I330" i="15"/>
  <c r="I77" i="19"/>
  <c r="H81" i="19"/>
  <c r="H82" i="19"/>
  <c r="G82" i="19"/>
  <c r="G81" i="19"/>
  <c r="E95" i="19"/>
  <c r="I48" i="19"/>
  <c r="F172" i="15"/>
  <c r="F189" i="15"/>
  <c r="L278" i="15"/>
  <c r="M261" i="15"/>
  <c r="R302" i="15"/>
  <c r="M304" i="15"/>
  <c r="R320" i="15"/>
  <c r="M303" i="15"/>
  <c r="N206" i="15"/>
  <c r="O335" i="15"/>
  <c r="N326" i="15"/>
  <c r="O328" i="15"/>
  <c r="O313" i="15"/>
  <c r="M207" i="15"/>
  <c r="N336" i="15"/>
  <c r="M143" i="15"/>
  <c r="O301" i="15"/>
  <c r="C50" i="50" l="1"/>
  <c r="G37" i="50"/>
  <c r="E50" i="50"/>
  <c r="G15" i="49"/>
  <c r="G64" i="49"/>
  <c r="G79" i="51"/>
  <c r="G15" i="51"/>
  <c r="H64" i="49"/>
  <c r="H15" i="49"/>
  <c r="H15" i="51"/>
  <c r="H79" i="51"/>
  <c r="L8" i="49"/>
  <c r="L9" i="49" s="1"/>
  <c r="L8" i="51"/>
  <c r="L9" i="51" s="1"/>
  <c r="D36" i="50"/>
  <c r="D37" i="50" s="1"/>
  <c r="I37" i="50" s="1"/>
  <c r="I11" i="51"/>
  <c r="K20" i="49"/>
  <c r="K67" i="49" s="1"/>
  <c r="K20" i="51"/>
  <c r="K82" i="51" s="1"/>
  <c r="J11" i="49"/>
  <c r="J12" i="49" s="1"/>
  <c r="J11" i="51"/>
  <c r="I11" i="49"/>
  <c r="I12" i="49" s="1"/>
  <c r="D40" i="50"/>
  <c r="I80" i="19"/>
  <c r="I82" i="19" s="1"/>
  <c r="I188" i="15"/>
  <c r="L45" i="15" s="1"/>
  <c r="I200" i="15"/>
  <c r="L43" i="15"/>
  <c r="M317" i="15"/>
  <c r="N298" i="15"/>
  <c r="M160" i="45"/>
  <c r="M183" i="45"/>
  <c r="M137" i="45"/>
  <c r="K56" i="19"/>
  <c r="F23" i="15"/>
  <c r="E70" i="15" s="1"/>
  <c r="E66" i="19" s="1"/>
  <c r="F11" i="19"/>
  <c r="H191" i="15"/>
  <c r="F87" i="19"/>
  <c r="H87" i="19"/>
  <c r="J90" i="19"/>
  <c r="O40" i="15"/>
  <c r="M43" i="15"/>
  <c r="E19" i="55" s="1"/>
  <c r="G86" i="19"/>
  <c r="G99" i="19"/>
  <c r="K89" i="19"/>
  <c r="J77" i="19"/>
  <c r="K74" i="19"/>
  <c r="G191" i="15"/>
  <c r="H86" i="19"/>
  <c r="G87" i="19"/>
  <c r="L161" i="15"/>
  <c r="J80" i="19"/>
  <c r="L160" i="15"/>
  <c r="K254" i="15"/>
  <c r="K323" i="15"/>
  <c r="K250" i="15" s="1"/>
  <c r="K327" i="15"/>
  <c r="K267" i="15" s="1"/>
  <c r="K158" i="15"/>
  <c r="K162" i="15" s="1"/>
  <c r="K321" i="15"/>
  <c r="K249" i="15" s="1"/>
  <c r="L73" i="19"/>
  <c r="K76" i="19"/>
  <c r="L201" i="15"/>
  <c r="FA42" i="32" s="1"/>
  <c r="L164" i="15"/>
  <c r="L319" i="15"/>
  <c r="L248" i="15" s="1"/>
  <c r="L157" i="15"/>
  <c r="M148" i="15"/>
  <c r="EW27" i="32" s="1"/>
  <c r="EW28" i="32" s="1"/>
  <c r="K325" i="15"/>
  <c r="K266" i="15" s="1"/>
  <c r="J78" i="19"/>
  <c r="I332" i="15"/>
  <c r="I334" i="15" s="1"/>
  <c r="I204" i="15" s="1"/>
  <c r="J331" i="15"/>
  <c r="J269" i="15"/>
  <c r="J188" i="15"/>
  <c r="F96" i="19"/>
  <c r="J200" i="15"/>
  <c r="EW32" i="32" s="1"/>
  <c r="J330" i="15"/>
  <c r="F177" i="15"/>
  <c r="F181" i="15" s="1"/>
  <c r="F191" i="15"/>
  <c r="F417" i="15" s="1"/>
  <c r="M278" i="15"/>
  <c r="N261" i="15"/>
  <c r="N207" i="15"/>
  <c r="O336" i="15"/>
  <c r="O206" i="15"/>
  <c r="P335" i="15"/>
  <c r="P313" i="15"/>
  <c r="O326" i="15"/>
  <c r="N143" i="15"/>
  <c r="P328" i="15"/>
  <c r="N303" i="15"/>
  <c r="N304" i="15"/>
  <c r="P301" i="15"/>
  <c r="G6" i="8"/>
  <c r="H6" i="8" s="1"/>
  <c r="I6" i="8" s="1"/>
  <c r="J6" i="8" s="1"/>
  <c r="K6" i="8" s="1"/>
  <c r="L6" i="8" s="1"/>
  <c r="D19" i="54" l="1"/>
  <c r="D19" i="55"/>
  <c r="E19" i="52"/>
  <c r="E19" i="54"/>
  <c r="F95" i="19"/>
  <c r="D19" i="52"/>
  <c r="EW40" i="32"/>
  <c r="EZ32" i="32"/>
  <c r="I202" i="15"/>
  <c r="EW31" i="32"/>
  <c r="G86" i="51"/>
  <c r="G17" i="51" s="1"/>
  <c r="G71" i="49"/>
  <c r="G17" i="49" s="1"/>
  <c r="H86" i="51"/>
  <c r="H17" i="51" s="1"/>
  <c r="H71" i="49"/>
  <c r="H17" i="49" s="1"/>
  <c r="I21" i="51"/>
  <c r="I21" i="49"/>
  <c r="J77" i="51"/>
  <c r="J12" i="51"/>
  <c r="L20" i="49"/>
  <c r="L67" i="49" s="1"/>
  <c r="L20" i="51"/>
  <c r="L82" i="51" s="1"/>
  <c r="I12" i="51"/>
  <c r="I77" i="51"/>
  <c r="J62" i="49"/>
  <c r="I36" i="50"/>
  <c r="K36" i="50" s="1"/>
  <c r="Q10" i="50" s="1"/>
  <c r="M8" i="49"/>
  <c r="M9" i="49" s="1"/>
  <c r="M8" i="51"/>
  <c r="M9" i="51" s="1"/>
  <c r="K11" i="49"/>
  <c r="K62" i="49" s="1"/>
  <c r="K11" i="51"/>
  <c r="G40" i="50"/>
  <c r="I40" i="50" s="1"/>
  <c r="K40" i="50" s="1"/>
  <c r="D44" i="50"/>
  <c r="D49" i="50" s="1"/>
  <c r="I81" i="19"/>
  <c r="C10" i="50"/>
  <c r="K37" i="50"/>
  <c r="P10" i="50" s="1"/>
  <c r="I62" i="49"/>
  <c r="D41" i="50"/>
  <c r="G41" i="50" s="1"/>
  <c r="I41" i="50" s="1"/>
  <c r="O298" i="15"/>
  <c r="N317" i="15"/>
  <c r="N160" i="45"/>
  <c r="N183" i="45"/>
  <c r="N137" i="45"/>
  <c r="E69" i="15"/>
  <c r="E65" i="19" s="1"/>
  <c r="E68" i="15"/>
  <c r="E64" i="19" s="1"/>
  <c r="E130" i="15"/>
  <c r="E133" i="15" s="1"/>
  <c r="F33" i="19"/>
  <c r="F14" i="19"/>
  <c r="H99" i="19"/>
  <c r="P40" i="15"/>
  <c r="Q40" i="15" s="1"/>
  <c r="N43" i="15"/>
  <c r="F19" i="55" s="1"/>
  <c r="M45" i="15"/>
  <c r="G95" i="19"/>
  <c r="K90" i="19"/>
  <c r="L89" i="19"/>
  <c r="L325" i="15"/>
  <c r="L266" i="15" s="1"/>
  <c r="J82" i="19"/>
  <c r="K77" i="19"/>
  <c r="L74" i="19"/>
  <c r="J202" i="15"/>
  <c r="L323" i="15"/>
  <c r="L250" i="15" s="1"/>
  <c r="J81" i="19"/>
  <c r="M73" i="19"/>
  <c r="K269" i="15"/>
  <c r="K188" i="15"/>
  <c r="K200" i="15"/>
  <c r="EW33" i="32" s="1"/>
  <c r="L254" i="15"/>
  <c r="G96" i="19"/>
  <c r="K330" i="15"/>
  <c r="K80" i="19"/>
  <c r="K78" i="19"/>
  <c r="M319" i="15"/>
  <c r="M248" i="15" s="1"/>
  <c r="M157" i="15"/>
  <c r="L327" i="15"/>
  <c r="L267" i="15" s="1"/>
  <c r="L76" i="19"/>
  <c r="M160" i="15"/>
  <c r="N148" i="15"/>
  <c r="L158" i="15"/>
  <c r="L162" i="15" s="1"/>
  <c r="K331" i="15"/>
  <c r="L321" i="15"/>
  <c r="L249" i="15" s="1"/>
  <c r="M161" i="15"/>
  <c r="M201" i="15"/>
  <c r="FA43" i="32" s="1"/>
  <c r="M164" i="15"/>
  <c r="J332" i="15"/>
  <c r="J334" i="15" s="1"/>
  <c r="J204" i="15" s="1"/>
  <c r="N278" i="15"/>
  <c r="O261" i="15"/>
  <c r="P326" i="15"/>
  <c r="P206" i="15"/>
  <c r="Q335" i="15"/>
  <c r="O207" i="15"/>
  <c r="P336" i="15"/>
  <c r="Q313" i="15"/>
  <c r="Q301" i="15"/>
  <c r="O303" i="15"/>
  <c r="Q328" i="15"/>
  <c r="O304" i="15"/>
  <c r="D357" i="15"/>
  <c r="O143" i="15"/>
  <c r="F19" i="52" l="1"/>
  <c r="F19" i="54"/>
  <c r="EW41" i="32"/>
  <c r="EZ33" i="32"/>
  <c r="EW39" i="32"/>
  <c r="EZ31" i="32"/>
  <c r="H65" i="49"/>
  <c r="H18" i="49"/>
  <c r="H18" i="51"/>
  <c r="H80" i="51"/>
  <c r="G65" i="49"/>
  <c r="G18" i="49"/>
  <c r="G18" i="51"/>
  <c r="G80" i="51"/>
  <c r="J21" i="51"/>
  <c r="J21" i="49"/>
  <c r="K12" i="49"/>
  <c r="D10" i="50"/>
  <c r="M10" i="50" s="1"/>
  <c r="K12" i="51"/>
  <c r="K77" i="51"/>
  <c r="M20" i="49"/>
  <c r="M67" i="49" s="1"/>
  <c r="M20" i="51"/>
  <c r="M82" i="51" s="1"/>
  <c r="N8" i="49"/>
  <c r="N9" i="49" s="1"/>
  <c r="N8" i="51"/>
  <c r="N9" i="51" s="1"/>
  <c r="L11" i="49"/>
  <c r="L62" i="49" s="1"/>
  <c r="L11" i="51"/>
  <c r="Q9" i="50"/>
  <c r="I44" i="50"/>
  <c r="D9" i="50"/>
  <c r="K41" i="50"/>
  <c r="I45" i="50" s="1"/>
  <c r="C9" i="50"/>
  <c r="O317" i="15"/>
  <c r="P298" i="15"/>
  <c r="O183" i="45"/>
  <c r="O160" i="45"/>
  <c r="O137" i="45"/>
  <c r="I99" i="19"/>
  <c r="O43" i="15"/>
  <c r="G19" i="55" s="1"/>
  <c r="N45" i="15"/>
  <c r="H95" i="19"/>
  <c r="L90" i="19"/>
  <c r="M89" i="19"/>
  <c r="L269" i="15"/>
  <c r="M158" i="15"/>
  <c r="M162" i="15" s="1"/>
  <c r="O148" i="15"/>
  <c r="K82" i="19"/>
  <c r="L78" i="19"/>
  <c r="M74" i="19"/>
  <c r="K202" i="15"/>
  <c r="J130" i="15"/>
  <c r="J132" i="15" s="1"/>
  <c r="L80" i="19"/>
  <c r="E97" i="19"/>
  <c r="M254" i="15"/>
  <c r="E71" i="15"/>
  <c r="R18" i="15" s="1"/>
  <c r="K59" i="19" s="1"/>
  <c r="K332" i="15"/>
  <c r="K334" i="15" s="1"/>
  <c r="K204" i="15" s="1"/>
  <c r="K81" i="19"/>
  <c r="M321" i="15"/>
  <c r="M249" i="15" s="1"/>
  <c r="M325" i="15"/>
  <c r="M266" i="15" s="1"/>
  <c r="L331" i="15"/>
  <c r="N73" i="19"/>
  <c r="N161" i="15"/>
  <c r="L77" i="19"/>
  <c r="N201" i="15"/>
  <c r="N319" i="15"/>
  <c r="N248" i="15" s="1"/>
  <c r="N160" i="15"/>
  <c r="N157" i="15"/>
  <c r="L330" i="15"/>
  <c r="L200" i="15"/>
  <c r="EW34" i="32" s="1"/>
  <c r="N164" i="15"/>
  <c r="M76" i="19"/>
  <c r="M323" i="15"/>
  <c r="M250" i="15" s="1"/>
  <c r="M327" i="15"/>
  <c r="M267" i="15" s="1"/>
  <c r="H96" i="19"/>
  <c r="L188" i="15"/>
  <c r="O278" i="15"/>
  <c r="P261" i="15"/>
  <c r="P304" i="15"/>
  <c r="R328" i="15"/>
  <c r="Q206" i="15"/>
  <c r="R335" i="15"/>
  <c r="P143" i="15"/>
  <c r="R313" i="15"/>
  <c r="Q326" i="15"/>
  <c r="P207" i="15"/>
  <c r="Q336" i="15"/>
  <c r="P303" i="15"/>
  <c r="R301" i="15"/>
  <c r="F5" i="7"/>
  <c r="G5" i="7" s="1"/>
  <c r="H5" i="7" s="1"/>
  <c r="I5" i="7" s="1"/>
  <c r="J5" i="7" s="1"/>
  <c r="K5" i="7" s="1"/>
  <c r="L5" i="7" s="1"/>
  <c r="G19" i="52" l="1"/>
  <c r="G19" i="54"/>
  <c r="EW42" i="32"/>
  <c r="EZ34" i="32"/>
  <c r="K21" i="51"/>
  <c r="K21" i="49"/>
  <c r="S10" i="50"/>
  <c r="N20" i="49"/>
  <c r="N67" i="49" s="1"/>
  <c r="N20" i="51"/>
  <c r="N82" i="51" s="1"/>
  <c r="O8" i="49"/>
  <c r="O9" i="49" s="1"/>
  <c r="O8" i="51"/>
  <c r="O9" i="51" s="1"/>
  <c r="L12" i="49"/>
  <c r="M11" i="49"/>
  <c r="M62" i="49" s="1"/>
  <c r="M11" i="51"/>
  <c r="L12" i="51"/>
  <c r="L77" i="51"/>
  <c r="S9" i="50"/>
  <c r="G45" i="50"/>
  <c r="G44" i="50"/>
  <c r="E44" i="50" s="1"/>
  <c r="F44" i="50" s="1"/>
  <c r="P9" i="50"/>
  <c r="M9" i="50"/>
  <c r="Q298" i="15"/>
  <c r="P317" i="15"/>
  <c r="P160" i="45"/>
  <c r="P183" i="45"/>
  <c r="P137" i="45"/>
  <c r="J95" i="15"/>
  <c r="L95" i="15" s="1"/>
  <c r="H258" i="15" s="1"/>
  <c r="E134" i="15"/>
  <c r="P278" i="15"/>
  <c r="M90" i="19"/>
  <c r="P43" i="15"/>
  <c r="H19" i="55" s="1"/>
  <c r="O45" i="15"/>
  <c r="I95" i="19"/>
  <c r="J99" i="19"/>
  <c r="N89" i="19"/>
  <c r="O319" i="15"/>
  <c r="O248" i="15" s="1"/>
  <c r="O164" i="15"/>
  <c r="O201" i="15"/>
  <c r="O161" i="15"/>
  <c r="O157" i="15"/>
  <c r="O160" i="15"/>
  <c r="P148" i="15"/>
  <c r="N325" i="15"/>
  <c r="N266" i="15" s="1"/>
  <c r="O73" i="19"/>
  <c r="L81" i="19"/>
  <c r="M78" i="19"/>
  <c r="N74" i="19"/>
  <c r="J134" i="15"/>
  <c r="L165" i="15" s="1"/>
  <c r="L202" i="15"/>
  <c r="L82" i="19"/>
  <c r="F97" i="19"/>
  <c r="L332" i="15"/>
  <c r="L334" i="15" s="1"/>
  <c r="L204" i="15" s="1"/>
  <c r="M269" i="15"/>
  <c r="N323" i="15"/>
  <c r="N250" i="15" s="1"/>
  <c r="N254" i="15"/>
  <c r="N327" i="15"/>
  <c r="N267" i="15" s="1"/>
  <c r="N158" i="15"/>
  <c r="N162" i="15" s="1"/>
  <c r="N321" i="15"/>
  <c r="N249" i="15" s="1"/>
  <c r="N76" i="19"/>
  <c r="M200" i="15"/>
  <c r="EW35" i="32" s="1"/>
  <c r="EW36" i="32" s="1"/>
  <c r="M330" i="15"/>
  <c r="M331" i="15"/>
  <c r="M77" i="19"/>
  <c r="I96" i="19"/>
  <c r="M80" i="19"/>
  <c r="M188" i="15"/>
  <c r="Q261" i="15"/>
  <c r="R206" i="15"/>
  <c r="Q207" i="15"/>
  <c r="Q278" i="15" s="1"/>
  <c r="R336" i="15"/>
  <c r="Q143" i="15"/>
  <c r="Q304" i="15"/>
  <c r="R326" i="15"/>
  <c r="Q303" i="15"/>
  <c r="D190" i="3"/>
  <c r="H19" i="52" l="1"/>
  <c r="H19" i="54"/>
  <c r="EW43" i="32"/>
  <c r="EW44" i="32" s="1"/>
  <c r="EZ35" i="32"/>
  <c r="L21" i="51"/>
  <c r="L21" i="49"/>
  <c r="M12" i="51"/>
  <c r="M77" i="51"/>
  <c r="O20" i="49"/>
  <c r="O67" i="49" s="1"/>
  <c r="O20" i="51"/>
  <c r="O82" i="51" s="1"/>
  <c r="N11" i="49"/>
  <c r="N62" i="49" s="1"/>
  <c r="N11" i="51"/>
  <c r="M12" i="49"/>
  <c r="P8" i="49"/>
  <c r="P9" i="49" s="1"/>
  <c r="P8" i="51"/>
  <c r="P9" i="51" s="1"/>
  <c r="E347" i="15"/>
  <c r="Q317" i="15"/>
  <c r="R298" i="15"/>
  <c r="Q160" i="45"/>
  <c r="Q183" i="45"/>
  <c r="Q137" i="45"/>
  <c r="E135" i="15"/>
  <c r="J94" i="15" s="1"/>
  <c r="L94" i="15" s="1"/>
  <c r="H257" i="15" s="1"/>
  <c r="I257" i="15" s="1"/>
  <c r="J257" i="15" s="1"/>
  <c r="K257" i="15" s="1"/>
  <c r="L257" i="15" s="1"/>
  <c r="M257" i="15" s="1"/>
  <c r="N257" i="15" s="1"/>
  <c r="O257" i="15" s="1"/>
  <c r="P257" i="15" s="1"/>
  <c r="Q257" i="15" s="1"/>
  <c r="R257" i="15" s="1"/>
  <c r="N90" i="19"/>
  <c r="O74" i="19"/>
  <c r="Q43" i="15"/>
  <c r="P45" i="15"/>
  <c r="M165" i="15"/>
  <c r="J95" i="19"/>
  <c r="O89" i="19"/>
  <c r="O158" i="15"/>
  <c r="O162" i="15" s="1"/>
  <c r="J165" i="15"/>
  <c r="N269" i="15"/>
  <c r="P161" i="15"/>
  <c r="P319" i="15"/>
  <c r="P248" i="15" s="1"/>
  <c r="P201" i="15"/>
  <c r="P160" i="15"/>
  <c r="P73" i="19"/>
  <c r="P164" i="15"/>
  <c r="Q148" i="15"/>
  <c r="P157" i="15"/>
  <c r="Q165" i="15"/>
  <c r="N165" i="15"/>
  <c r="P165" i="15"/>
  <c r="I165" i="15"/>
  <c r="K165" i="15"/>
  <c r="O165" i="15"/>
  <c r="O325" i="15"/>
  <c r="O266" i="15" s="1"/>
  <c r="O323" i="15"/>
  <c r="O250" i="15" s="1"/>
  <c r="O76" i="19"/>
  <c r="N80" i="19"/>
  <c r="O327" i="15"/>
  <c r="O267" i="15" s="1"/>
  <c r="O321" i="15"/>
  <c r="O249" i="15" s="1"/>
  <c r="O254" i="15"/>
  <c r="M82" i="19"/>
  <c r="N78" i="19"/>
  <c r="M202" i="15"/>
  <c r="G97" i="19"/>
  <c r="N331" i="15"/>
  <c r="N188" i="15"/>
  <c r="N200" i="15"/>
  <c r="M332" i="15"/>
  <c r="M334" i="15" s="1"/>
  <c r="M204" i="15" s="1"/>
  <c r="J96" i="19"/>
  <c r="N330" i="15"/>
  <c r="N77" i="19"/>
  <c r="M81" i="19"/>
  <c r="L166" i="15"/>
  <c r="L84" i="19"/>
  <c r="R261" i="15"/>
  <c r="R207" i="15"/>
  <c r="R278" i="15" s="1"/>
  <c r="R304" i="15"/>
  <c r="R303" i="15"/>
  <c r="R143" i="15"/>
  <c r="M21" i="51" l="1"/>
  <c r="M21" i="49"/>
  <c r="N12" i="49"/>
  <c r="O11" i="49"/>
  <c r="O12" i="49" s="1"/>
  <c r="O11" i="51"/>
  <c r="N77" i="51"/>
  <c r="N12" i="51"/>
  <c r="Q8" i="49"/>
  <c r="Q9" i="49" s="1"/>
  <c r="Q8" i="51"/>
  <c r="Q9" i="51" s="1"/>
  <c r="P20" i="49"/>
  <c r="P67" i="49" s="1"/>
  <c r="P20" i="51"/>
  <c r="P82" i="51" s="1"/>
  <c r="L14" i="49"/>
  <c r="L17" i="49" s="1"/>
  <c r="L65" i="49" s="1"/>
  <c r="L14" i="51"/>
  <c r="R317" i="15"/>
  <c r="R165" i="15"/>
  <c r="R160" i="45"/>
  <c r="R183" i="45"/>
  <c r="R137" i="45"/>
  <c r="O84" i="19"/>
  <c r="O90" i="19"/>
  <c r="N82" i="19"/>
  <c r="O77" i="19"/>
  <c r="P74" i="19"/>
  <c r="M84" i="19"/>
  <c r="M166" i="15"/>
  <c r="J84" i="19"/>
  <c r="K95" i="19"/>
  <c r="J166" i="15"/>
  <c r="H97" i="19"/>
  <c r="P89" i="19"/>
  <c r="N166" i="15"/>
  <c r="K166" i="15"/>
  <c r="I84" i="19"/>
  <c r="N84" i="19"/>
  <c r="P321" i="15"/>
  <c r="P249" i="15" s="1"/>
  <c r="P254" i="15"/>
  <c r="P323" i="15"/>
  <c r="P250" i="15" s="1"/>
  <c r="R148" i="15"/>
  <c r="P84" i="19"/>
  <c r="Q319" i="15"/>
  <c r="Q248" i="15" s="1"/>
  <c r="P158" i="15"/>
  <c r="P162" i="15" s="1"/>
  <c r="Q157" i="15"/>
  <c r="Q160" i="15"/>
  <c r="Q161" i="15"/>
  <c r="P76" i="19"/>
  <c r="P327" i="15"/>
  <c r="P267" i="15" s="1"/>
  <c r="P325" i="15"/>
  <c r="P266" i="15" s="1"/>
  <c r="Q201" i="15"/>
  <c r="Q164" i="15"/>
  <c r="Q73" i="19"/>
  <c r="I258" i="15"/>
  <c r="J258" i="15" s="1"/>
  <c r="K258" i="15" s="1"/>
  <c r="L258" i="15" s="1"/>
  <c r="M258" i="15" s="1"/>
  <c r="N258" i="15" s="1"/>
  <c r="O258" i="15" s="1"/>
  <c r="P258" i="15" s="1"/>
  <c r="Q258" i="15" s="1"/>
  <c r="N81" i="19"/>
  <c r="I166" i="15"/>
  <c r="I14" i="51" s="1"/>
  <c r="K84" i="19"/>
  <c r="O166" i="15"/>
  <c r="O269" i="15"/>
  <c r="O188" i="15"/>
  <c r="O200" i="15"/>
  <c r="O202" i="15" s="1"/>
  <c r="O80" i="19"/>
  <c r="O78" i="19"/>
  <c r="O331" i="15"/>
  <c r="O330" i="15"/>
  <c r="L189" i="15"/>
  <c r="N202" i="15"/>
  <c r="N332" i="15"/>
  <c r="N334" i="15" s="1"/>
  <c r="N204" i="15" s="1"/>
  <c r="L85" i="19"/>
  <c r="N21" i="51" l="1"/>
  <c r="N21" i="49"/>
  <c r="O62" i="49"/>
  <c r="L19" i="49"/>
  <c r="L66" i="49" s="1"/>
  <c r="L15" i="49"/>
  <c r="L64" i="49"/>
  <c r="Q20" i="49"/>
  <c r="Q67" i="49" s="1"/>
  <c r="Q20" i="51"/>
  <c r="Q82" i="51" s="1"/>
  <c r="K14" i="49"/>
  <c r="K15" i="49" s="1"/>
  <c r="K14" i="51"/>
  <c r="M14" i="49"/>
  <c r="M17" i="49" s="1"/>
  <c r="M65" i="49" s="1"/>
  <c r="M14" i="51"/>
  <c r="R8" i="49"/>
  <c r="T8" i="49" s="1"/>
  <c r="R8" i="51"/>
  <c r="O14" i="49"/>
  <c r="O19" i="49" s="1"/>
  <c r="O66" i="49" s="1"/>
  <c r="O14" i="51"/>
  <c r="O19" i="51" s="1"/>
  <c r="O81" i="51" s="1"/>
  <c r="I79" i="51"/>
  <c r="I15" i="51"/>
  <c r="I17" i="51"/>
  <c r="I80" i="51" s="1"/>
  <c r="I19" i="51"/>
  <c r="I81" i="51" s="1"/>
  <c r="L15" i="51"/>
  <c r="L79" i="51"/>
  <c r="L17" i="51"/>
  <c r="L80" i="51" s="1"/>
  <c r="L19" i="51"/>
  <c r="L81" i="51" s="1"/>
  <c r="P11" i="49"/>
  <c r="P12" i="49" s="1"/>
  <c r="P11" i="51"/>
  <c r="N14" i="49"/>
  <c r="N64" i="49" s="1"/>
  <c r="N14" i="51"/>
  <c r="J14" i="49"/>
  <c r="J17" i="49" s="1"/>
  <c r="J65" i="49" s="1"/>
  <c r="J14" i="51"/>
  <c r="O12" i="51"/>
  <c r="O77" i="51"/>
  <c r="I14" i="49"/>
  <c r="I64" i="49" s="1"/>
  <c r="L18" i="49"/>
  <c r="R258" i="15"/>
  <c r="B159" i="45"/>
  <c r="B182" i="45"/>
  <c r="P90" i="19"/>
  <c r="L87" i="19"/>
  <c r="O82" i="19"/>
  <c r="P77" i="19"/>
  <c r="Q74" i="19"/>
  <c r="M85" i="19"/>
  <c r="M189" i="15"/>
  <c r="J189" i="15"/>
  <c r="J85" i="19"/>
  <c r="K189" i="15"/>
  <c r="I97" i="19"/>
  <c r="K85" i="19"/>
  <c r="R201" i="15"/>
  <c r="N85" i="19"/>
  <c r="N189" i="15"/>
  <c r="Q89" i="19"/>
  <c r="P78" i="19"/>
  <c r="O189" i="15"/>
  <c r="I189" i="15"/>
  <c r="Q84" i="19"/>
  <c r="P188" i="15"/>
  <c r="P330" i="15"/>
  <c r="Q158" i="15"/>
  <c r="Q162" i="15" s="1"/>
  <c r="R319" i="15"/>
  <c r="R248" i="15" s="1"/>
  <c r="R160" i="15"/>
  <c r="R157" i="15"/>
  <c r="R161" i="15"/>
  <c r="R73" i="19"/>
  <c r="R164" i="15"/>
  <c r="P80" i="19"/>
  <c r="P166" i="15"/>
  <c r="P200" i="15"/>
  <c r="P202" i="15" s="1"/>
  <c r="Q321" i="15"/>
  <c r="Q249" i="15" s="1"/>
  <c r="Q325" i="15"/>
  <c r="Q266" i="15" s="1"/>
  <c r="Q323" i="15"/>
  <c r="Q250" i="15" s="1"/>
  <c r="Q327" i="15"/>
  <c r="Q267" i="15" s="1"/>
  <c r="P269" i="15"/>
  <c r="Q76" i="19"/>
  <c r="P331" i="15"/>
  <c r="I85" i="19"/>
  <c r="Q254" i="15"/>
  <c r="O85" i="19"/>
  <c r="O81" i="19"/>
  <c r="O332" i="15"/>
  <c r="O334" i="15" s="1"/>
  <c r="O204" i="15" s="1"/>
  <c r="O21" i="51" l="1"/>
  <c r="O21" i="49"/>
  <c r="O15" i="49"/>
  <c r="K17" i="49"/>
  <c r="K65" i="49" s="1"/>
  <c r="L18" i="51"/>
  <c r="O64" i="49"/>
  <c r="O17" i="49"/>
  <c r="O65" i="49" s="1"/>
  <c r="M64" i="49"/>
  <c r="J19" i="49"/>
  <c r="J66" i="49" s="1"/>
  <c r="J64" i="49"/>
  <c r="R9" i="49"/>
  <c r="J15" i="49"/>
  <c r="P62" i="49"/>
  <c r="M19" i="49"/>
  <c r="M66" i="49" s="1"/>
  <c r="M15" i="49"/>
  <c r="I18" i="51"/>
  <c r="K19" i="49"/>
  <c r="K66" i="49" s="1"/>
  <c r="K64" i="49"/>
  <c r="N17" i="49"/>
  <c r="N65" i="49" s="1"/>
  <c r="N79" i="51"/>
  <c r="N15" i="51"/>
  <c r="N17" i="51"/>
  <c r="N80" i="51" s="1"/>
  <c r="N19" i="51"/>
  <c r="N81" i="51" s="1"/>
  <c r="T8" i="51"/>
  <c r="R9" i="51"/>
  <c r="P12" i="51"/>
  <c r="P77" i="51"/>
  <c r="M79" i="51"/>
  <c r="M15" i="51"/>
  <c r="M17" i="51"/>
  <c r="M80" i="51" s="1"/>
  <c r="M19" i="51"/>
  <c r="M81" i="51" s="1"/>
  <c r="R20" i="49"/>
  <c r="R67" i="49" s="1"/>
  <c r="R20" i="51"/>
  <c r="R82" i="51" s="1"/>
  <c r="K15" i="51"/>
  <c r="K79" i="51"/>
  <c r="K17" i="51"/>
  <c r="K80" i="51" s="1"/>
  <c r="K19" i="51"/>
  <c r="K81" i="51" s="1"/>
  <c r="N19" i="49"/>
  <c r="N66" i="49" s="1"/>
  <c r="N15" i="49"/>
  <c r="J79" i="51"/>
  <c r="J15" i="51"/>
  <c r="J17" i="51"/>
  <c r="J80" i="51" s="1"/>
  <c r="J19" i="51"/>
  <c r="J81" i="51" s="1"/>
  <c r="O15" i="51"/>
  <c r="O79" i="51"/>
  <c r="O17" i="51"/>
  <c r="O80" i="51" s="1"/>
  <c r="P14" i="49"/>
  <c r="P17" i="49" s="1"/>
  <c r="P65" i="49" s="1"/>
  <c r="P14" i="51"/>
  <c r="Q11" i="49"/>
  <c r="Q12" i="49" s="1"/>
  <c r="Q11" i="51"/>
  <c r="I19" i="49"/>
  <c r="I66" i="49" s="1"/>
  <c r="I15" i="49"/>
  <c r="I17" i="49"/>
  <c r="I65" i="49" s="1"/>
  <c r="D45" i="50"/>
  <c r="M18" i="49"/>
  <c r="J18" i="49"/>
  <c r="M86" i="19"/>
  <c r="Q90" i="19"/>
  <c r="N87" i="19"/>
  <c r="L86" i="19"/>
  <c r="M87" i="19"/>
  <c r="J87" i="19"/>
  <c r="P82" i="19"/>
  <c r="Q78" i="19"/>
  <c r="J86" i="19"/>
  <c r="K87" i="19"/>
  <c r="K86" i="19"/>
  <c r="R89" i="19"/>
  <c r="J97" i="19"/>
  <c r="N86" i="19"/>
  <c r="O86" i="19"/>
  <c r="P189" i="15"/>
  <c r="R84" i="19"/>
  <c r="P85" i="19"/>
  <c r="P332" i="15"/>
  <c r="P334" i="15" s="1"/>
  <c r="P204" i="15" s="1"/>
  <c r="Q166" i="15"/>
  <c r="R323" i="15"/>
  <c r="R250" i="15" s="1"/>
  <c r="R325" i="15"/>
  <c r="R266" i="15" s="1"/>
  <c r="Q269" i="15"/>
  <c r="R158" i="15"/>
  <c r="R162" i="15" s="1"/>
  <c r="R321" i="15"/>
  <c r="R249" i="15" s="1"/>
  <c r="R327" i="15"/>
  <c r="R267" i="15" s="1"/>
  <c r="R74" i="19"/>
  <c r="R76" i="19"/>
  <c r="R254" i="15"/>
  <c r="P81" i="19"/>
  <c r="Q331" i="15"/>
  <c r="Q330" i="15"/>
  <c r="Q77" i="19"/>
  <c r="Q200" i="15"/>
  <c r="Q202" i="15" s="1"/>
  <c r="I87" i="19"/>
  <c r="Q80" i="19"/>
  <c r="Q188" i="15"/>
  <c r="I86" i="19"/>
  <c r="O87" i="19"/>
  <c r="G109" i="3"/>
  <c r="H109" i="3" s="1"/>
  <c r="I109" i="3" s="1"/>
  <c r="J109" i="3" s="1"/>
  <c r="K109" i="3" s="1"/>
  <c r="L109" i="3" s="1"/>
  <c r="G108" i="3"/>
  <c r="G107" i="3"/>
  <c r="G106" i="3"/>
  <c r="G105" i="3"/>
  <c r="G104" i="3"/>
  <c r="G99" i="3"/>
  <c r="G98" i="3"/>
  <c r="G97" i="3"/>
  <c r="G96" i="3"/>
  <c r="E45" i="50" l="1"/>
  <c r="F45" i="50" s="1"/>
  <c r="D50" i="50"/>
  <c r="O18" i="49"/>
  <c r="P21" i="51"/>
  <c r="P21" i="49"/>
  <c r="K18" i="49"/>
  <c r="Q62" i="49"/>
  <c r="N18" i="49"/>
  <c r="M18" i="51"/>
  <c r="P15" i="51"/>
  <c r="P79" i="51"/>
  <c r="P17" i="51"/>
  <c r="P80" i="51" s="1"/>
  <c r="J18" i="51"/>
  <c r="K18" i="51"/>
  <c r="P64" i="49"/>
  <c r="P15" i="49"/>
  <c r="O18" i="51"/>
  <c r="N18" i="51"/>
  <c r="P19" i="49"/>
  <c r="P66" i="49" s="1"/>
  <c r="Q12" i="51"/>
  <c r="Q77" i="51"/>
  <c r="P19" i="51"/>
  <c r="P81" i="51" s="1"/>
  <c r="Q14" i="49"/>
  <c r="Q19" i="49" s="1"/>
  <c r="Q66" i="49" s="1"/>
  <c r="Q14" i="51"/>
  <c r="Q19" i="51" s="1"/>
  <c r="Q81" i="51" s="1"/>
  <c r="R11" i="49"/>
  <c r="R24" i="49" s="1"/>
  <c r="R11" i="51"/>
  <c r="I18" i="49"/>
  <c r="P18" i="49"/>
  <c r="R90" i="19"/>
  <c r="P87" i="19"/>
  <c r="Q81" i="19"/>
  <c r="R78" i="19"/>
  <c r="Q189" i="15"/>
  <c r="Q85" i="19"/>
  <c r="P86" i="19"/>
  <c r="R166" i="15"/>
  <c r="R269" i="15"/>
  <c r="R77" i="19"/>
  <c r="R330" i="15"/>
  <c r="R331" i="15"/>
  <c r="R188" i="15"/>
  <c r="R200" i="15"/>
  <c r="R80" i="19"/>
  <c r="Q332" i="15"/>
  <c r="Q334" i="15" s="1"/>
  <c r="Q204" i="15" s="1"/>
  <c r="Q82" i="19"/>
  <c r="C240" i="3"/>
  <c r="D240" i="3"/>
  <c r="Q21" i="51" l="1"/>
  <c r="Q21" i="49"/>
  <c r="T11" i="49"/>
  <c r="Q64" i="49"/>
  <c r="Q17" i="49"/>
  <c r="Q65" i="49" s="1"/>
  <c r="Q15" i="49"/>
  <c r="R62" i="49"/>
  <c r="Q79" i="51"/>
  <c r="Q15" i="51"/>
  <c r="Q17" i="51"/>
  <c r="Q80" i="51" s="1"/>
  <c r="R14" i="49"/>
  <c r="T14" i="49" s="1"/>
  <c r="R14" i="51"/>
  <c r="R19" i="51" s="1"/>
  <c r="R81" i="51" s="1"/>
  <c r="R12" i="49"/>
  <c r="R24" i="51"/>
  <c r="R77" i="51"/>
  <c r="R12" i="51"/>
  <c r="T11" i="51"/>
  <c r="P18" i="51"/>
  <c r="R31" i="49"/>
  <c r="Q87" i="19"/>
  <c r="R82" i="19"/>
  <c r="Q86" i="19"/>
  <c r="R189" i="15"/>
  <c r="R85" i="19"/>
  <c r="R332" i="15"/>
  <c r="R334" i="15" s="1"/>
  <c r="R204" i="15" s="1"/>
  <c r="R81" i="19"/>
  <c r="R202" i="15"/>
  <c r="F317" i="3"/>
  <c r="G317" i="3" s="1"/>
  <c r="H317" i="3" s="1"/>
  <c r="I317" i="3" s="1"/>
  <c r="J317" i="3" s="1"/>
  <c r="K317" i="3" s="1"/>
  <c r="L317" i="3" s="1"/>
  <c r="R21" i="51" l="1"/>
  <c r="R21" i="49"/>
  <c r="F37" i="49"/>
  <c r="F31" i="49"/>
  <c r="Q18" i="49"/>
  <c r="R15" i="49"/>
  <c r="R64" i="49"/>
  <c r="Q18" i="51"/>
  <c r="R79" i="51"/>
  <c r="R15" i="51"/>
  <c r="T14" i="51"/>
  <c r="R17" i="51"/>
  <c r="R80" i="51" s="1"/>
  <c r="R19" i="49"/>
  <c r="R66" i="49" s="1"/>
  <c r="R17" i="49"/>
  <c r="R65" i="49" s="1"/>
  <c r="R86" i="19"/>
  <c r="R87" i="19"/>
  <c r="F312" i="3"/>
  <c r="G312" i="3" s="1"/>
  <c r="H312" i="3" s="1"/>
  <c r="I312" i="3" s="1"/>
  <c r="J312" i="3" s="1"/>
  <c r="K312" i="3" s="1"/>
  <c r="L312" i="3" s="1"/>
  <c r="F305" i="3"/>
  <c r="G305" i="3" s="1"/>
  <c r="H305" i="3" s="1"/>
  <c r="I305" i="3" s="1"/>
  <c r="J305" i="3" s="1"/>
  <c r="K305" i="3" s="1"/>
  <c r="L305" i="3" s="1"/>
  <c r="F298" i="3"/>
  <c r="R18" i="49" l="1"/>
  <c r="R18" i="51"/>
  <c r="G298" i="3"/>
  <c r="F290" i="3"/>
  <c r="G290" i="3" s="1"/>
  <c r="H290" i="3" s="1"/>
  <c r="I290" i="3" s="1"/>
  <c r="J290" i="3" s="1"/>
  <c r="K290" i="3" s="1"/>
  <c r="L290" i="3" s="1"/>
  <c r="H298" i="3" l="1"/>
  <c r="F287" i="3"/>
  <c r="G287" i="3" s="1"/>
  <c r="H287" i="3" s="1"/>
  <c r="I287" i="3" s="1"/>
  <c r="J287" i="3" s="1"/>
  <c r="K287" i="3" s="1"/>
  <c r="L287" i="3" s="1"/>
  <c r="I298" i="3" l="1"/>
  <c r="D280" i="3"/>
  <c r="E280" i="3"/>
  <c r="C280" i="3"/>
  <c r="D268" i="3"/>
  <c r="E268" i="3"/>
  <c r="C268" i="3"/>
  <c r="D267" i="3"/>
  <c r="G265" i="3"/>
  <c r="H265" i="3" s="1"/>
  <c r="I265" i="3" s="1"/>
  <c r="J265" i="3" s="1"/>
  <c r="K265" i="3" s="1"/>
  <c r="F264" i="3"/>
  <c r="G264" i="3" s="1"/>
  <c r="H264" i="3" s="1"/>
  <c r="I264" i="3" s="1"/>
  <c r="J264" i="3" s="1"/>
  <c r="K264" i="3" s="1"/>
  <c r="L264" i="3" s="1"/>
  <c r="G251" i="3"/>
  <c r="H251" i="3" s="1"/>
  <c r="I251" i="3" s="1"/>
  <c r="J251" i="3" s="1"/>
  <c r="K251" i="3" s="1"/>
  <c r="G249" i="3"/>
  <c r="H249" i="3" s="1"/>
  <c r="I249" i="3" s="1"/>
  <c r="J249" i="3" s="1"/>
  <c r="K249" i="3" s="1"/>
  <c r="G245" i="3"/>
  <c r="H245" i="3" s="1"/>
  <c r="I245" i="3" s="1"/>
  <c r="J245" i="3" s="1"/>
  <c r="K245" i="3" s="1"/>
  <c r="L245" i="3" s="1"/>
  <c r="G243" i="3"/>
  <c r="H243" i="3" s="1"/>
  <c r="I243" i="3" s="1"/>
  <c r="J243" i="3" s="1"/>
  <c r="K243" i="3" s="1"/>
  <c r="G241" i="3"/>
  <c r="H241" i="3" s="1"/>
  <c r="I241" i="3" s="1"/>
  <c r="J241" i="3" s="1"/>
  <c r="K241" i="3" s="1"/>
  <c r="L241" i="3" s="1"/>
  <c r="D235" i="3"/>
  <c r="E235" i="3"/>
  <c r="C235" i="3"/>
  <c r="J298" i="3" l="1"/>
  <c r="L251" i="3"/>
  <c r="L249" i="3"/>
  <c r="L265" i="3"/>
  <c r="L243" i="3"/>
  <c r="B275" i="3"/>
  <c r="B276" i="3" s="1"/>
  <c r="B277" i="3" s="1"/>
  <c r="B278" i="3" s="1"/>
  <c r="B279" i="3" s="1"/>
  <c r="C237" i="3"/>
  <c r="C252" i="3"/>
  <c r="C246" i="3"/>
  <c r="D244" i="3"/>
  <c r="D250" i="3"/>
  <c r="D248" i="3"/>
  <c r="D242" i="3"/>
  <c r="E237" i="3"/>
  <c r="D237" i="3"/>
  <c r="K298" i="3" l="1"/>
  <c r="D252" i="3"/>
  <c r="D245" i="3"/>
  <c r="C254" i="3"/>
  <c r="D246" i="3"/>
  <c r="H96" i="3"/>
  <c r="H97" i="3"/>
  <c r="I97" i="3" s="1"/>
  <c r="J97" i="3" s="1"/>
  <c r="K97" i="3" s="1"/>
  <c r="L97" i="3" s="1"/>
  <c r="H98" i="3"/>
  <c r="H104" i="3"/>
  <c r="I104" i="3" s="1"/>
  <c r="J104" i="3" s="1"/>
  <c r="K104" i="3" s="1"/>
  <c r="L104" i="3" s="1"/>
  <c r="H99" i="3"/>
  <c r="I99" i="3" s="1"/>
  <c r="J99" i="3" s="1"/>
  <c r="K99" i="3" s="1"/>
  <c r="L99" i="3" s="1"/>
  <c r="H105" i="3"/>
  <c r="I105" i="3" s="1"/>
  <c r="J105" i="3" s="1"/>
  <c r="K105" i="3" s="1"/>
  <c r="L105" i="3" s="1"/>
  <c r="H106" i="3"/>
  <c r="I106" i="3" s="1"/>
  <c r="J106" i="3" s="1"/>
  <c r="K106" i="3" s="1"/>
  <c r="L106" i="3" s="1"/>
  <c r="H108" i="3"/>
  <c r="I108" i="3" s="1"/>
  <c r="J108" i="3" s="1"/>
  <c r="K108" i="3" s="1"/>
  <c r="L108" i="3" s="1"/>
  <c r="H107" i="3"/>
  <c r="I107" i="3" s="1"/>
  <c r="J107" i="3" s="1"/>
  <c r="K107" i="3" s="1"/>
  <c r="L107" i="3" s="1"/>
  <c r="L298" i="3" l="1"/>
  <c r="I96" i="3"/>
  <c r="J96" i="3" s="1"/>
  <c r="K96" i="3" s="1"/>
  <c r="I98" i="3"/>
  <c r="J98" i="3" s="1"/>
  <c r="K98" i="3" s="1"/>
  <c r="L98" i="3" s="1"/>
  <c r="D254" i="3"/>
  <c r="D255" i="3" s="1"/>
  <c r="L96" i="3" l="1"/>
  <c r="F232" i="3"/>
  <c r="D169" i="3"/>
  <c r="C223" i="3"/>
  <c r="C76" i="6"/>
  <c r="D220" i="3"/>
  <c r="F220" i="3" s="1"/>
  <c r="E166" i="3" s="1"/>
  <c r="F166" i="3" s="1"/>
  <c r="G166" i="3" s="1"/>
  <c r="H166" i="3" s="1"/>
  <c r="I166" i="3" s="1"/>
  <c r="J166" i="3" s="1"/>
  <c r="K166" i="3" s="1"/>
  <c r="L166" i="3" s="1"/>
  <c r="F213" i="3"/>
  <c r="E159" i="3" s="1"/>
  <c r="F210" i="3"/>
  <c r="E156" i="3" s="1"/>
  <c r="F156" i="3" s="1"/>
  <c r="G156" i="3" s="1"/>
  <c r="H156" i="3" s="1"/>
  <c r="I156" i="3" s="1"/>
  <c r="J156" i="3" s="1"/>
  <c r="K156" i="3" s="1"/>
  <c r="L156" i="3" s="1"/>
  <c r="F208" i="3"/>
  <c r="E154" i="3" s="1"/>
  <c r="F154" i="3" s="1"/>
  <c r="G154" i="3" s="1"/>
  <c r="H154" i="3" s="1"/>
  <c r="I154" i="3" s="1"/>
  <c r="J154" i="3" s="1"/>
  <c r="K154" i="3" s="1"/>
  <c r="L154" i="3" s="1"/>
  <c r="D221" i="3"/>
  <c r="F221" i="3" s="1"/>
  <c r="E167" i="3" s="1"/>
  <c r="F167" i="3" s="1"/>
  <c r="G167" i="3" s="1"/>
  <c r="H167" i="3" s="1"/>
  <c r="I167" i="3" s="1"/>
  <c r="J167" i="3" s="1"/>
  <c r="K167" i="3" s="1"/>
  <c r="L167" i="3" s="1"/>
  <c r="D219" i="3"/>
  <c r="F219" i="3" s="1"/>
  <c r="E165" i="3" s="1"/>
  <c r="F165" i="3" s="1"/>
  <c r="G165" i="3" s="1"/>
  <c r="H165" i="3" s="1"/>
  <c r="I165" i="3" s="1"/>
  <c r="J165" i="3" s="1"/>
  <c r="K165" i="3" s="1"/>
  <c r="L165" i="3" s="1"/>
  <c r="D218" i="3"/>
  <c r="F218" i="3" s="1"/>
  <c r="E164" i="3" s="1"/>
  <c r="F164" i="3" s="1"/>
  <c r="G164" i="3" s="1"/>
  <c r="H164" i="3" s="1"/>
  <c r="I164" i="3" s="1"/>
  <c r="J164" i="3" s="1"/>
  <c r="K164" i="3" s="1"/>
  <c r="L164" i="3" s="1"/>
  <c r="D217" i="3"/>
  <c r="F217" i="3" s="1"/>
  <c r="E163" i="3" s="1"/>
  <c r="F163" i="3" s="1"/>
  <c r="G163" i="3" s="1"/>
  <c r="H163" i="3" s="1"/>
  <c r="I163" i="3" s="1"/>
  <c r="J163" i="3" s="1"/>
  <c r="K163" i="3" s="1"/>
  <c r="L163" i="3" s="1"/>
  <c r="D216" i="3"/>
  <c r="F216" i="3" s="1"/>
  <c r="E162" i="3" s="1"/>
  <c r="F162" i="3" s="1"/>
  <c r="G162" i="3" s="1"/>
  <c r="H162" i="3" s="1"/>
  <c r="I162" i="3" s="1"/>
  <c r="J162" i="3" s="1"/>
  <c r="K162" i="3" s="1"/>
  <c r="L162" i="3" s="1"/>
  <c r="D215" i="3"/>
  <c r="F215" i="3" s="1"/>
  <c r="E161" i="3" s="1"/>
  <c r="F161" i="3" s="1"/>
  <c r="G161" i="3" s="1"/>
  <c r="H161" i="3" s="1"/>
  <c r="I161" i="3" s="1"/>
  <c r="J161" i="3" s="1"/>
  <c r="K161" i="3" s="1"/>
  <c r="L161" i="3" s="1"/>
  <c r="D204" i="3"/>
  <c r="F204" i="3" s="1"/>
  <c r="E150" i="3" s="1"/>
  <c r="F150" i="3" s="1"/>
  <c r="G150" i="3" s="1"/>
  <c r="H150" i="3" s="1"/>
  <c r="I150" i="3" s="1"/>
  <c r="J150" i="3" s="1"/>
  <c r="K150" i="3" s="1"/>
  <c r="L150" i="3" s="1"/>
  <c r="D201" i="3"/>
  <c r="F201" i="3" s="1"/>
  <c r="E147" i="3" s="1"/>
  <c r="F147" i="3" s="1"/>
  <c r="G147" i="3" s="1"/>
  <c r="H147" i="3" s="1"/>
  <c r="I147" i="3" s="1"/>
  <c r="F200" i="3"/>
  <c r="E146" i="3" s="1"/>
  <c r="F202" i="3"/>
  <c r="E148" i="3" s="1"/>
  <c r="F148" i="3" s="1"/>
  <c r="G148" i="3" s="1"/>
  <c r="H148" i="3" s="1"/>
  <c r="I148" i="3" s="1"/>
  <c r="J148" i="3" s="1"/>
  <c r="K148" i="3" s="1"/>
  <c r="L148" i="3" s="1"/>
  <c r="F199" i="3"/>
  <c r="E145" i="3" s="1"/>
  <c r="F192" i="3"/>
  <c r="E138" i="3" s="1"/>
  <c r="F138" i="3" s="1"/>
  <c r="G138" i="3" s="1"/>
  <c r="H138" i="3" s="1"/>
  <c r="I138" i="3" s="1"/>
  <c r="J138" i="3" s="1"/>
  <c r="K138" i="3" s="1"/>
  <c r="L138" i="3" s="1"/>
  <c r="F182" i="3"/>
  <c r="E128" i="3" s="1"/>
  <c r="F183" i="3"/>
  <c r="E129" i="3" s="1"/>
  <c r="F129" i="3" s="1"/>
  <c r="G129" i="3" s="1"/>
  <c r="H129" i="3" s="1"/>
  <c r="I129" i="3" s="1"/>
  <c r="J129" i="3" s="1"/>
  <c r="K129" i="3" s="1"/>
  <c r="L129" i="3" s="1"/>
  <c r="F184" i="3"/>
  <c r="E130" i="3" s="1"/>
  <c r="F185" i="3"/>
  <c r="E131" i="3" s="1"/>
  <c r="F186" i="3"/>
  <c r="E132" i="3" s="1"/>
  <c r="F187" i="3"/>
  <c r="E133" i="3" s="1"/>
  <c r="F133" i="3" s="1"/>
  <c r="G133" i="3" s="1"/>
  <c r="H133" i="3" s="1"/>
  <c r="I133" i="3" s="1"/>
  <c r="J133" i="3" s="1"/>
  <c r="K133" i="3" s="1"/>
  <c r="L133" i="3" s="1"/>
  <c r="F159" i="3" l="1"/>
  <c r="E14" i="7"/>
  <c r="F209" i="3"/>
  <c r="E155" i="3" s="1"/>
  <c r="F155" i="3" s="1"/>
  <c r="G155" i="3" s="1"/>
  <c r="H155" i="3" s="1"/>
  <c r="I155" i="3" s="1"/>
  <c r="J155" i="3" s="1"/>
  <c r="K155" i="3" s="1"/>
  <c r="L155" i="3" s="1"/>
  <c r="F189" i="3"/>
  <c r="E135" i="3" s="1"/>
  <c r="J147" i="3"/>
  <c r="K147" i="3" s="1"/>
  <c r="L147" i="3" s="1"/>
  <c r="E240" i="3"/>
  <c r="E248" i="3"/>
  <c r="E244" i="3"/>
  <c r="E242" i="3"/>
  <c r="E250" i="3"/>
  <c r="G232" i="3"/>
  <c r="F237" i="3"/>
  <c r="C75" i="6"/>
  <c r="F203" i="3"/>
  <c r="G159" i="3" l="1"/>
  <c r="F14" i="7"/>
  <c r="E267" i="3"/>
  <c r="F274" i="3" s="1"/>
  <c r="I274" i="3"/>
  <c r="E252" i="3"/>
  <c r="E245" i="3"/>
  <c r="E246" i="3"/>
  <c r="H232" i="3"/>
  <c r="G237" i="3"/>
  <c r="E149" i="3"/>
  <c r="D149" i="3"/>
  <c r="D157" i="3" s="1"/>
  <c r="D170" i="3" s="1"/>
  <c r="D134" i="3"/>
  <c r="D141" i="3" s="1"/>
  <c r="C203" i="3"/>
  <c r="C211" i="3" s="1"/>
  <c r="C224" i="3" s="1"/>
  <c r="C188" i="3"/>
  <c r="C195" i="3" s="1"/>
  <c r="B65" i="6"/>
  <c r="C11" i="6"/>
  <c r="G274" i="3" l="1"/>
  <c r="L274" i="3"/>
  <c r="K274" i="3"/>
  <c r="D181" i="3"/>
  <c r="F181" i="3" s="1"/>
  <c r="F188" i="3" s="1"/>
  <c r="H274" i="3"/>
  <c r="J274" i="3"/>
  <c r="H159" i="3"/>
  <c r="G14" i="7"/>
  <c r="E254" i="3"/>
  <c r="D172" i="3"/>
  <c r="I232" i="3"/>
  <c r="H237" i="3"/>
  <c r="J63" i="6"/>
  <c r="I64" i="6"/>
  <c r="J64" i="6"/>
  <c r="K64" i="6" s="1"/>
  <c r="I63" i="6"/>
  <c r="K63" i="6" l="1"/>
  <c r="K65" i="6" s="1"/>
  <c r="J65" i="6"/>
  <c r="E255" i="3"/>
  <c r="E127" i="3"/>
  <c r="E11" i="7" s="1"/>
  <c r="C39" i="6" s="1"/>
  <c r="I159" i="3"/>
  <c r="H14" i="7"/>
  <c r="J232" i="3"/>
  <c r="I237" i="3"/>
  <c r="E114" i="3" l="1"/>
  <c r="F113" i="3" s="1"/>
  <c r="E134" i="3"/>
  <c r="E315" i="3"/>
  <c r="F288" i="3" s="1"/>
  <c r="J159" i="3"/>
  <c r="I14" i="7"/>
  <c r="J237" i="3"/>
  <c r="K232" i="3"/>
  <c r="E321" i="3" l="1"/>
  <c r="K159" i="3"/>
  <c r="J14" i="7"/>
  <c r="L232" i="3"/>
  <c r="K237" i="3"/>
  <c r="L159" i="3" l="1"/>
  <c r="L14" i="7" s="1"/>
  <c r="K14" i="7"/>
  <c r="L237" i="3"/>
  <c r="C226" i="3"/>
  <c r="G46" i="3"/>
  <c r="H46" i="3" s="1"/>
  <c r="I46" i="3" s="1"/>
  <c r="J46" i="3" s="1"/>
  <c r="K46" i="3" s="1"/>
  <c r="L46" i="3" s="1"/>
  <c r="G43" i="3"/>
  <c r="H43" i="3" s="1"/>
  <c r="G44" i="3"/>
  <c r="H44" i="3" s="1"/>
  <c r="I44" i="3" s="1"/>
  <c r="J44" i="3" s="1"/>
  <c r="K44" i="3" s="1"/>
  <c r="L44" i="3" s="1"/>
  <c r="F45" i="3"/>
  <c r="F191" i="3" l="1"/>
  <c r="E137" i="3" s="1"/>
  <c r="F137" i="3" s="1"/>
  <c r="G137" i="3" s="1"/>
  <c r="H137" i="3" s="1"/>
  <c r="I137" i="3" s="1"/>
  <c r="J137" i="3" s="1"/>
  <c r="K137" i="3" s="1"/>
  <c r="L137" i="3" s="1"/>
  <c r="G45" i="3"/>
  <c r="I43" i="3"/>
  <c r="H45" i="3"/>
  <c r="J43" i="3" l="1"/>
  <c r="I45" i="3"/>
  <c r="F124" i="3"/>
  <c r="G124" i="3" s="1"/>
  <c r="H124" i="3" s="1"/>
  <c r="I124" i="3" s="1"/>
  <c r="J124" i="3" s="1"/>
  <c r="K124" i="3" s="1"/>
  <c r="L124" i="3" s="1"/>
  <c r="D110" i="3"/>
  <c r="E110" i="3"/>
  <c r="C110" i="3"/>
  <c r="D45" i="3"/>
  <c r="E45" i="3"/>
  <c r="D17" i="3"/>
  <c r="D19" i="3" s="1"/>
  <c r="D234" i="3" s="1"/>
  <c r="D251" i="3" s="1"/>
  <c r="E17" i="3"/>
  <c r="E19" i="3" s="1"/>
  <c r="E234" i="3" s="1"/>
  <c r="E251" i="3" s="1"/>
  <c r="C45" i="3"/>
  <c r="F5" i="3"/>
  <c r="D10" i="3"/>
  <c r="C10" i="3"/>
  <c r="C281" i="3" s="1"/>
  <c r="E10" i="3"/>
  <c r="C17" i="3"/>
  <c r="F10" i="3" l="1"/>
  <c r="D30" i="6" s="1"/>
  <c r="C30" i="6"/>
  <c r="F5" i="8"/>
  <c r="G5" i="8" s="1"/>
  <c r="H5" i="8" s="1"/>
  <c r="I5" i="8" s="1"/>
  <c r="J5" i="8" s="1"/>
  <c r="K5" i="8" s="1"/>
  <c r="L5" i="8" s="1"/>
  <c r="D281" i="3"/>
  <c r="J45" i="3"/>
  <c r="K43" i="3"/>
  <c r="E281" i="3"/>
  <c r="E233" i="3"/>
  <c r="E241" i="3" s="1"/>
  <c r="E269" i="3"/>
  <c r="D233" i="3"/>
  <c r="D241" i="3" s="1"/>
  <c r="D269" i="3"/>
  <c r="C233" i="3"/>
  <c r="C269" i="3"/>
  <c r="E243" i="3"/>
  <c r="E249" i="3"/>
  <c r="D243" i="3"/>
  <c r="D249" i="3"/>
  <c r="E52" i="3"/>
  <c r="E49" i="3"/>
  <c r="C31" i="6" s="1"/>
  <c r="E51" i="3"/>
  <c r="D52" i="3"/>
  <c r="D51" i="3"/>
  <c r="D49" i="3"/>
  <c r="C51" i="3"/>
  <c r="C52" i="3"/>
  <c r="E20" i="3"/>
  <c r="D20" i="3"/>
  <c r="C19" i="3"/>
  <c r="C234" i="3" s="1"/>
  <c r="G5" i="3"/>
  <c r="F268" i="3" l="1"/>
  <c r="J275" i="3" s="1"/>
  <c r="H5" i="3"/>
  <c r="L43" i="3"/>
  <c r="K45" i="3"/>
  <c r="F19" i="3"/>
  <c r="F234" i="3" s="1"/>
  <c r="F233" i="3"/>
  <c r="F240" i="3" s="1"/>
  <c r="G10" i="3"/>
  <c r="F22" i="3"/>
  <c r="F23" i="3"/>
  <c r="E24" i="3"/>
  <c r="C33" i="6" s="1"/>
  <c r="E50" i="3"/>
  <c r="C20" i="3"/>
  <c r="D24" i="3"/>
  <c r="D50" i="3"/>
  <c r="E30" i="6" l="1"/>
  <c r="G275" i="3"/>
  <c r="F73" i="3"/>
  <c r="H275" i="3"/>
  <c r="K275" i="3"/>
  <c r="F87" i="3"/>
  <c r="F92" i="3" s="1"/>
  <c r="I275" i="3"/>
  <c r="F275" i="3"/>
  <c r="F280" i="3" s="1"/>
  <c r="L275" i="3"/>
  <c r="D28" i="3"/>
  <c r="D36" i="3" s="1"/>
  <c r="E28" i="3"/>
  <c r="G268" i="3"/>
  <c r="E28" i="7"/>
  <c r="E23" i="7"/>
  <c r="I5" i="3"/>
  <c r="L45" i="3"/>
  <c r="F20" i="3"/>
  <c r="F24" i="3" s="1"/>
  <c r="D33" i="6" s="1"/>
  <c r="F242" i="3"/>
  <c r="F248" i="3"/>
  <c r="F235" i="3"/>
  <c r="F244" i="3" s="1"/>
  <c r="G19" i="3"/>
  <c r="G234" i="3" s="1"/>
  <c r="G233" i="3"/>
  <c r="G240" i="3" s="1"/>
  <c r="G73" i="3" s="1"/>
  <c r="E54" i="3"/>
  <c r="C34" i="6" s="1"/>
  <c r="D54" i="3"/>
  <c r="H10" i="3"/>
  <c r="G23" i="3"/>
  <c r="G22" i="3"/>
  <c r="C24" i="3"/>
  <c r="C50" i="3"/>
  <c r="F30" i="6" l="1"/>
  <c r="F26" i="3"/>
  <c r="F66" i="3" s="1"/>
  <c r="F135" i="3" s="1"/>
  <c r="L276" i="3"/>
  <c r="G87" i="3"/>
  <c r="G92" i="3" s="1"/>
  <c r="F76" i="3"/>
  <c r="F75" i="3"/>
  <c r="F131" i="3" s="1"/>
  <c r="F74" i="3"/>
  <c r="F130" i="3" s="1"/>
  <c r="F281" i="3"/>
  <c r="J276" i="3"/>
  <c r="I276" i="3"/>
  <c r="H276" i="3"/>
  <c r="K276" i="3"/>
  <c r="G276" i="3"/>
  <c r="C28" i="3"/>
  <c r="C36" i="3" s="1"/>
  <c r="C40" i="3" s="1"/>
  <c r="E36" i="3"/>
  <c r="F23" i="7"/>
  <c r="F10" i="8" s="1"/>
  <c r="F28" i="7"/>
  <c r="J5" i="3"/>
  <c r="F128" i="3"/>
  <c r="G128" i="3" s="1"/>
  <c r="G20" i="3"/>
  <c r="G24" i="3" s="1"/>
  <c r="E33" i="6" s="1"/>
  <c r="G235" i="3"/>
  <c r="G244" i="3" s="1"/>
  <c r="G75" i="3" s="1"/>
  <c r="H268" i="3"/>
  <c r="H87" i="3" s="1"/>
  <c r="H92" i="3" s="1"/>
  <c r="I10" i="3"/>
  <c r="F250" i="3"/>
  <c r="F246" i="3"/>
  <c r="G248" i="3"/>
  <c r="G242" i="3"/>
  <c r="G74" i="3" s="1"/>
  <c r="H19" i="3"/>
  <c r="H234" i="3" s="1"/>
  <c r="H233" i="3"/>
  <c r="H240" i="3" s="1"/>
  <c r="F54" i="3"/>
  <c r="D34" i="6" s="1"/>
  <c r="C54" i="3"/>
  <c r="D55" i="3"/>
  <c r="E55" i="3"/>
  <c r="H23" i="3"/>
  <c r="H22" i="3"/>
  <c r="G280" i="3" l="1"/>
  <c r="G281" i="3" s="1"/>
  <c r="G30" i="6"/>
  <c r="G76" i="3"/>
  <c r="F145" i="3"/>
  <c r="F77" i="3"/>
  <c r="F146" i="3" s="1"/>
  <c r="H73" i="3"/>
  <c r="H128" i="3" s="1"/>
  <c r="I268" i="3"/>
  <c r="G28" i="7"/>
  <c r="G23" i="7"/>
  <c r="G10" i="8" s="1"/>
  <c r="K5" i="3"/>
  <c r="G250" i="3"/>
  <c r="H277" i="3"/>
  <c r="K277" i="3"/>
  <c r="L277" i="3"/>
  <c r="J277" i="3"/>
  <c r="G131" i="3"/>
  <c r="G130" i="3"/>
  <c r="I277" i="3"/>
  <c r="G246" i="3"/>
  <c r="H20" i="3"/>
  <c r="H24" i="3" s="1"/>
  <c r="F33" i="6" s="1"/>
  <c r="F252" i="3"/>
  <c r="F254" i="3" s="1"/>
  <c r="F255" i="3" s="1"/>
  <c r="H235" i="3"/>
  <c r="H244" i="3" s="1"/>
  <c r="H242" i="3"/>
  <c r="H248" i="3"/>
  <c r="H76" i="3" s="1"/>
  <c r="I19" i="3"/>
  <c r="I234" i="3" s="1"/>
  <c r="I233" i="3"/>
  <c r="I240" i="3" s="1"/>
  <c r="G54" i="3"/>
  <c r="E34" i="6" s="1"/>
  <c r="C55" i="3"/>
  <c r="E57" i="3"/>
  <c r="E40" i="3"/>
  <c r="E47" i="3" s="1"/>
  <c r="D40" i="3"/>
  <c r="D47" i="3" s="1"/>
  <c r="D57" i="3"/>
  <c r="I23" i="3"/>
  <c r="I22" i="3"/>
  <c r="J10" i="3"/>
  <c r="G26" i="3" l="1"/>
  <c r="G66" i="3" s="1"/>
  <c r="G135" i="3" s="1"/>
  <c r="H280" i="3"/>
  <c r="H281" i="3" s="1"/>
  <c r="H30" i="6"/>
  <c r="F149" i="3"/>
  <c r="G145" i="3"/>
  <c r="H145" i="3" s="1"/>
  <c r="F78" i="3"/>
  <c r="F257" i="3" s="1"/>
  <c r="K278" i="3"/>
  <c r="I87" i="3"/>
  <c r="I92" i="3" s="1"/>
  <c r="G77" i="3"/>
  <c r="G78" i="3" s="1"/>
  <c r="H74" i="3"/>
  <c r="H130" i="3" s="1"/>
  <c r="H75" i="3"/>
  <c r="H131" i="3" s="1"/>
  <c r="I73" i="3"/>
  <c r="I128" i="3" s="1"/>
  <c r="G252" i="3"/>
  <c r="G254" i="3" s="1"/>
  <c r="G255" i="3" s="1"/>
  <c r="J278" i="3"/>
  <c r="I278" i="3"/>
  <c r="L278" i="3"/>
  <c r="H28" i="7"/>
  <c r="H23" i="7"/>
  <c r="H10" i="8" s="1"/>
  <c r="L5" i="3"/>
  <c r="J268" i="3"/>
  <c r="K10" i="3"/>
  <c r="I20" i="3"/>
  <c r="I24" i="3" s="1"/>
  <c r="G33" i="6" s="1"/>
  <c r="I235" i="3"/>
  <c r="I244" i="3" s="1"/>
  <c r="H250" i="3"/>
  <c r="I248" i="3"/>
  <c r="I76" i="3" s="1"/>
  <c r="I242" i="3"/>
  <c r="H246" i="3"/>
  <c r="J19" i="3"/>
  <c r="J234" i="3" s="1"/>
  <c r="J233" i="3"/>
  <c r="J240" i="3" s="1"/>
  <c r="J73" i="3" s="1"/>
  <c r="H54" i="3"/>
  <c r="F34" i="6" s="1"/>
  <c r="C57" i="3"/>
  <c r="C47" i="3"/>
  <c r="J23" i="3"/>
  <c r="J22" i="3"/>
  <c r="H26" i="3" l="1"/>
  <c r="H66" i="3" s="1"/>
  <c r="H135" i="3" s="1"/>
  <c r="I280" i="3"/>
  <c r="I26" i="3" s="1"/>
  <c r="I66" i="3" s="1"/>
  <c r="I30" i="6"/>
  <c r="G146" i="3"/>
  <c r="G149" i="3" s="1"/>
  <c r="J279" i="3"/>
  <c r="J87" i="3"/>
  <c r="J92" i="3" s="1"/>
  <c r="I74" i="3"/>
  <c r="I130" i="3" s="1"/>
  <c r="H77" i="3"/>
  <c r="H78" i="3" s="1"/>
  <c r="I75" i="3"/>
  <c r="I131" i="3" s="1"/>
  <c r="I28" i="7"/>
  <c r="I23" i="7"/>
  <c r="I10" i="8" s="1"/>
  <c r="K268" i="3"/>
  <c r="K87" i="3" s="1"/>
  <c r="K92" i="3" s="1"/>
  <c r="K23" i="3"/>
  <c r="K233" i="3"/>
  <c r="K240" i="3" s="1"/>
  <c r="K22" i="3"/>
  <c r="K19" i="3"/>
  <c r="K234" i="3" s="1"/>
  <c r="L10" i="3"/>
  <c r="J128" i="3"/>
  <c r="K279" i="3"/>
  <c r="K280" i="3" s="1"/>
  <c r="L279" i="3"/>
  <c r="I145" i="3"/>
  <c r="G257" i="3"/>
  <c r="I246" i="3"/>
  <c r="J20" i="3"/>
  <c r="J24" i="3" s="1"/>
  <c r="H33" i="6" s="1"/>
  <c r="J235" i="3"/>
  <c r="J244" i="3" s="1"/>
  <c r="I250" i="3"/>
  <c r="H252" i="3"/>
  <c r="H254" i="3" s="1"/>
  <c r="H255" i="3" s="1"/>
  <c r="J248" i="3"/>
  <c r="J76" i="3" s="1"/>
  <c r="J242" i="3"/>
  <c r="I54" i="3"/>
  <c r="G34" i="6" s="1"/>
  <c r="I281" i="3" l="1"/>
  <c r="K26" i="3"/>
  <c r="K66" i="3" s="1"/>
  <c r="J280" i="3"/>
  <c r="J26" i="3" s="1"/>
  <c r="J66" i="3" s="1"/>
  <c r="J30" i="6"/>
  <c r="L30" i="6" s="1"/>
  <c r="L280" i="3"/>
  <c r="L26" i="3" s="1"/>
  <c r="L66" i="3" s="1"/>
  <c r="I135" i="3"/>
  <c r="H146" i="3"/>
  <c r="H149" i="3" s="1"/>
  <c r="K73" i="3"/>
  <c r="I252" i="3"/>
  <c r="I254" i="3" s="1"/>
  <c r="I255" i="3" s="1"/>
  <c r="I77" i="3"/>
  <c r="I78" i="3" s="1"/>
  <c r="J75" i="3"/>
  <c r="J131" i="3" s="1"/>
  <c r="J74" i="3"/>
  <c r="J28" i="7"/>
  <c r="J23" i="7"/>
  <c r="J10" i="8" s="1"/>
  <c r="K235" i="3"/>
  <c r="K244" i="3" s="1"/>
  <c r="K20" i="3"/>
  <c r="K24" i="3" s="1"/>
  <c r="I33" i="6" s="1"/>
  <c r="L23" i="3"/>
  <c r="L268" i="3"/>
  <c r="L87" i="3" s="1"/>
  <c r="L92" i="3" s="1"/>
  <c r="L233" i="3"/>
  <c r="L240" i="3" s="1"/>
  <c r="L73" i="3" s="1"/>
  <c r="L19" i="3"/>
  <c r="L234" i="3" s="1"/>
  <c r="L22" i="3"/>
  <c r="K242" i="3"/>
  <c r="K74" i="3" s="1"/>
  <c r="K248" i="3"/>
  <c r="K76" i="3" s="1"/>
  <c r="K281" i="3"/>
  <c r="J145" i="3"/>
  <c r="H257" i="3"/>
  <c r="J250" i="3"/>
  <c r="J246" i="3"/>
  <c r="J54" i="3"/>
  <c r="H34" i="6" s="1"/>
  <c r="J281" i="3" l="1"/>
  <c r="L281" i="3"/>
  <c r="J135" i="3"/>
  <c r="K135" i="3" s="1"/>
  <c r="L135" i="3" s="1"/>
  <c r="J252" i="3"/>
  <c r="J254" i="3" s="1"/>
  <c r="J77" i="3"/>
  <c r="J78" i="3" s="1"/>
  <c r="J130" i="3"/>
  <c r="K130" i="3" s="1"/>
  <c r="K75" i="3"/>
  <c r="K131" i="3" s="1"/>
  <c r="K250" i="3"/>
  <c r="K54" i="3"/>
  <c r="I34" i="6" s="1"/>
  <c r="K28" i="7"/>
  <c r="K23" i="7"/>
  <c r="K10" i="8" s="1"/>
  <c r="L235" i="3"/>
  <c r="L244" i="3" s="1"/>
  <c r="L75" i="3" s="1"/>
  <c r="L242" i="3"/>
  <c r="L74" i="3" s="1"/>
  <c r="L248" i="3"/>
  <c r="L76" i="3" s="1"/>
  <c r="K145" i="3"/>
  <c r="L20" i="3"/>
  <c r="L24" i="3" s="1"/>
  <c r="J33" i="6" s="1"/>
  <c r="L33" i="6" s="1"/>
  <c r="K246" i="3"/>
  <c r="K128" i="3"/>
  <c r="I257" i="3"/>
  <c r="I146" i="3"/>
  <c r="C112" i="3"/>
  <c r="C114" i="3" s="1"/>
  <c r="D113" i="3" s="1"/>
  <c r="D112" i="3"/>
  <c r="K252" i="3" l="1"/>
  <c r="K254" i="3" s="1"/>
  <c r="K77" i="3"/>
  <c r="K78" i="3" s="1"/>
  <c r="L23" i="7"/>
  <c r="L10" i="8" s="1"/>
  <c r="L28" i="7"/>
  <c r="L246" i="3"/>
  <c r="L250" i="3"/>
  <c r="L77" i="3" s="1"/>
  <c r="L78" i="3" s="1"/>
  <c r="L130" i="3"/>
  <c r="L128" i="3"/>
  <c r="L131" i="3"/>
  <c r="L145" i="3"/>
  <c r="J255" i="3"/>
  <c r="J257" i="3" s="1"/>
  <c r="L54" i="3"/>
  <c r="J34" i="6" s="1"/>
  <c r="J146" i="3"/>
  <c r="J149" i="3" s="1"/>
  <c r="I149" i="3"/>
  <c r="D114" i="3"/>
  <c r="D118" i="3" s="1"/>
  <c r="L252" i="3" l="1"/>
  <c r="L254" i="3" s="1"/>
  <c r="L255" i="3" s="1"/>
  <c r="K255" i="3"/>
  <c r="K257" i="3" s="1"/>
  <c r="K146" i="3"/>
  <c r="L257" i="3" l="1"/>
  <c r="K149" i="3"/>
  <c r="L146" i="3"/>
  <c r="L149" i="3" l="1"/>
  <c r="K22" i="15"/>
  <c r="E45" i="15" s="1"/>
  <c r="F45" i="15" s="1"/>
  <c r="F43" i="19" l="1"/>
  <c r="R22" i="15"/>
  <c r="I43" i="19" l="1"/>
  <c r="J108" i="15"/>
  <c r="L108" i="15" s="1"/>
  <c r="F27" i="15" l="1"/>
  <c r="L34" i="15" s="1"/>
  <c r="M5" i="53" s="1"/>
  <c r="F34" i="19"/>
  <c r="H271" i="15"/>
  <c r="C67" i="6"/>
  <c r="C63" i="6"/>
  <c r="C64" i="6" s="1"/>
  <c r="C66" i="6" s="1"/>
  <c r="K34" i="15" l="1"/>
  <c r="L5" i="53" s="1"/>
  <c r="R6" i="53" s="1"/>
  <c r="F34" i="15"/>
  <c r="C22" i="55" s="1"/>
  <c r="F18" i="19"/>
  <c r="F36" i="19"/>
  <c r="C68" i="6"/>
  <c r="C22" i="52" l="1"/>
  <c r="C22" i="54"/>
  <c r="F346" i="15"/>
  <c r="F25" i="19"/>
  <c r="C53" i="6"/>
  <c r="D55" i="6" s="1"/>
  <c r="I36" i="19"/>
  <c r="C74" i="6"/>
  <c r="C77" i="6" s="1"/>
  <c r="H74" i="6" s="1"/>
  <c r="H76" i="6" s="1"/>
  <c r="C20" i="6"/>
  <c r="C23" i="6" l="1"/>
  <c r="D222" i="3" s="1"/>
  <c r="C56" i="6"/>
  <c r="C14" i="8" s="1"/>
  <c r="F14" i="8" s="1"/>
  <c r="D56" i="6"/>
  <c r="C55" i="6"/>
  <c r="C57" i="6"/>
  <c r="E194" i="3"/>
  <c r="F194" i="3" s="1"/>
  <c r="E140" i="3" s="1"/>
  <c r="H78" i="6"/>
  <c r="C78" i="6"/>
  <c r="C79" i="6" s="1"/>
  <c r="E190" i="3" s="1"/>
  <c r="F190" i="3" s="1"/>
  <c r="K14" i="8" l="1"/>
  <c r="C13" i="8"/>
  <c r="F13" i="8" s="1"/>
  <c r="C21" i="8"/>
  <c r="C26" i="8" s="1"/>
  <c r="F55" i="6" s="1"/>
  <c r="C15" i="8"/>
  <c r="K15" i="8" s="1"/>
  <c r="J14" i="8"/>
  <c r="G14" i="8"/>
  <c r="H14" i="8"/>
  <c r="I14" i="8"/>
  <c r="L14" i="8"/>
  <c r="E136" i="3"/>
  <c r="G27" i="3"/>
  <c r="H27" i="3"/>
  <c r="I27" i="3"/>
  <c r="J27" i="3"/>
  <c r="K27" i="3"/>
  <c r="F27" i="3"/>
  <c r="L27" i="3"/>
  <c r="K13" i="8" l="1"/>
  <c r="L13" i="8"/>
  <c r="H13" i="8"/>
  <c r="J13" i="8"/>
  <c r="G15" i="8"/>
  <c r="C20" i="8"/>
  <c r="C25" i="8" s="1"/>
  <c r="F54" i="6" s="1"/>
  <c r="I13" i="8"/>
  <c r="G13" i="8"/>
  <c r="L15" i="8"/>
  <c r="C22" i="8"/>
  <c r="C27" i="8" s="1"/>
  <c r="F56" i="6" s="1"/>
  <c r="I15" i="8"/>
  <c r="H15" i="8"/>
  <c r="J15" i="8"/>
  <c r="F15" i="8"/>
  <c r="I28" i="3"/>
  <c r="I83" i="3"/>
  <c r="J28" i="3"/>
  <c r="J83" i="3"/>
  <c r="L28" i="3"/>
  <c r="L83" i="3"/>
  <c r="F83" i="3"/>
  <c r="F140" i="3" s="1"/>
  <c r="F28" i="3"/>
  <c r="F136" i="3"/>
  <c r="G136" i="3" s="1"/>
  <c r="H136" i="3" s="1"/>
  <c r="I136" i="3" s="1"/>
  <c r="J136" i="3" s="1"/>
  <c r="K136" i="3" s="1"/>
  <c r="L136" i="3" s="1"/>
  <c r="H28" i="3"/>
  <c r="H83" i="3"/>
  <c r="K28" i="3"/>
  <c r="K83" i="3"/>
  <c r="G83" i="3"/>
  <c r="G28" i="3"/>
  <c r="D57" i="6" l="1"/>
  <c r="G140" i="3"/>
  <c r="H140" i="3" s="1"/>
  <c r="I140" i="3" s="1"/>
  <c r="J140" i="3" s="1"/>
  <c r="K140" i="3" s="1"/>
  <c r="L140" i="3" s="1"/>
  <c r="G55" i="3"/>
  <c r="F55" i="3"/>
  <c r="L55" i="3"/>
  <c r="H55" i="3"/>
  <c r="J55" i="3"/>
  <c r="K55" i="3"/>
  <c r="I55" i="3"/>
  <c r="E101" i="19"/>
  <c r="O38" i="34" l="1"/>
  <c r="G346" i="15"/>
  <c r="F347" i="15"/>
  <c r="B358" i="15"/>
  <c r="I64" i="15" s="1"/>
  <c r="B117" i="19" s="1"/>
  <c r="B371" i="15"/>
  <c r="G347" i="15" l="1"/>
  <c r="F348" i="15"/>
  <c r="B372" i="15"/>
  <c r="B359" i="15"/>
  <c r="I65" i="15" s="1"/>
  <c r="B118" i="19" s="1"/>
  <c r="G348" i="15" l="1"/>
  <c r="B360" i="15"/>
  <c r="I66" i="15" s="1"/>
  <c r="B119" i="19" s="1"/>
  <c r="B373" i="15"/>
  <c r="F349" i="15"/>
  <c r="F350" i="15" l="1"/>
  <c r="G350" i="15" s="1"/>
  <c r="G349" i="15"/>
  <c r="B361" i="15"/>
  <c r="I67" i="15" s="1"/>
  <c r="B374" i="15"/>
  <c r="F351" i="15" l="1"/>
  <c r="G351" i="15" s="1"/>
  <c r="B375" i="15"/>
  <c r="B362" i="15"/>
  <c r="D396" i="15"/>
  <c r="D383" i="15"/>
  <c r="B120" i="19"/>
  <c r="M22" i="52" l="1"/>
  <c r="M22" i="55"/>
  <c r="M22" i="54"/>
  <c r="H22" i="52"/>
  <c r="I68" i="15"/>
  <c r="B121" i="19" s="1"/>
  <c r="B376" i="15"/>
  <c r="F352" i="15"/>
  <c r="B363" i="15"/>
  <c r="I69" i="15" s="1"/>
  <c r="B122" i="19" s="1"/>
  <c r="G352" i="15" l="1"/>
  <c r="B377" i="15"/>
  <c r="B364" i="15"/>
  <c r="E108" i="19"/>
  <c r="F108" i="19"/>
  <c r="G108" i="19"/>
  <c r="H108" i="19"/>
  <c r="I108" i="19"/>
  <c r="J108" i="19"/>
  <c r="H23" i="48"/>
  <c r="J25" i="48"/>
  <c r="N22" i="55" l="1"/>
  <c r="H22" i="55"/>
  <c r="N22" i="54"/>
  <c r="N22" i="52"/>
  <c r="I70" i="15"/>
  <c r="B123" i="19" s="1"/>
  <c r="J14" i="48"/>
  <c r="J18" i="48" s="1"/>
  <c r="I28" i="51" l="1"/>
  <c r="J28" i="51"/>
  <c r="K28" i="51"/>
  <c r="L28" i="51"/>
  <c r="M28" i="51"/>
  <c r="N28" i="51"/>
  <c r="O28" i="51"/>
  <c r="P28" i="51"/>
  <c r="Q28" i="51"/>
  <c r="R28" i="51"/>
  <c r="R31" i="51" s="1"/>
  <c r="F31" i="51" l="1"/>
  <c r="I23" i="51"/>
  <c r="I25" i="51" s="1"/>
  <c r="I83" i="51"/>
  <c r="J23" i="51"/>
  <c r="J30" i="51" s="1"/>
  <c r="K23" i="51"/>
  <c r="K30" i="51" s="1"/>
  <c r="L23" i="51"/>
  <c r="L30" i="51" s="1"/>
  <c r="M23" i="51"/>
  <c r="M84" i="51" s="1"/>
  <c r="N23" i="51"/>
  <c r="N30" i="51" s="1"/>
  <c r="O23" i="51"/>
  <c r="O25" i="51" s="1"/>
  <c r="P23" i="51"/>
  <c r="P25" i="51" s="1"/>
  <c r="Q23" i="51"/>
  <c r="R23" i="51"/>
  <c r="J83" i="51"/>
  <c r="K83" i="51"/>
  <c r="L83" i="51"/>
  <c r="M83" i="51"/>
  <c r="N83" i="51"/>
  <c r="O83" i="51"/>
  <c r="P83" i="51"/>
  <c r="Q83" i="51"/>
  <c r="R83" i="51"/>
  <c r="I84" i="51" l="1"/>
  <c r="I85" i="51" s="1"/>
  <c r="M30" i="51"/>
  <c r="I30" i="51"/>
  <c r="L25" i="51"/>
  <c r="L84" i="51"/>
  <c r="L85" i="51" s="1"/>
  <c r="K25" i="51"/>
  <c r="T23" i="51"/>
  <c r="K84" i="51"/>
  <c r="K85" i="51" s="1"/>
  <c r="M25" i="51"/>
  <c r="M85" i="51"/>
  <c r="J84" i="51"/>
  <c r="J85" i="51" s="1"/>
  <c r="R25" i="51"/>
  <c r="P84" i="51"/>
  <c r="P85" i="51" s="1"/>
  <c r="F66" i="51"/>
  <c r="L67" i="51" s="1"/>
  <c r="O84" i="51"/>
  <c r="O85" i="51" s="1"/>
  <c r="P30" i="51"/>
  <c r="R84" i="51"/>
  <c r="R85" i="51" s="1"/>
  <c r="O30" i="51"/>
  <c r="J25" i="51"/>
  <c r="Q25" i="51"/>
  <c r="Q30" i="51"/>
  <c r="Q84" i="51"/>
  <c r="Q85" i="51" s="1"/>
  <c r="N25" i="51"/>
  <c r="R30" i="51"/>
  <c r="N84" i="51"/>
  <c r="N85" i="51" s="1"/>
  <c r="F30" i="51" l="1"/>
  <c r="F32" i="51" s="1"/>
  <c r="U24" i="51"/>
  <c r="W24" i="51" s="1"/>
  <c r="I23" i="49"/>
  <c r="I69" i="49" s="1"/>
  <c r="I68" i="49"/>
  <c r="F51" i="51" l="1"/>
  <c r="I30" i="49"/>
  <c r="I70" i="49"/>
  <c r="I25" i="49"/>
  <c r="J23" i="49"/>
  <c r="J25" i="49" s="1"/>
  <c r="K23" i="49"/>
  <c r="K25" i="49" s="1"/>
  <c r="L23" i="49"/>
  <c r="L25" i="49" s="1"/>
  <c r="M23" i="49"/>
  <c r="E348" i="15" s="1"/>
  <c r="N23" i="49"/>
  <c r="N25" i="49" s="1"/>
  <c r="O23" i="49"/>
  <c r="O25" i="49" s="1"/>
  <c r="P23" i="49"/>
  <c r="P69" i="49" s="1"/>
  <c r="Q23" i="49"/>
  <c r="Q25" i="49" s="1"/>
  <c r="R23" i="49"/>
  <c r="R25" i="49" s="1"/>
  <c r="J68" i="49"/>
  <c r="K68" i="49"/>
  <c r="L68" i="49"/>
  <c r="M68" i="49"/>
  <c r="N68" i="49"/>
  <c r="O68" i="49"/>
  <c r="P68" i="49"/>
  <c r="Q68" i="49"/>
  <c r="R68" i="49"/>
  <c r="V352" i="15" l="1"/>
  <c r="V351" i="15"/>
  <c r="V350" i="15"/>
  <c r="V349" i="15"/>
  <c r="V348" i="15"/>
  <c r="V347" i="15"/>
  <c r="O69" i="49"/>
  <c r="O70" i="49" s="1"/>
  <c r="O30" i="49"/>
  <c r="P30" i="49"/>
  <c r="P25" i="49"/>
  <c r="Q69" i="49"/>
  <c r="Q70" i="49" s="1"/>
  <c r="P70" i="49"/>
  <c r="K69" i="49"/>
  <c r="K70" i="49" s="1"/>
  <c r="N69" i="49"/>
  <c r="N70" i="49" s="1"/>
  <c r="Q30" i="49"/>
  <c r="M69" i="49"/>
  <c r="M70" i="49" s="1"/>
  <c r="N30" i="49"/>
  <c r="M25" i="49"/>
  <c r="M30" i="49"/>
  <c r="R69" i="49"/>
  <c r="R70" i="49" s="1"/>
  <c r="J69" i="49"/>
  <c r="J70" i="49" s="1"/>
  <c r="L30" i="49"/>
  <c r="L69" i="49"/>
  <c r="L70" i="49" s="1"/>
  <c r="K30" i="49"/>
  <c r="F50" i="49"/>
  <c r="L52" i="49" s="1"/>
  <c r="T23" i="49"/>
  <c r="R30" i="49"/>
  <c r="J30" i="49"/>
  <c r="X347" i="15" l="1"/>
  <c r="H359" i="15"/>
  <c r="X348" i="15"/>
  <c r="H360" i="15"/>
  <c r="X349" i="15"/>
  <c r="H361" i="15"/>
  <c r="X350" i="15"/>
  <c r="H362" i="15"/>
  <c r="X351" i="15"/>
  <c r="H363" i="15"/>
  <c r="X352" i="15"/>
  <c r="H364" i="15"/>
  <c r="U24" i="49"/>
  <c r="W24" i="49" s="1"/>
  <c r="F30" i="49"/>
  <c r="F32" i="49" s="1"/>
  <c r="F36" i="49"/>
  <c r="F38" i="49" l="1"/>
  <c r="G36" i="49" s="1"/>
  <c r="G45" i="49" l="1"/>
  <c r="G38" i="49"/>
  <c r="F40" i="49"/>
  <c r="F42" i="49" s="1"/>
  <c r="G37" i="49"/>
  <c r="F45" i="49"/>
  <c r="L47" i="49" s="1"/>
  <c r="L37" i="49" l="1"/>
  <c r="F43" i="49"/>
  <c r="L42" i="49" s="1"/>
  <c r="V346" i="15"/>
  <c r="X346" i="15" l="1"/>
  <c r="H358" i="15"/>
  <c r="D33" i="52"/>
  <c r="H32" i="54"/>
  <c r="H33" i="54" s="1"/>
  <c r="C12" i="54"/>
  <c r="D12" i="54"/>
  <c r="E12" i="54"/>
  <c r="F12" i="54"/>
  <c r="G12" i="54"/>
  <c r="H12" i="54"/>
  <c r="C13" i="54"/>
  <c r="D13" i="54"/>
  <c r="E13" i="54"/>
  <c r="F13" i="54"/>
  <c r="G13" i="54"/>
  <c r="H13" i="54"/>
  <c r="I35" i="51" l="1"/>
  <c r="J35" i="51"/>
  <c r="K35" i="51"/>
  <c r="L35" i="51"/>
  <c r="M35" i="51"/>
  <c r="N35" i="51"/>
  <c r="O35" i="51"/>
  <c r="P35" i="51"/>
  <c r="Q35" i="51"/>
  <c r="R35" i="51"/>
  <c r="I36" i="51"/>
  <c r="J36" i="51"/>
  <c r="K36" i="51"/>
  <c r="L36" i="51"/>
  <c r="M36" i="51"/>
  <c r="N36" i="51"/>
  <c r="O36" i="51"/>
  <c r="P36" i="51"/>
  <c r="Q36" i="51"/>
  <c r="R36" i="51"/>
  <c r="I37" i="51"/>
  <c r="J37" i="51"/>
  <c r="K37" i="51"/>
  <c r="L37" i="51"/>
  <c r="M37" i="51"/>
  <c r="N37" i="51"/>
  <c r="O37" i="51"/>
  <c r="P37" i="51"/>
  <c r="Q37" i="51"/>
  <c r="R37" i="51"/>
  <c r="R38" i="51"/>
  <c r="F43" i="51"/>
  <c r="I43" i="51"/>
  <c r="J43" i="51"/>
  <c r="K43" i="51"/>
  <c r="L43" i="51"/>
  <c r="M43" i="51"/>
  <c r="N43" i="51"/>
  <c r="O43" i="51"/>
  <c r="P43" i="51"/>
  <c r="Q43" i="51"/>
  <c r="R43" i="51"/>
  <c r="F44" i="51"/>
  <c r="R44" i="51"/>
  <c r="F45" i="51"/>
  <c r="F47" i="51"/>
  <c r="G51" i="51"/>
  <c r="F52" i="51"/>
  <c r="G52" i="51"/>
  <c r="L52" i="51"/>
  <c r="F53" i="51"/>
  <c r="G53" i="51"/>
  <c r="F55" i="51"/>
  <c r="F57" i="51"/>
  <c r="L57" i="51"/>
  <c r="F58" i="51"/>
  <c r="F60" i="51"/>
  <c r="G60" i="51"/>
  <c r="L62" i="51"/>
  <c r="GW8" i="32"/>
  <c r="GW10" i="32"/>
  <c r="GW12" i="32"/>
  <c r="GW15" i="32"/>
  <c r="L14" i="15"/>
  <c r="K15" i="15"/>
  <c r="L15" i="15"/>
  <c r="K16" i="15"/>
  <c r="K17" i="15"/>
  <c r="R17" i="15"/>
  <c r="T17" i="15"/>
  <c r="K18" i="15"/>
  <c r="K20" i="15"/>
  <c r="L20" i="15"/>
  <c r="R20" i="15"/>
  <c r="L22" i="15"/>
  <c r="K24" i="15"/>
  <c r="L24" i="15"/>
  <c r="R24" i="15"/>
  <c r="F29" i="15"/>
  <c r="F30" i="15"/>
  <c r="F35" i="15"/>
  <c r="K35" i="15"/>
  <c r="L35" i="15"/>
  <c r="E42" i="15"/>
  <c r="F42" i="15"/>
  <c r="G42" i="15"/>
  <c r="E43" i="15"/>
  <c r="F43" i="15"/>
  <c r="G43" i="15"/>
  <c r="E44" i="15"/>
  <c r="F44" i="15"/>
  <c r="G44" i="15"/>
  <c r="G45" i="15"/>
  <c r="E46" i="15"/>
  <c r="F46" i="15"/>
  <c r="G46" i="15"/>
  <c r="L47" i="15"/>
  <c r="M47" i="15"/>
  <c r="N47" i="15"/>
  <c r="O47" i="15"/>
  <c r="P47" i="15"/>
  <c r="Q47" i="15"/>
  <c r="L49" i="15"/>
  <c r="M49" i="15"/>
  <c r="N49" i="15"/>
  <c r="O49" i="15"/>
  <c r="P49" i="15"/>
  <c r="K51" i="15"/>
  <c r="L51" i="15"/>
  <c r="M51" i="15"/>
  <c r="N51" i="15"/>
  <c r="O51" i="15"/>
  <c r="P51" i="15"/>
  <c r="S51" i="15"/>
  <c r="L52" i="15"/>
  <c r="M52" i="15"/>
  <c r="N52" i="15"/>
  <c r="O52" i="15"/>
  <c r="P52" i="15"/>
  <c r="K53" i="15"/>
  <c r="L53" i="15"/>
  <c r="M53" i="15"/>
  <c r="N53" i="15"/>
  <c r="O53" i="15"/>
  <c r="P53" i="15"/>
  <c r="K55" i="15"/>
  <c r="L55" i="15"/>
  <c r="M55" i="15"/>
  <c r="N55" i="15"/>
  <c r="O55" i="15"/>
  <c r="P55" i="15"/>
  <c r="D56" i="15"/>
  <c r="F56" i="15"/>
  <c r="G56" i="15"/>
  <c r="L56" i="15"/>
  <c r="M56" i="15"/>
  <c r="N56" i="15"/>
  <c r="O56" i="15"/>
  <c r="P56" i="15"/>
  <c r="F57" i="15"/>
  <c r="L57" i="15"/>
  <c r="M57" i="15"/>
  <c r="N57" i="15"/>
  <c r="O57" i="15"/>
  <c r="P57" i="15"/>
  <c r="D58" i="15"/>
  <c r="F58" i="15"/>
  <c r="G58" i="15"/>
  <c r="L58" i="15"/>
  <c r="M58" i="15"/>
  <c r="N58" i="15"/>
  <c r="O58" i="15"/>
  <c r="P58" i="15"/>
  <c r="E62" i="15"/>
  <c r="E63" i="15"/>
  <c r="E64" i="15"/>
  <c r="K64" i="15"/>
  <c r="M64" i="15"/>
  <c r="O64" i="15"/>
  <c r="Q64" i="15"/>
  <c r="E65" i="15"/>
  <c r="K65" i="15"/>
  <c r="M65" i="15"/>
  <c r="O65" i="15"/>
  <c r="Q65" i="15"/>
  <c r="K66" i="15"/>
  <c r="M66" i="15"/>
  <c r="O66" i="15"/>
  <c r="Q66" i="15"/>
  <c r="K67" i="15"/>
  <c r="M67" i="15"/>
  <c r="O67" i="15"/>
  <c r="Q67" i="15"/>
  <c r="K68" i="15"/>
  <c r="M68" i="15"/>
  <c r="O68" i="15"/>
  <c r="Q68" i="15"/>
  <c r="K69" i="15"/>
  <c r="M69" i="15"/>
  <c r="O69" i="15"/>
  <c r="Q69" i="15"/>
  <c r="K70" i="15"/>
  <c r="M70" i="15"/>
  <c r="O70" i="15"/>
  <c r="Q70" i="15"/>
  <c r="J96" i="15"/>
  <c r="L96" i="15"/>
  <c r="L100" i="15"/>
  <c r="J109" i="15"/>
  <c r="L109" i="15"/>
  <c r="J110" i="15"/>
  <c r="L110" i="15"/>
  <c r="J111" i="15"/>
  <c r="L111" i="15"/>
  <c r="L112" i="15"/>
  <c r="L117" i="15"/>
  <c r="J122" i="15"/>
  <c r="L122" i="15"/>
  <c r="L124" i="15"/>
  <c r="L126" i="15"/>
  <c r="L127" i="15"/>
  <c r="I169" i="15"/>
  <c r="J169" i="15"/>
  <c r="K169" i="15"/>
  <c r="L169" i="15"/>
  <c r="M169" i="15"/>
  <c r="N169" i="15"/>
  <c r="O169" i="15"/>
  <c r="P169" i="15"/>
  <c r="Q169" i="15"/>
  <c r="R169" i="15"/>
  <c r="T169" i="15"/>
  <c r="I170" i="15"/>
  <c r="J170" i="15"/>
  <c r="K170" i="15"/>
  <c r="L170" i="15"/>
  <c r="M170" i="15"/>
  <c r="N170" i="15"/>
  <c r="O170" i="15"/>
  <c r="P170" i="15"/>
  <c r="Q170" i="15"/>
  <c r="R170" i="15"/>
  <c r="T170" i="15"/>
  <c r="I171" i="15"/>
  <c r="J171" i="15"/>
  <c r="K171" i="15"/>
  <c r="L171" i="15"/>
  <c r="M171" i="15"/>
  <c r="N171" i="15"/>
  <c r="O171" i="15"/>
  <c r="P171" i="15"/>
  <c r="Q171" i="15"/>
  <c r="R171" i="15"/>
  <c r="I172" i="15"/>
  <c r="J172" i="15"/>
  <c r="K172" i="15"/>
  <c r="L172" i="15"/>
  <c r="M172" i="15"/>
  <c r="N172" i="15"/>
  <c r="O172" i="15"/>
  <c r="P172" i="15"/>
  <c r="Q172" i="15"/>
  <c r="R172" i="15"/>
  <c r="I174" i="15"/>
  <c r="J174" i="15"/>
  <c r="K174" i="15"/>
  <c r="L174" i="15"/>
  <c r="M174" i="15"/>
  <c r="N174" i="15"/>
  <c r="O174" i="15"/>
  <c r="P174" i="15"/>
  <c r="Q174" i="15"/>
  <c r="R174" i="15"/>
  <c r="I176" i="15"/>
  <c r="J176" i="15"/>
  <c r="K176" i="15"/>
  <c r="L176" i="15"/>
  <c r="M176" i="15"/>
  <c r="N176" i="15"/>
  <c r="O176" i="15"/>
  <c r="P176" i="15"/>
  <c r="Q176" i="15"/>
  <c r="R176" i="15"/>
  <c r="I177" i="15"/>
  <c r="J177" i="15"/>
  <c r="K177" i="15"/>
  <c r="L177" i="15"/>
  <c r="M177" i="15"/>
  <c r="N177" i="15"/>
  <c r="O177" i="15"/>
  <c r="P177" i="15"/>
  <c r="Q177" i="15"/>
  <c r="R177" i="15"/>
  <c r="I181" i="15"/>
  <c r="J181" i="15"/>
  <c r="K181" i="15"/>
  <c r="L181" i="15"/>
  <c r="M181" i="15"/>
  <c r="N181" i="15"/>
  <c r="O181" i="15"/>
  <c r="P181" i="15"/>
  <c r="Q181" i="15"/>
  <c r="R181" i="15"/>
  <c r="I205" i="15"/>
  <c r="J205" i="15"/>
  <c r="K205" i="15"/>
  <c r="L205" i="15"/>
  <c r="M205" i="15"/>
  <c r="N205" i="15"/>
  <c r="O205" i="15"/>
  <c r="P205" i="15"/>
  <c r="Q205" i="15"/>
  <c r="R205" i="15"/>
  <c r="I208" i="15"/>
  <c r="J208" i="15"/>
  <c r="K208" i="15"/>
  <c r="L208" i="15"/>
  <c r="M208" i="15"/>
  <c r="N208" i="15"/>
  <c r="O208" i="15"/>
  <c r="P208" i="15"/>
  <c r="Q208" i="15"/>
  <c r="R208" i="15"/>
  <c r="J209" i="15"/>
  <c r="K209" i="15"/>
  <c r="L209" i="15"/>
  <c r="M209" i="15"/>
  <c r="N209" i="15"/>
  <c r="O209" i="15"/>
  <c r="P209" i="15"/>
  <c r="Q209" i="15"/>
  <c r="R209" i="15"/>
  <c r="I210" i="15"/>
  <c r="J210" i="15"/>
  <c r="K210" i="15"/>
  <c r="L210" i="15"/>
  <c r="M210" i="15"/>
  <c r="N210" i="15"/>
  <c r="O210" i="15"/>
  <c r="P210" i="15"/>
  <c r="Q210" i="15"/>
  <c r="R210" i="15"/>
  <c r="I212" i="15"/>
  <c r="J212" i="15"/>
  <c r="K212" i="15"/>
  <c r="L212" i="15"/>
  <c r="M212" i="15"/>
  <c r="N212" i="15"/>
  <c r="O212" i="15"/>
  <c r="P212" i="15"/>
  <c r="Q212" i="15"/>
  <c r="R212" i="15"/>
  <c r="I214" i="15"/>
  <c r="J214" i="15"/>
  <c r="K214" i="15"/>
  <c r="L214" i="15"/>
  <c r="M214" i="15"/>
  <c r="N214" i="15"/>
  <c r="O214" i="15"/>
  <c r="P214" i="15"/>
  <c r="Q214" i="15"/>
  <c r="R214" i="15"/>
  <c r="I215" i="15"/>
  <c r="J215" i="15"/>
  <c r="K215" i="15"/>
  <c r="L215" i="15"/>
  <c r="M215" i="15"/>
  <c r="N215" i="15"/>
  <c r="O215" i="15"/>
  <c r="P215" i="15"/>
  <c r="Q215" i="15"/>
  <c r="R215" i="15"/>
  <c r="I216" i="15"/>
  <c r="J216" i="15"/>
  <c r="K216" i="15"/>
  <c r="L216" i="15"/>
  <c r="M216" i="15"/>
  <c r="N216" i="15"/>
  <c r="O216" i="15"/>
  <c r="P216" i="15"/>
  <c r="Q216" i="15"/>
  <c r="R216" i="15"/>
  <c r="I218" i="15"/>
  <c r="J218" i="15"/>
  <c r="K218" i="15"/>
  <c r="L218" i="15"/>
  <c r="M218" i="15"/>
  <c r="N218" i="15"/>
  <c r="O218" i="15"/>
  <c r="P218" i="15"/>
  <c r="Q218" i="15"/>
  <c r="R218" i="15"/>
  <c r="I219" i="15"/>
  <c r="J219" i="15"/>
  <c r="K219" i="15"/>
  <c r="L219" i="15"/>
  <c r="M219" i="15"/>
  <c r="N219" i="15"/>
  <c r="O219" i="15"/>
  <c r="P219" i="15"/>
  <c r="Q219" i="15"/>
  <c r="R219" i="15"/>
  <c r="I220" i="15"/>
  <c r="J220" i="15"/>
  <c r="K220" i="15"/>
  <c r="L220" i="15"/>
  <c r="M220" i="15"/>
  <c r="N220" i="15"/>
  <c r="O220" i="15"/>
  <c r="P220" i="15"/>
  <c r="Q220" i="15"/>
  <c r="R220" i="15"/>
  <c r="I221" i="15"/>
  <c r="J221" i="15"/>
  <c r="K221" i="15"/>
  <c r="L221" i="15"/>
  <c r="M221" i="15"/>
  <c r="N221" i="15"/>
  <c r="O221" i="15"/>
  <c r="P221" i="15"/>
  <c r="Q221" i="15"/>
  <c r="R221" i="15"/>
  <c r="I223" i="15"/>
  <c r="J223" i="15"/>
  <c r="K223" i="15"/>
  <c r="L223" i="15"/>
  <c r="M223" i="15"/>
  <c r="N223" i="15"/>
  <c r="O223" i="15"/>
  <c r="P223" i="15"/>
  <c r="Q223" i="15"/>
  <c r="R223" i="15"/>
  <c r="I225" i="15"/>
  <c r="J225" i="15"/>
  <c r="K225" i="15"/>
  <c r="L225" i="15"/>
  <c r="M225" i="15"/>
  <c r="N225" i="15"/>
  <c r="O225" i="15"/>
  <c r="P225" i="15"/>
  <c r="Q225" i="15"/>
  <c r="R225" i="15"/>
  <c r="H228" i="15"/>
  <c r="I228" i="15"/>
  <c r="J228" i="15"/>
  <c r="K228" i="15"/>
  <c r="L228" i="15"/>
  <c r="M228" i="15"/>
  <c r="N228" i="15"/>
  <c r="O228" i="15"/>
  <c r="P228" i="15"/>
  <c r="Q228" i="15"/>
  <c r="R228" i="15"/>
  <c r="H229" i="15"/>
  <c r="I229" i="15"/>
  <c r="J229" i="15"/>
  <c r="K229" i="15"/>
  <c r="L229" i="15"/>
  <c r="M229" i="15"/>
  <c r="N229" i="15"/>
  <c r="O229" i="15"/>
  <c r="P229" i="15"/>
  <c r="Q229" i="15"/>
  <c r="R229" i="15"/>
  <c r="I230" i="15"/>
  <c r="J230" i="15"/>
  <c r="K230" i="15"/>
  <c r="L230" i="15"/>
  <c r="M230" i="15"/>
  <c r="N230" i="15"/>
  <c r="O230" i="15"/>
  <c r="P230" i="15"/>
  <c r="Q230" i="15"/>
  <c r="R230" i="15"/>
  <c r="I231" i="15"/>
  <c r="J231" i="15"/>
  <c r="K231" i="15"/>
  <c r="L231" i="15"/>
  <c r="M231" i="15"/>
  <c r="N231" i="15"/>
  <c r="O231" i="15"/>
  <c r="P231" i="15"/>
  <c r="Q231" i="15"/>
  <c r="R231" i="15"/>
  <c r="J234" i="15"/>
  <c r="K234" i="15"/>
  <c r="L234" i="15"/>
  <c r="M234" i="15"/>
  <c r="N234" i="15"/>
  <c r="O234" i="15"/>
  <c r="P234" i="15"/>
  <c r="Q234" i="15"/>
  <c r="R234" i="15"/>
  <c r="I235" i="15"/>
  <c r="J235" i="15"/>
  <c r="K235" i="15"/>
  <c r="L235" i="15"/>
  <c r="M235" i="15"/>
  <c r="N235" i="15"/>
  <c r="O235" i="15"/>
  <c r="P235" i="15"/>
  <c r="Q235" i="15"/>
  <c r="R235" i="15"/>
  <c r="I236" i="15"/>
  <c r="J236" i="15"/>
  <c r="K236" i="15"/>
  <c r="L236" i="15"/>
  <c r="M236" i="15"/>
  <c r="N236" i="15"/>
  <c r="O236" i="15"/>
  <c r="P236" i="15"/>
  <c r="Q236" i="15"/>
  <c r="R236" i="15"/>
  <c r="I237" i="15"/>
  <c r="J237" i="15"/>
  <c r="K237" i="15"/>
  <c r="L237" i="15"/>
  <c r="M237" i="15"/>
  <c r="N237" i="15"/>
  <c r="O237" i="15"/>
  <c r="P237" i="15"/>
  <c r="Q237" i="15"/>
  <c r="R237" i="15"/>
  <c r="I247" i="15"/>
  <c r="J247" i="15"/>
  <c r="K247" i="15"/>
  <c r="L247" i="15"/>
  <c r="M247" i="15"/>
  <c r="N247" i="15"/>
  <c r="O247" i="15"/>
  <c r="P247" i="15"/>
  <c r="Q247" i="15"/>
  <c r="R247" i="15"/>
  <c r="I252" i="15"/>
  <c r="J252" i="15"/>
  <c r="K252" i="15"/>
  <c r="L252" i="15"/>
  <c r="M252" i="15"/>
  <c r="N252" i="15"/>
  <c r="O252" i="15"/>
  <c r="P252" i="15"/>
  <c r="Q252" i="15"/>
  <c r="R252" i="15"/>
  <c r="H259" i="15"/>
  <c r="I259" i="15"/>
  <c r="J259" i="15"/>
  <c r="K259" i="15"/>
  <c r="L259" i="15"/>
  <c r="M259" i="15"/>
  <c r="N259" i="15"/>
  <c r="O259" i="15"/>
  <c r="P259" i="15"/>
  <c r="Q259" i="15"/>
  <c r="R259" i="15"/>
  <c r="I260" i="15"/>
  <c r="J260" i="15"/>
  <c r="K260" i="15"/>
  <c r="L260" i="15"/>
  <c r="M260" i="15"/>
  <c r="N260" i="15"/>
  <c r="O260" i="15"/>
  <c r="P260" i="15"/>
  <c r="Q260" i="15"/>
  <c r="R260" i="15"/>
  <c r="H263" i="15"/>
  <c r="I263" i="15"/>
  <c r="J263" i="15"/>
  <c r="K263" i="15"/>
  <c r="L263" i="15"/>
  <c r="M263" i="15"/>
  <c r="N263" i="15"/>
  <c r="O263" i="15"/>
  <c r="P263" i="15"/>
  <c r="Q263" i="15"/>
  <c r="R263" i="15"/>
  <c r="I271" i="15"/>
  <c r="J271" i="15"/>
  <c r="K271" i="15"/>
  <c r="L271" i="15"/>
  <c r="M271" i="15"/>
  <c r="N271" i="15"/>
  <c r="O271" i="15"/>
  <c r="P271" i="15"/>
  <c r="Q271" i="15"/>
  <c r="R271" i="15"/>
  <c r="H272" i="15"/>
  <c r="I272" i="15"/>
  <c r="J272" i="15"/>
  <c r="K272" i="15"/>
  <c r="L272" i="15"/>
  <c r="M272" i="15"/>
  <c r="N272" i="15"/>
  <c r="O272" i="15"/>
  <c r="P272" i="15"/>
  <c r="Q272" i="15"/>
  <c r="R272" i="15"/>
  <c r="H273" i="15"/>
  <c r="I273" i="15"/>
  <c r="J273" i="15"/>
  <c r="K273" i="15"/>
  <c r="L273" i="15"/>
  <c r="M273" i="15"/>
  <c r="N273" i="15"/>
  <c r="O273" i="15"/>
  <c r="P273" i="15"/>
  <c r="Q273" i="15"/>
  <c r="R273" i="15"/>
  <c r="H274" i="15"/>
  <c r="I274" i="15"/>
  <c r="J274" i="15"/>
  <c r="K274" i="15"/>
  <c r="L274" i="15"/>
  <c r="M274" i="15"/>
  <c r="N274" i="15"/>
  <c r="O274" i="15"/>
  <c r="P274" i="15"/>
  <c r="Q274" i="15"/>
  <c r="R274" i="15"/>
  <c r="H275" i="15"/>
  <c r="I275" i="15"/>
  <c r="J275" i="15"/>
  <c r="K275" i="15"/>
  <c r="L275" i="15"/>
  <c r="M275" i="15"/>
  <c r="N275" i="15"/>
  <c r="O275" i="15"/>
  <c r="P275" i="15"/>
  <c r="Q275" i="15"/>
  <c r="R275" i="15"/>
  <c r="H280" i="15"/>
  <c r="I280" i="15"/>
  <c r="J280" i="15"/>
  <c r="K280" i="15"/>
  <c r="L280" i="15"/>
  <c r="M280" i="15"/>
  <c r="N280" i="15"/>
  <c r="O280" i="15"/>
  <c r="P280" i="15"/>
  <c r="Q280" i="15"/>
  <c r="R280" i="15"/>
  <c r="H285" i="15"/>
  <c r="I285" i="15"/>
  <c r="J285" i="15"/>
  <c r="K285" i="15"/>
  <c r="L285" i="15"/>
  <c r="M285" i="15"/>
  <c r="N285" i="15"/>
  <c r="O285" i="15"/>
  <c r="P285" i="15"/>
  <c r="Q285" i="15"/>
  <c r="R285" i="15"/>
  <c r="H287" i="15"/>
  <c r="I287" i="15"/>
  <c r="J287" i="15"/>
  <c r="K287" i="15"/>
  <c r="L287" i="15"/>
  <c r="M287" i="15"/>
  <c r="N287" i="15"/>
  <c r="O287" i="15"/>
  <c r="P287" i="15"/>
  <c r="Q287" i="15"/>
  <c r="R287" i="15"/>
  <c r="H289" i="15"/>
  <c r="I289" i="15"/>
  <c r="J289" i="15"/>
  <c r="K289" i="15"/>
  <c r="L289" i="15"/>
  <c r="M289" i="15"/>
  <c r="N289" i="15"/>
  <c r="O289" i="15"/>
  <c r="P289" i="15"/>
  <c r="Q289" i="15"/>
  <c r="R289" i="15"/>
  <c r="H290" i="15"/>
  <c r="I290" i="15"/>
  <c r="J290" i="15"/>
  <c r="K290" i="15"/>
  <c r="L290" i="15"/>
  <c r="M290" i="15"/>
  <c r="N290" i="15"/>
  <c r="O290" i="15"/>
  <c r="P290" i="15"/>
  <c r="Q290" i="15"/>
  <c r="R290" i="15"/>
  <c r="I307" i="15"/>
  <c r="J307" i="15"/>
  <c r="K307" i="15"/>
  <c r="L307" i="15"/>
  <c r="M307" i="15"/>
  <c r="N307" i="15"/>
  <c r="O307" i="15"/>
  <c r="P307" i="15"/>
  <c r="Q307" i="15"/>
  <c r="R307" i="15"/>
  <c r="I308" i="15"/>
  <c r="J308" i="15"/>
  <c r="K308" i="15"/>
  <c r="L308" i="15"/>
  <c r="M308" i="15"/>
  <c r="N308" i="15"/>
  <c r="O308" i="15"/>
  <c r="P308" i="15"/>
  <c r="Q308" i="15"/>
  <c r="R308" i="15"/>
  <c r="I309" i="15"/>
  <c r="J309" i="15"/>
  <c r="K309" i="15"/>
  <c r="L309" i="15"/>
  <c r="M309" i="15"/>
  <c r="N309" i="15"/>
  <c r="O309" i="15"/>
  <c r="P309" i="15"/>
  <c r="Q309" i="15"/>
  <c r="R309" i="15"/>
  <c r="I310" i="15"/>
  <c r="J310" i="15"/>
  <c r="K310" i="15"/>
  <c r="L310" i="15"/>
  <c r="M310" i="15"/>
  <c r="N310" i="15"/>
  <c r="O310" i="15"/>
  <c r="P310" i="15"/>
  <c r="Q310" i="15"/>
  <c r="R310" i="15"/>
  <c r="I311" i="15"/>
  <c r="J311" i="15"/>
  <c r="K311" i="15"/>
  <c r="L311" i="15"/>
  <c r="M311" i="15"/>
  <c r="N311" i="15"/>
  <c r="O311" i="15"/>
  <c r="P311" i="15"/>
  <c r="Q311" i="15"/>
  <c r="R311" i="15"/>
  <c r="I312" i="15"/>
  <c r="J312" i="15"/>
  <c r="K312" i="15"/>
  <c r="L312" i="15"/>
  <c r="M312" i="15"/>
  <c r="N312" i="15"/>
  <c r="O312" i="15"/>
  <c r="P312" i="15"/>
  <c r="Q312" i="15"/>
  <c r="R312" i="15"/>
  <c r="I314" i="15"/>
  <c r="J314" i="15"/>
  <c r="K314" i="15"/>
  <c r="L314" i="15"/>
  <c r="M314" i="15"/>
  <c r="N314" i="15"/>
  <c r="O314" i="15"/>
  <c r="P314" i="15"/>
  <c r="Q314" i="15"/>
  <c r="R314" i="15"/>
  <c r="H346" i="15"/>
  <c r="I346" i="15"/>
  <c r="J346" i="15"/>
  <c r="K346" i="15"/>
  <c r="L346" i="15"/>
  <c r="M346" i="15"/>
  <c r="N346" i="15"/>
  <c r="P346" i="15"/>
  <c r="Q346" i="15"/>
  <c r="R346" i="15"/>
  <c r="T346" i="15"/>
  <c r="H347" i="15"/>
  <c r="I347" i="15"/>
  <c r="J347" i="15"/>
  <c r="K347" i="15"/>
  <c r="L347" i="15"/>
  <c r="M347" i="15"/>
  <c r="N347" i="15"/>
  <c r="P347" i="15"/>
  <c r="Q347" i="15"/>
  <c r="R347" i="15"/>
  <c r="T347" i="15"/>
  <c r="H348" i="15"/>
  <c r="I348" i="15"/>
  <c r="J348" i="15"/>
  <c r="K348" i="15"/>
  <c r="L348" i="15"/>
  <c r="M348" i="15"/>
  <c r="N348" i="15"/>
  <c r="P348" i="15"/>
  <c r="Q348" i="15"/>
  <c r="R348" i="15"/>
  <c r="T348" i="15"/>
  <c r="E349" i="15"/>
  <c r="H349" i="15"/>
  <c r="I349" i="15"/>
  <c r="J349" i="15"/>
  <c r="K349" i="15"/>
  <c r="L349" i="15"/>
  <c r="M349" i="15"/>
  <c r="N349" i="15"/>
  <c r="P349" i="15"/>
  <c r="Q349" i="15"/>
  <c r="R349" i="15"/>
  <c r="T349" i="15"/>
  <c r="E350" i="15"/>
  <c r="H350" i="15"/>
  <c r="I350" i="15"/>
  <c r="J350" i="15"/>
  <c r="K350" i="15"/>
  <c r="L350" i="15"/>
  <c r="M350" i="15"/>
  <c r="N350" i="15"/>
  <c r="P350" i="15"/>
  <c r="Q350" i="15"/>
  <c r="R350" i="15"/>
  <c r="T350" i="15"/>
  <c r="H351" i="15"/>
  <c r="I351" i="15"/>
  <c r="J351" i="15"/>
  <c r="K351" i="15"/>
  <c r="L351" i="15"/>
  <c r="M351" i="15"/>
  <c r="N351" i="15"/>
  <c r="P351" i="15"/>
  <c r="Q351" i="15"/>
  <c r="R351" i="15"/>
  <c r="T351" i="15"/>
  <c r="H352" i="15"/>
  <c r="I352" i="15"/>
  <c r="J352" i="15"/>
  <c r="K352" i="15"/>
  <c r="L352" i="15"/>
  <c r="M352" i="15"/>
  <c r="N352" i="15"/>
  <c r="P352" i="15"/>
  <c r="Q352" i="15"/>
  <c r="R352" i="15"/>
  <c r="T352" i="15"/>
  <c r="C358" i="15"/>
  <c r="D358" i="15"/>
  <c r="E358" i="15"/>
  <c r="F358" i="15"/>
  <c r="K358" i="15"/>
  <c r="P358" i="15"/>
  <c r="Q358" i="15"/>
  <c r="R358" i="15"/>
  <c r="C359" i="15"/>
  <c r="D359" i="15"/>
  <c r="E359" i="15"/>
  <c r="F359" i="15"/>
  <c r="K359" i="15"/>
  <c r="P359" i="15"/>
  <c r="Q359" i="15"/>
  <c r="R359" i="15"/>
  <c r="C360" i="15"/>
  <c r="D360" i="15"/>
  <c r="E360" i="15"/>
  <c r="F360" i="15"/>
  <c r="K360" i="15"/>
  <c r="P360" i="15"/>
  <c r="Q360" i="15"/>
  <c r="R360" i="15"/>
  <c r="C361" i="15"/>
  <c r="D361" i="15"/>
  <c r="E361" i="15"/>
  <c r="F361" i="15"/>
  <c r="K361" i="15"/>
  <c r="P361" i="15"/>
  <c r="Q361" i="15"/>
  <c r="R361" i="15"/>
  <c r="C362" i="15"/>
  <c r="D362" i="15"/>
  <c r="E362" i="15"/>
  <c r="F362" i="15"/>
  <c r="K362" i="15"/>
  <c r="P362" i="15"/>
  <c r="Q362" i="15"/>
  <c r="R362" i="15"/>
  <c r="C363" i="15"/>
  <c r="D363" i="15"/>
  <c r="E363" i="15"/>
  <c r="F363" i="15"/>
  <c r="K363" i="15"/>
  <c r="P363" i="15"/>
  <c r="Q363" i="15"/>
  <c r="R363" i="15"/>
  <c r="C364" i="15"/>
  <c r="D364" i="15"/>
  <c r="E364" i="15"/>
  <c r="F364" i="15"/>
  <c r="K364" i="15"/>
  <c r="P364" i="15"/>
  <c r="Q364" i="15"/>
  <c r="R364" i="15"/>
  <c r="C371" i="15"/>
  <c r="D371" i="15"/>
  <c r="E371" i="15"/>
  <c r="F371" i="15"/>
  <c r="C372" i="15"/>
  <c r="D372" i="15"/>
  <c r="E372" i="15"/>
  <c r="F372" i="15"/>
  <c r="C373" i="15"/>
  <c r="D373" i="15"/>
  <c r="E373" i="15"/>
  <c r="F373" i="15"/>
  <c r="C374" i="15"/>
  <c r="D374" i="15"/>
  <c r="E374" i="15"/>
  <c r="F374" i="15"/>
  <c r="C375" i="15"/>
  <c r="D375" i="15"/>
  <c r="E375" i="15"/>
  <c r="F375" i="15"/>
  <c r="C376" i="15"/>
  <c r="D376" i="15"/>
  <c r="E376" i="15"/>
  <c r="F376" i="15"/>
  <c r="C377" i="15"/>
  <c r="D377" i="15"/>
  <c r="E377" i="15"/>
  <c r="F377" i="15"/>
  <c r="E383" i="15"/>
  <c r="F383" i="15"/>
  <c r="G383" i="15"/>
  <c r="H383" i="15"/>
  <c r="C396" i="15"/>
  <c r="E396" i="15"/>
  <c r="F396" i="15"/>
  <c r="G396" i="15"/>
  <c r="H396" i="15"/>
  <c r="D14" i="54"/>
  <c r="E14" i="54"/>
  <c r="F14" i="54"/>
  <c r="G14" i="54"/>
  <c r="H14" i="54"/>
  <c r="D20" i="54"/>
  <c r="E20" i="54"/>
  <c r="F20" i="54"/>
  <c r="G20" i="54"/>
  <c r="H20" i="54"/>
  <c r="C23" i="54"/>
  <c r="M23" i="54"/>
  <c r="N23" i="54"/>
  <c r="C31" i="54"/>
  <c r="C33" i="54"/>
  <c r="C34" i="54"/>
  <c r="D39" i="54"/>
  <c r="E39" i="54"/>
  <c r="F39" i="54"/>
  <c r="G39" i="54"/>
  <c r="H39" i="54"/>
  <c r="C7" i="55"/>
  <c r="D7" i="55"/>
  <c r="E7" i="55"/>
  <c r="F7" i="55"/>
  <c r="G7" i="55"/>
  <c r="H7" i="55"/>
  <c r="C8" i="55"/>
  <c r="D8" i="55"/>
  <c r="E8" i="55"/>
  <c r="F8" i="55"/>
  <c r="G8" i="55"/>
  <c r="H8" i="55"/>
  <c r="C9" i="55"/>
  <c r="D9" i="55"/>
  <c r="E9" i="55"/>
  <c r="F9" i="55"/>
  <c r="G9" i="55"/>
  <c r="H9" i="55"/>
  <c r="C12" i="55"/>
  <c r="D12" i="55"/>
  <c r="E12" i="55"/>
  <c r="F12" i="55"/>
  <c r="G12" i="55"/>
  <c r="H12" i="55"/>
  <c r="C13" i="55"/>
  <c r="D13" i="55"/>
  <c r="E13" i="55"/>
  <c r="F13" i="55"/>
  <c r="G13" i="55"/>
  <c r="H13" i="55"/>
  <c r="D14" i="55"/>
  <c r="E14" i="55"/>
  <c r="F14" i="55"/>
  <c r="G14" i="55"/>
  <c r="H14" i="55"/>
  <c r="D20" i="55"/>
  <c r="E20" i="55"/>
  <c r="F20" i="55"/>
  <c r="G20" i="55"/>
  <c r="H20" i="55"/>
  <c r="C23" i="55"/>
  <c r="H23" i="55"/>
  <c r="M23" i="55"/>
  <c r="N23" i="55"/>
  <c r="C31" i="55"/>
  <c r="H32" i="55"/>
  <c r="C33" i="55"/>
  <c r="H33" i="55"/>
  <c r="C34" i="55"/>
  <c r="D39" i="55"/>
  <c r="E39" i="55"/>
  <c r="F39" i="55"/>
  <c r="G39" i="55"/>
  <c r="H39" i="55"/>
  <c r="C7" i="52"/>
  <c r="D7" i="52"/>
  <c r="E7" i="52"/>
  <c r="F7" i="52"/>
  <c r="G7" i="52"/>
  <c r="H7" i="52"/>
  <c r="C8" i="52"/>
  <c r="D8" i="52"/>
  <c r="E8" i="52"/>
  <c r="F8" i="52"/>
  <c r="G8" i="52"/>
  <c r="H8" i="52"/>
  <c r="C9" i="52"/>
  <c r="D9" i="52"/>
  <c r="E9" i="52"/>
  <c r="F9" i="52"/>
  <c r="G9" i="52"/>
  <c r="H9" i="52"/>
  <c r="C12" i="52"/>
  <c r="D12" i="52"/>
  <c r="E12" i="52"/>
  <c r="F12" i="52"/>
  <c r="G12" i="52"/>
  <c r="H12" i="52"/>
  <c r="C13" i="52"/>
  <c r="D13" i="52"/>
  <c r="E13" i="52"/>
  <c r="F13" i="52"/>
  <c r="G13" i="52"/>
  <c r="H13" i="52"/>
  <c r="D14" i="52"/>
  <c r="E14" i="52"/>
  <c r="F14" i="52"/>
  <c r="G14" i="52"/>
  <c r="H14" i="52"/>
  <c r="D20" i="52"/>
  <c r="E20" i="52"/>
  <c r="F20" i="52"/>
  <c r="G20" i="52"/>
  <c r="H20" i="52"/>
  <c r="C23" i="52"/>
  <c r="H23" i="52"/>
  <c r="M23" i="52"/>
  <c r="N23" i="52"/>
  <c r="C31" i="52"/>
  <c r="H32" i="52"/>
  <c r="C33" i="52"/>
  <c r="H33" i="52"/>
  <c r="C34" i="52"/>
  <c r="D39" i="52"/>
  <c r="E39" i="52"/>
  <c r="F39" i="52"/>
  <c r="G39" i="52"/>
  <c r="H39" i="52"/>
  <c r="F30" i="3"/>
  <c r="G30" i="3"/>
  <c r="H30" i="3"/>
  <c r="I30" i="3"/>
  <c r="J30" i="3"/>
  <c r="K30" i="3"/>
  <c r="L30" i="3"/>
  <c r="N30"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8" i="3"/>
  <c r="G38" i="3"/>
  <c r="H38" i="3"/>
  <c r="I38" i="3"/>
  <c r="J38" i="3"/>
  <c r="K38" i="3"/>
  <c r="L38" i="3"/>
  <c r="F39" i="3"/>
  <c r="G39" i="3"/>
  <c r="H39" i="3"/>
  <c r="I39" i="3"/>
  <c r="J39" i="3"/>
  <c r="K39" i="3"/>
  <c r="L39" i="3"/>
  <c r="F40" i="3"/>
  <c r="G40" i="3"/>
  <c r="H40" i="3"/>
  <c r="I40" i="3"/>
  <c r="J40" i="3"/>
  <c r="K40" i="3"/>
  <c r="L40" i="3"/>
  <c r="F47" i="3"/>
  <c r="G47" i="3"/>
  <c r="H47" i="3"/>
  <c r="I47" i="3"/>
  <c r="J47" i="3"/>
  <c r="K47" i="3"/>
  <c r="L47" i="3"/>
  <c r="F65" i="3"/>
  <c r="G65" i="3"/>
  <c r="H65" i="3"/>
  <c r="I65" i="3"/>
  <c r="J65" i="3"/>
  <c r="K65" i="3"/>
  <c r="L65" i="3"/>
  <c r="F69" i="3"/>
  <c r="G69" i="3"/>
  <c r="H69" i="3"/>
  <c r="I69" i="3"/>
  <c r="J69" i="3"/>
  <c r="K69" i="3"/>
  <c r="L69" i="3"/>
  <c r="F82" i="3"/>
  <c r="G82" i="3"/>
  <c r="H82" i="3"/>
  <c r="I82" i="3"/>
  <c r="J82" i="3"/>
  <c r="K82" i="3"/>
  <c r="L82" i="3"/>
  <c r="F84" i="3"/>
  <c r="G84" i="3"/>
  <c r="H84" i="3"/>
  <c r="I84" i="3"/>
  <c r="J84" i="3"/>
  <c r="K84" i="3"/>
  <c r="L84" i="3"/>
  <c r="F101" i="3"/>
  <c r="G101" i="3"/>
  <c r="H101" i="3"/>
  <c r="I101" i="3"/>
  <c r="J101" i="3"/>
  <c r="K101" i="3"/>
  <c r="L101" i="3"/>
  <c r="F102" i="3"/>
  <c r="G102" i="3"/>
  <c r="H102" i="3"/>
  <c r="I102" i="3"/>
  <c r="J102" i="3"/>
  <c r="K102" i="3"/>
  <c r="L102" i="3"/>
  <c r="F103" i="3"/>
  <c r="G103" i="3"/>
  <c r="H103" i="3"/>
  <c r="I103" i="3"/>
  <c r="J103" i="3"/>
  <c r="K103" i="3"/>
  <c r="L103" i="3"/>
  <c r="F110" i="3"/>
  <c r="G110" i="3"/>
  <c r="H110" i="3"/>
  <c r="I110" i="3"/>
  <c r="J110" i="3"/>
  <c r="K110" i="3"/>
  <c r="L110" i="3"/>
  <c r="F112" i="3"/>
  <c r="G112" i="3"/>
  <c r="H112" i="3"/>
  <c r="I112" i="3"/>
  <c r="J112" i="3"/>
  <c r="K112" i="3"/>
  <c r="L112" i="3"/>
  <c r="G113" i="3"/>
  <c r="H113" i="3"/>
  <c r="I113" i="3"/>
  <c r="J113" i="3"/>
  <c r="K113" i="3"/>
  <c r="L113" i="3"/>
  <c r="F114" i="3"/>
  <c r="G114" i="3"/>
  <c r="H114" i="3"/>
  <c r="I114" i="3"/>
  <c r="J114" i="3"/>
  <c r="K114" i="3"/>
  <c r="L114" i="3"/>
  <c r="F116" i="3"/>
  <c r="G116" i="3"/>
  <c r="H116" i="3"/>
  <c r="I116" i="3"/>
  <c r="J116" i="3"/>
  <c r="K116" i="3"/>
  <c r="L116" i="3"/>
  <c r="F118" i="3"/>
  <c r="G118" i="3"/>
  <c r="H118" i="3"/>
  <c r="I118" i="3"/>
  <c r="J118" i="3"/>
  <c r="K118" i="3"/>
  <c r="L118" i="3"/>
  <c r="F127" i="3"/>
  <c r="G127" i="3"/>
  <c r="H127" i="3"/>
  <c r="I127" i="3"/>
  <c r="J127" i="3"/>
  <c r="K127" i="3"/>
  <c r="L127" i="3"/>
  <c r="F132" i="3"/>
  <c r="G132" i="3"/>
  <c r="H132" i="3"/>
  <c r="I132" i="3"/>
  <c r="J132" i="3"/>
  <c r="K132" i="3"/>
  <c r="L132" i="3"/>
  <c r="F134" i="3"/>
  <c r="G134" i="3"/>
  <c r="H134" i="3"/>
  <c r="I134" i="3"/>
  <c r="J134" i="3"/>
  <c r="K134" i="3"/>
  <c r="L134" i="3"/>
  <c r="E139" i="3"/>
  <c r="F139" i="3"/>
  <c r="G139" i="3"/>
  <c r="H139" i="3"/>
  <c r="I139" i="3"/>
  <c r="J139" i="3"/>
  <c r="K139" i="3"/>
  <c r="L139" i="3"/>
  <c r="E141" i="3"/>
  <c r="F141" i="3"/>
  <c r="G141" i="3"/>
  <c r="H141" i="3"/>
  <c r="I141" i="3"/>
  <c r="J141" i="3"/>
  <c r="K141" i="3"/>
  <c r="L141" i="3"/>
  <c r="E151" i="3"/>
  <c r="F151" i="3"/>
  <c r="G151" i="3"/>
  <c r="H151" i="3"/>
  <c r="I151" i="3"/>
  <c r="J151" i="3"/>
  <c r="K151" i="3"/>
  <c r="L151" i="3"/>
  <c r="E152" i="3"/>
  <c r="F152" i="3"/>
  <c r="G152" i="3"/>
  <c r="H152" i="3"/>
  <c r="I152" i="3"/>
  <c r="J152" i="3"/>
  <c r="K152" i="3"/>
  <c r="L152" i="3"/>
  <c r="E153" i="3"/>
  <c r="F153" i="3"/>
  <c r="G153" i="3"/>
  <c r="H153" i="3"/>
  <c r="I153" i="3"/>
  <c r="J153" i="3"/>
  <c r="K153" i="3"/>
  <c r="L153" i="3"/>
  <c r="E157" i="3"/>
  <c r="F157" i="3"/>
  <c r="G157" i="3"/>
  <c r="H157" i="3"/>
  <c r="I157" i="3"/>
  <c r="J157" i="3"/>
  <c r="K157" i="3"/>
  <c r="L157" i="3"/>
  <c r="E168" i="3"/>
  <c r="F168" i="3"/>
  <c r="G168" i="3"/>
  <c r="H168" i="3"/>
  <c r="I168" i="3"/>
  <c r="J168" i="3"/>
  <c r="K168" i="3"/>
  <c r="L168" i="3"/>
  <c r="E169" i="3"/>
  <c r="F169" i="3"/>
  <c r="G169" i="3"/>
  <c r="H169" i="3"/>
  <c r="I169" i="3"/>
  <c r="J169" i="3"/>
  <c r="K169" i="3"/>
  <c r="L169" i="3"/>
  <c r="E170" i="3"/>
  <c r="F170" i="3"/>
  <c r="G170" i="3"/>
  <c r="H170" i="3"/>
  <c r="I170" i="3"/>
  <c r="J170" i="3"/>
  <c r="K170" i="3"/>
  <c r="L170" i="3"/>
  <c r="E172" i="3"/>
  <c r="F172" i="3"/>
  <c r="G172" i="3"/>
  <c r="H172" i="3"/>
  <c r="I172" i="3"/>
  <c r="J172" i="3"/>
  <c r="K172" i="3"/>
  <c r="L172" i="3"/>
  <c r="E193" i="3"/>
  <c r="F193" i="3"/>
  <c r="F195" i="3"/>
  <c r="E205" i="3"/>
  <c r="F205" i="3"/>
  <c r="E206" i="3"/>
  <c r="F206" i="3"/>
  <c r="E207" i="3"/>
  <c r="F207" i="3"/>
  <c r="F211" i="3"/>
  <c r="E222" i="3"/>
  <c r="F222" i="3"/>
  <c r="F223" i="3"/>
  <c r="F224" i="3"/>
  <c r="F226" i="3"/>
  <c r="G288" i="3"/>
  <c r="H288" i="3"/>
  <c r="I288" i="3"/>
  <c r="J288" i="3"/>
  <c r="K288" i="3"/>
  <c r="L288" i="3"/>
  <c r="F289" i="3"/>
  <c r="G289" i="3"/>
  <c r="H289" i="3"/>
  <c r="I289" i="3"/>
  <c r="J289" i="3"/>
  <c r="K289" i="3"/>
  <c r="L289" i="3"/>
  <c r="F291" i="3"/>
  <c r="G291" i="3"/>
  <c r="H291" i="3"/>
  <c r="I291" i="3"/>
  <c r="J291" i="3"/>
  <c r="K291" i="3"/>
  <c r="L291" i="3"/>
  <c r="F294" i="3"/>
  <c r="G294" i="3"/>
  <c r="H294" i="3"/>
  <c r="I294" i="3"/>
  <c r="J294" i="3"/>
  <c r="K294" i="3"/>
  <c r="L294" i="3"/>
  <c r="F295" i="3"/>
  <c r="G295" i="3"/>
  <c r="H295" i="3"/>
  <c r="I295" i="3"/>
  <c r="J295" i="3"/>
  <c r="K295" i="3"/>
  <c r="L295" i="3"/>
  <c r="E296" i="3"/>
  <c r="F296" i="3"/>
  <c r="G296" i="3"/>
  <c r="H296" i="3"/>
  <c r="I296" i="3"/>
  <c r="J296" i="3"/>
  <c r="K296" i="3"/>
  <c r="L296" i="3"/>
  <c r="F297" i="3"/>
  <c r="G297" i="3"/>
  <c r="H297" i="3"/>
  <c r="I297" i="3"/>
  <c r="J297" i="3"/>
  <c r="K297" i="3"/>
  <c r="L297" i="3"/>
  <c r="F301" i="3"/>
  <c r="G301" i="3"/>
  <c r="H301" i="3"/>
  <c r="I301" i="3"/>
  <c r="J301" i="3"/>
  <c r="K301" i="3"/>
  <c r="L301" i="3"/>
  <c r="F302" i="3"/>
  <c r="G302" i="3"/>
  <c r="H302" i="3"/>
  <c r="I302" i="3"/>
  <c r="J302" i="3"/>
  <c r="K302" i="3"/>
  <c r="L302" i="3"/>
  <c r="E303" i="3"/>
  <c r="F303" i="3"/>
  <c r="G303" i="3"/>
  <c r="H303" i="3"/>
  <c r="I303" i="3"/>
  <c r="J303" i="3"/>
  <c r="K303" i="3"/>
  <c r="L303" i="3"/>
  <c r="F304" i="3"/>
  <c r="G304" i="3"/>
  <c r="H304" i="3"/>
  <c r="I304" i="3"/>
  <c r="J304" i="3"/>
  <c r="K304" i="3"/>
  <c r="L304" i="3"/>
  <c r="F308" i="3"/>
  <c r="G308" i="3"/>
  <c r="H308" i="3"/>
  <c r="I308" i="3"/>
  <c r="J308" i="3"/>
  <c r="K308" i="3"/>
  <c r="L308" i="3"/>
  <c r="F309" i="3"/>
  <c r="G309" i="3"/>
  <c r="H309" i="3"/>
  <c r="I309" i="3"/>
  <c r="J309" i="3"/>
  <c r="K309" i="3"/>
  <c r="L309" i="3"/>
  <c r="E310" i="3"/>
  <c r="F310" i="3"/>
  <c r="G310" i="3"/>
  <c r="H310" i="3"/>
  <c r="I310" i="3"/>
  <c r="J310" i="3"/>
  <c r="K310" i="3"/>
  <c r="L310" i="3"/>
  <c r="F311" i="3"/>
  <c r="G311" i="3"/>
  <c r="H311" i="3"/>
  <c r="I311" i="3"/>
  <c r="J311" i="3"/>
  <c r="K311" i="3"/>
  <c r="L311" i="3"/>
  <c r="F314" i="3"/>
  <c r="G314" i="3"/>
  <c r="H314" i="3"/>
  <c r="I314" i="3"/>
  <c r="J314" i="3"/>
  <c r="K314" i="3"/>
  <c r="L314" i="3"/>
  <c r="F315" i="3"/>
  <c r="G315" i="3"/>
  <c r="H315" i="3"/>
  <c r="I315" i="3"/>
  <c r="J315" i="3"/>
  <c r="K315" i="3"/>
  <c r="L315" i="3"/>
  <c r="F316" i="3"/>
  <c r="G316" i="3"/>
  <c r="H316" i="3"/>
  <c r="I316" i="3"/>
  <c r="J316" i="3"/>
  <c r="K316" i="3"/>
  <c r="L316" i="3"/>
  <c r="F319" i="3"/>
  <c r="G319" i="3"/>
  <c r="H319" i="3"/>
  <c r="I319" i="3"/>
  <c r="J319" i="3"/>
  <c r="K319" i="3"/>
  <c r="L319" i="3"/>
  <c r="F321" i="3"/>
  <c r="G321" i="3"/>
  <c r="H321" i="3"/>
  <c r="I321" i="3"/>
  <c r="J321" i="3"/>
  <c r="K321" i="3"/>
  <c r="L321" i="3"/>
  <c r="F328" i="3"/>
  <c r="G328" i="3"/>
  <c r="H328" i="3"/>
  <c r="I328" i="3"/>
  <c r="J328" i="3"/>
  <c r="K328" i="3"/>
  <c r="L328" i="3"/>
  <c r="F329" i="3"/>
  <c r="G329" i="3"/>
  <c r="H329" i="3"/>
  <c r="I329" i="3"/>
  <c r="J329" i="3"/>
  <c r="K329" i="3"/>
  <c r="L329"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6" i="3"/>
  <c r="G336" i="3"/>
  <c r="H336" i="3"/>
  <c r="I336" i="3"/>
  <c r="J336" i="3"/>
  <c r="K336" i="3"/>
  <c r="L336" i="3"/>
  <c r="F337" i="3"/>
  <c r="G337" i="3"/>
  <c r="H337" i="3"/>
  <c r="I337" i="3"/>
  <c r="J337" i="3"/>
  <c r="K337" i="3"/>
  <c r="L337" i="3"/>
  <c r="F339" i="3"/>
  <c r="G339" i="3"/>
  <c r="H339" i="3"/>
  <c r="I339" i="3"/>
  <c r="J339" i="3"/>
  <c r="K339" i="3"/>
  <c r="L339" i="3"/>
  <c r="F20" i="19"/>
  <c r="F21" i="19"/>
  <c r="F27" i="19"/>
  <c r="F37" i="19"/>
  <c r="F38" i="19"/>
  <c r="I38" i="19"/>
  <c r="F44" i="19"/>
  <c r="I44" i="19"/>
  <c r="F45" i="19"/>
  <c r="I45" i="19"/>
  <c r="F46" i="19"/>
  <c r="I46" i="19"/>
  <c r="F47" i="19"/>
  <c r="I47" i="19"/>
  <c r="F49" i="19"/>
  <c r="I49" i="19"/>
  <c r="F55" i="19"/>
  <c r="E56" i="19"/>
  <c r="F56" i="19"/>
  <c r="E57" i="19"/>
  <c r="E58" i="19"/>
  <c r="K58" i="19"/>
  <c r="E59" i="19"/>
  <c r="E60" i="19"/>
  <c r="F60" i="19"/>
  <c r="K60" i="19"/>
  <c r="E63" i="19"/>
  <c r="E67" i="19"/>
  <c r="F101" i="19"/>
  <c r="G101" i="19"/>
  <c r="H101" i="19"/>
  <c r="I101" i="19"/>
  <c r="J101" i="19"/>
  <c r="E103" i="19"/>
  <c r="F103" i="19"/>
  <c r="G103" i="19"/>
  <c r="H103" i="19"/>
  <c r="I103" i="19"/>
  <c r="J103" i="19"/>
  <c r="F104" i="19"/>
  <c r="G104" i="19"/>
  <c r="H104" i="19"/>
  <c r="I104" i="19"/>
  <c r="J104" i="19"/>
  <c r="E105" i="19"/>
  <c r="F105" i="19"/>
  <c r="G105" i="19"/>
  <c r="H105" i="19"/>
  <c r="I105" i="19"/>
  <c r="J105" i="19"/>
  <c r="E107" i="19"/>
  <c r="F107" i="19"/>
  <c r="G107" i="19"/>
  <c r="H107" i="19"/>
  <c r="I107" i="19"/>
  <c r="J107" i="19"/>
  <c r="F109" i="19"/>
  <c r="G109" i="19"/>
  <c r="H109" i="19"/>
  <c r="I109" i="19"/>
  <c r="J109" i="19"/>
  <c r="F110" i="19"/>
  <c r="G110" i="19"/>
  <c r="H110" i="19"/>
  <c r="I110" i="19"/>
  <c r="J110" i="19"/>
  <c r="D117" i="19"/>
  <c r="F117" i="19"/>
  <c r="H117" i="19"/>
  <c r="J117" i="19"/>
  <c r="D118" i="19"/>
  <c r="F118" i="19"/>
  <c r="H118" i="19"/>
  <c r="J118" i="19"/>
  <c r="D119" i="19"/>
  <c r="F119" i="19"/>
  <c r="H119" i="19"/>
  <c r="J119" i="19"/>
  <c r="D120" i="19"/>
  <c r="F120" i="19"/>
  <c r="H120" i="19"/>
  <c r="J120" i="19"/>
  <c r="D121" i="19"/>
  <c r="F121" i="19"/>
  <c r="H121" i="19"/>
  <c r="J121" i="19"/>
  <c r="D122" i="19"/>
  <c r="F122" i="19"/>
  <c r="H122" i="19"/>
  <c r="J122" i="19"/>
  <c r="D123" i="19"/>
  <c r="F123" i="19"/>
  <c r="H123" i="19"/>
  <c r="J123" i="19"/>
  <c r="E8" i="7"/>
  <c r="F8" i="7"/>
  <c r="G8" i="7"/>
  <c r="H8" i="7"/>
  <c r="I8" i="7"/>
  <c r="J8" i="7"/>
  <c r="K8" i="7"/>
  <c r="L8" i="7"/>
  <c r="E9" i="7"/>
  <c r="F9" i="7"/>
  <c r="G9" i="7"/>
  <c r="H9" i="7"/>
  <c r="I9" i="7"/>
  <c r="J9" i="7"/>
  <c r="K9" i="7"/>
  <c r="L9" i="7"/>
  <c r="E10" i="7"/>
  <c r="F10" i="7"/>
  <c r="G10" i="7"/>
  <c r="H10" i="7"/>
  <c r="I10" i="7"/>
  <c r="J10" i="7"/>
  <c r="K10" i="7"/>
  <c r="L10" i="7"/>
  <c r="F11" i="7"/>
  <c r="G11" i="7"/>
  <c r="H11" i="7"/>
  <c r="I11" i="7"/>
  <c r="J11" i="7"/>
  <c r="K11" i="7"/>
  <c r="L11" i="7"/>
  <c r="E12" i="7"/>
  <c r="F12" i="7"/>
  <c r="G12" i="7"/>
  <c r="H12" i="7"/>
  <c r="I12" i="7"/>
  <c r="J12" i="7"/>
  <c r="K12" i="7"/>
  <c r="L12" i="7"/>
  <c r="E15" i="7"/>
  <c r="F15" i="7"/>
  <c r="G15" i="7"/>
  <c r="H15" i="7"/>
  <c r="I15" i="7"/>
  <c r="J15" i="7"/>
  <c r="K15" i="7"/>
  <c r="L15" i="7"/>
  <c r="E16" i="7"/>
  <c r="F16" i="7"/>
  <c r="G16" i="7"/>
  <c r="H16" i="7"/>
  <c r="I16" i="7"/>
  <c r="J16" i="7"/>
  <c r="K16" i="7"/>
  <c r="L16" i="7"/>
  <c r="F19" i="7"/>
  <c r="G19" i="7"/>
  <c r="H19" i="7"/>
  <c r="I19" i="7"/>
  <c r="J19" i="7"/>
  <c r="K19" i="7"/>
  <c r="L19" i="7"/>
  <c r="F20" i="7"/>
  <c r="G20" i="7"/>
  <c r="H20" i="7"/>
  <c r="I20" i="7"/>
  <c r="J20" i="7"/>
  <c r="K20" i="7"/>
  <c r="L20" i="7"/>
  <c r="F21" i="7"/>
  <c r="G21" i="7"/>
  <c r="H21" i="7"/>
  <c r="I21" i="7"/>
  <c r="J21" i="7"/>
  <c r="K21" i="7"/>
  <c r="L21" i="7"/>
  <c r="F24" i="7"/>
  <c r="G24" i="7"/>
  <c r="H24" i="7"/>
  <c r="I24" i="7"/>
  <c r="J24" i="7"/>
  <c r="K24" i="7"/>
  <c r="L24" i="7"/>
  <c r="F25" i="7"/>
  <c r="G25" i="7"/>
  <c r="H25" i="7"/>
  <c r="I25" i="7"/>
  <c r="J25" i="7"/>
  <c r="K25" i="7"/>
  <c r="L25" i="7"/>
  <c r="F26" i="7"/>
  <c r="G26" i="7"/>
  <c r="H26" i="7"/>
  <c r="I26" i="7"/>
  <c r="J26" i="7"/>
  <c r="K26" i="7"/>
  <c r="L26" i="7"/>
  <c r="F29" i="7"/>
  <c r="G29" i="7"/>
  <c r="H29" i="7"/>
  <c r="I29" i="7"/>
  <c r="J29" i="7"/>
  <c r="K29" i="7"/>
  <c r="L29" i="7"/>
  <c r="F30" i="7"/>
  <c r="G30" i="7"/>
  <c r="H30" i="7"/>
  <c r="I30" i="7"/>
  <c r="J30" i="7"/>
  <c r="K30" i="7"/>
  <c r="L30" i="7"/>
  <c r="F31" i="7"/>
  <c r="G31" i="7"/>
  <c r="H31" i="7"/>
  <c r="I31" i="7"/>
  <c r="J31" i="7"/>
  <c r="K31" i="7"/>
  <c r="L31" i="7"/>
  <c r="E34" i="7"/>
  <c r="F34" i="7"/>
  <c r="G34" i="7"/>
  <c r="H34" i="7"/>
  <c r="I34" i="7"/>
  <c r="J34" i="7"/>
  <c r="K34" i="7"/>
  <c r="L34" i="7"/>
  <c r="E35" i="7"/>
  <c r="F35" i="7"/>
  <c r="G35" i="7"/>
  <c r="H35" i="7"/>
  <c r="I35" i="7"/>
  <c r="J35" i="7"/>
  <c r="K35" i="7"/>
  <c r="L35" i="7"/>
  <c r="E37" i="7"/>
  <c r="F37" i="7"/>
  <c r="G37" i="7"/>
  <c r="H37" i="7"/>
  <c r="I37" i="7"/>
  <c r="J37" i="7"/>
  <c r="K37" i="7"/>
  <c r="L37" i="7"/>
  <c r="E39" i="7"/>
  <c r="F39" i="7"/>
  <c r="G39" i="7"/>
  <c r="H39" i="7"/>
  <c r="I39" i="7"/>
  <c r="J39" i="7"/>
  <c r="K39" i="7"/>
  <c r="L39" i="7"/>
  <c r="E40" i="7"/>
  <c r="F40" i="7"/>
  <c r="G40" i="7"/>
  <c r="H40" i="7"/>
  <c r="I40" i="7"/>
  <c r="J40" i="7"/>
  <c r="K40" i="7"/>
  <c r="L40" i="7"/>
  <c r="E41" i="7"/>
  <c r="F41" i="7"/>
  <c r="G41" i="7"/>
  <c r="H41" i="7"/>
  <c r="I41" i="7"/>
  <c r="J41" i="7"/>
  <c r="K41" i="7"/>
  <c r="L41" i="7"/>
  <c r="F43" i="7"/>
  <c r="G43" i="7"/>
  <c r="H43" i="7"/>
  <c r="I43" i="7"/>
  <c r="J43" i="7"/>
  <c r="K43" i="7"/>
  <c r="L43" i="7"/>
  <c r="C7" i="8"/>
  <c r="F17" i="8"/>
  <c r="G17" i="8"/>
  <c r="H17" i="8"/>
  <c r="I17" i="8"/>
  <c r="J17" i="8"/>
  <c r="K17" i="8"/>
  <c r="L17" i="8"/>
  <c r="F20" i="8"/>
  <c r="G20" i="8"/>
  <c r="H20" i="8"/>
  <c r="I20" i="8"/>
  <c r="J20" i="8"/>
  <c r="K20" i="8"/>
  <c r="L20" i="8"/>
  <c r="F21" i="8"/>
  <c r="G21" i="8"/>
  <c r="H21" i="8"/>
  <c r="I21" i="8"/>
  <c r="J21" i="8"/>
  <c r="K21" i="8"/>
  <c r="L21" i="8"/>
  <c r="F22" i="8"/>
  <c r="G22" i="8"/>
  <c r="H22" i="8"/>
  <c r="I22" i="8"/>
  <c r="J22" i="8"/>
  <c r="K22" i="8"/>
  <c r="L22" i="8"/>
  <c r="F25" i="8"/>
  <c r="G25" i="8"/>
  <c r="H25" i="8"/>
  <c r="I25" i="8"/>
  <c r="J25" i="8"/>
  <c r="K25" i="8"/>
  <c r="L25" i="8"/>
  <c r="F26" i="8"/>
  <c r="G26" i="8"/>
  <c r="H26" i="8"/>
  <c r="I26" i="8"/>
  <c r="J26" i="8"/>
  <c r="K26" i="8"/>
  <c r="L26" i="8"/>
  <c r="F27" i="8"/>
  <c r="G27" i="8"/>
  <c r="H27" i="8"/>
  <c r="I27" i="8"/>
  <c r="J27" i="8"/>
  <c r="K27" i="8"/>
  <c r="L27" i="8"/>
  <c r="B16" i="45"/>
  <c r="F19" i="45"/>
  <c r="F20" i="45"/>
  <c r="F21" i="45"/>
  <c r="F23" i="45"/>
  <c r="F24" i="45"/>
  <c r="F25" i="45"/>
  <c r="F26" i="45"/>
  <c r="F27" i="45"/>
  <c r="F28" i="45"/>
  <c r="F29" i="45"/>
  <c r="F30" i="45"/>
  <c r="F31" i="45"/>
  <c r="F32" i="45"/>
  <c r="F34" i="45"/>
  <c r="F35" i="45"/>
  <c r="F37" i="45"/>
  <c r="F39" i="45"/>
  <c r="F41" i="45"/>
  <c r="B43" i="45"/>
  <c r="F47" i="45"/>
  <c r="F48" i="45"/>
  <c r="F49" i="45"/>
  <c r="F50" i="45"/>
  <c r="I50" i="45"/>
  <c r="F51" i="45"/>
  <c r="F52" i="45"/>
  <c r="I52" i="45"/>
  <c r="F54" i="45"/>
  <c r="F57" i="45"/>
  <c r="I57" i="45"/>
  <c r="F58" i="45"/>
  <c r="I58" i="45"/>
  <c r="F59" i="45"/>
  <c r="I59" i="45"/>
  <c r="F60" i="45"/>
  <c r="I60" i="45"/>
  <c r="F61" i="45"/>
  <c r="I61" i="45"/>
  <c r="F62" i="45"/>
  <c r="I62" i="45"/>
  <c r="F63" i="45"/>
  <c r="I63" i="45"/>
  <c r="B65" i="45"/>
  <c r="E69" i="45"/>
  <c r="F69" i="45"/>
  <c r="K69" i="45"/>
  <c r="E70" i="45"/>
  <c r="F70" i="45"/>
  <c r="K70" i="45"/>
  <c r="E71" i="45"/>
  <c r="F71" i="45"/>
  <c r="K71" i="45"/>
  <c r="E72" i="45"/>
  <c r="F72" i="45"/>
  <c r="K72" i="45"/>
  <c r="E73" i="45"/>
  <c r="F73" i="45"/>
  <c r="K73" i="45"/>
  <c r="E74" i="45"/>
  <c r="F74" i="45"/>
  <c r="K74" i="45"/>
  <c r="B76" i="45"/>
  <c r="E77" i="45"/>
  <c r="E78" i="45"/>
  <c r="E79" i="45"/>
  <c r="E80" i="45"/>
  <c r="E81" i="45"/>
  <c r="B83" i="45"/>
  <c r="F86" i="45"/>
  <c r="F87" i="45"/>
  <c r="F88" i="45"/>
  <c r="F90" i="45"/>
  <c r="F91" i="45"/>
  <c r="F92" i="45"/>
  <c r="F93" i="45"/>
  <c r="F94" i="45"/>
  <c r="F95" i="45"/>
  <c r="F96" i="45"/>
  <c r="F97" i="45"/>
  <c r="F98" i="45"/>
  <c r="F99" i="45"/>
  <c r="F101" i="45"/>
  <c r="F102" i="45"/>
  <c r="F104" i="45"/>
  <c r="F106" i="45"/>
  <c r="F108" i="45"/>
  <c r="B110" i="45"/>
  <c r="F114" i="45"/>
  <c r="F115" i="45"/>
  <c r="F116" i="45"/>
  <c r="F117" i="45"/>
  <c r="I117" i="45"/>
  <c r="F118" i="45"/>
  <c r="F119" i="45"/>
  <c r="I119" i="45"/>
  <c r="F121" i="45"/>
  <c r="F124" i="45"/>
  <c r="I124" i="45"/>
  <c r="F125" i="45"/>
  <c r="I125" i="45"/>
  <c r="F126" i="45"/>
  <c r="I126" i="45"/>
  <c r="F127" i="45"/>
  <c r="I127" i="45"/>
  <c r="F128" i="45"/>
  <c r="I128" i="45"/>
  <c r="F129" i="45"/>
  <c r="I129" i="45"/>
  <c r="F130" i="45"/>
  <c r="I130" i="45"/>
  <c r="B134" i="45"/>
  <c r="F138" i="45"/>
  <c r="G138" i="45"/>
  <c r="H138" i="45"/>
  <c r="I138" i="45"/>
  <c r="J138" i="45"/>
  <c r="K138" i="45"/>
  <c r="L138" i="45"/>
  <c r="M138" i="45"/>
  <c r="N138" i="45"/>
  <c r="O138" i="45"/>
  <c r="P138" i="45"/>
  <c r="Q138" i="45"/>
  <c r="R138" i="45"/>
  <c r="G139" i="45"/>
  <c r="H139" i="45"/>
  <c r="I139" i="45"/>
  <c r="J139" i="45"/>
  <c r="K139" i="45"/>
  <c r="L139" i="45"/>
  <c r="M139" i="45"/>
  <c r="N139" i="45"/>
  <c r="O139" i="45"/>
  <c r="P139" i="45"/>
  <c r="Q139" i="45"/>
  <c r="R139" i="45"/>
  <c r="F141" i="45"/>
  <c r="G141" i="45"/>
  <c r="H141" i="45"/>
  <c r="I141" i="45"/>
  <c r="J141" i="45"/>
  <c r="K141" i="45"/>
  <c r="L141" i="45"/>
  <c r="M141" i="45"/>
  <c r="N141" i="45"/>
  <c r="O141" i="45"/>
  <c r="P141" i="45"/>
  <c r="Q141" i="45"/>
  <c r="R141" i="45"/>
  <c r="G142" i="45"/>
  <c r="H142" i="45"/>
  <c r="I142" i="45"/>
  <c r="J142" i="45"/>
  <c r="K142" i="45"/>
  <c r="L142" i="45"/>
  <c r="M142" i="45"/>
  <c r="N142" i="45"/>
  <c r="O142" i="45"/>
  <c r="P142" i="45"/>
  <c r="Q142" i="45"/>
  <c r="R142" i="45"/>
  <c r="F143" i="45"/>
  <c r="G143" i="45"/>
  <c r="H143" i="45"/>
  <c r="I143" i="45"/>
  <c r="J143" i="45"/>
  <c r="K143" i="45"/>
  <c r="L143" i="45"/>
  <c r="M143" i="45"/>
  <c r="N143" i="45"/>
  <c r="O143" i="45"/>
  <c r="P143" i="45"/>
  <c r="Q143" i="45"/>
  <c r="R143" i="45"/>
  <c r="F145" i="45"/>
  <c r="G145" i="45"/>
  <c r="H145" i="45"/>
  <c r="I145" i="45"/>
  <c r="J145" i="45"/>
  <c r="K145" i="45"/>
  <c r="L145" i="45"/>
  <c r="M145" i="45"/>
  <c r="N145" i="45"/>
  <c r="O145" i="45"/>
  <c r="P145" i="45"/>
  <c r="Q145" i="45"/>
  <c r="R145" i="45"/>
  <c r="G146" i="45"/>
  <c r="H146" i="45"/>
  <c r="I146" i="45"/>
  <c r="J146" i="45"/>
  <c r="K146" i="45"/>
  <c r="L146" i="45"/>
  <c r="M146" i="45"/>
  <c r="N146" i="45"/>
  <c r="O146" i="45"/>
  <c r="P146" i="45"/>
  <c r="Q146" i="45"/>
  <c r="R146" i="45"/>
  <c r="F147" i="45"/>
  <c r="G147" i="45"/>
  <c r="H147" i="45"/>
  <c r="I147" i="45"/>
  <c r="J147" i="45"/>
  <c r="K147" i="45"/>
  <c r="L147" i="45"/>
  <c r="M147" i="45"/>
  <c r="N147" i="45"/>
  <c r="O147" i="45"/>
  <c r="P147" i="45"/>
  <c r="Q147" i="45"/>
  <c r="R147" i="45"/>
  <c r="F149" i="45"/>
  <c r="G149" i="45"/>
  <c r="H149" i="45"/>
  <c r="I149" i="45"/>
  <c r="J149" i="45"/>
  <c r="K149" i="45"/>
  <c r="L149" i="45"/>
  <c r="M149" i="45"/>
  <c r="N149" i="45"/>
  <c r="O149" i="45"/>
  <c r="P149" i="45"/>
  <c r="Q149" i="45"/>
  <c r="R149" i="45"/>
  <c r="F150" i="45"/>
  <c r="G150" i="45"/>
  <c r="H150" i="45"/>
  <c r="I150" i="45"/>
  <c r="J150" i="45"/>
  <c r="K150" i="45"/>
  <c r="L150" i="45"/>
  <c r="M150" i="45"/>
  <c r="N150" i="45"/>
  <c r="O150" i="45"/>
  <c r="P150" i="45"/>
  <c r="Q150" i="45"/>
  <c r="R150" i="45"/>
  <c r="G151" i="45"/>
  <c r="H151" i="45"/>
  <c r="I151" i="45"/>
  <c r="J151" i="45"/>
  <c r="K151" i="45"/>
  <c r="L151" i="45"/>
  <c r="M151" i="45"/>
  <c r="N151" i="45"/>
  <c r="O151" i="45"/>
  <c r="P151" i="45"/>
  <c r="Q151" i="45"/>
  <c r="R151" i="45"/>
  <c r="F152" i="45"/>
  <c r="G152" i="45"/>
  <c r="H152" i="45"/>
  <c r="I152" i="45"/>
  <c r="J152" i="45"/>
  <c r="K152" i="45"/>
  <c r="L152" i="45"/>
  <c r="M152" i="45"/>
  <c r="N152" i="45"/>
  <c r="O152" i="45"/>
  <c r="P152" i="45"/>
  <c r="Q152" i="45"/>
  <c r="R152" i="45"/>
  <c r="F154" i="45"/>
  <c r="G154" i="45"/>
  <c r="H154" i="45"/>
  <c r="I154" i="45"/>
  <c r="J154" i="45"/>
  <c r="K154" i="45"/>
  <c r="L154" i="45"/>
  <c r="M154" i="45"/>
  <c r="N154" i="45"/>
  <c r="O154" i="45"/>
  <c r="P154" i="45"/>
  <c r="Q154" i="45"/>
  <c r="R154" i="45"/>
  <c r="F155" i="45"/>
  <c r="G155" i="45"/>
  <c r="H155" i="45"/>
  <c r="I155" i="45"/>
  <c r="J155" i="45"/>
  <c r="K155" i="45"/>
  <c r="L155" i="45"/>
  <c r="M155" i="45"/>
  <c r="N155" i="45"/>
  <c r="O155" i="45"/>
  <c r="P155" i="45"/>
  <c r="Q155" i="45"/>
  <c r="R155" i="45"/>
  <c r="B157" i="45"/>
  <c r="F161" i="45"/>
  <c r="G161" i="45"/>
  <c r="H161" i="45"/>
  <c r="I161" i="45"/>
  <c r="J161" i="45"/>
  <c r="K161" i="45"/>
  <c r="L161" i="45"/>
  <c r="M161" i="45"/>
  <c r="N161" i="45"/>
  <c r="O161" i="45"/>
  <c r="P161" i="45"/>
  <c r="Q161" i="45"/>
  <c r="R161" i="45"/>
  <c r="G162" i="45"/>
  <c r="H162" i="45"/>
  <c r="I162" i="45"/>
  <c r="J162" i="45"/>
  <c r="K162" i="45"/>
  <c r="L162" i="45"/>
  <c r="M162" i="45"/>
  <c r="N162" i="45"/>
  <c r="O162" i="45"/>
  <c r="P162" i="45"/>
  <c r="Q162" i="45"/>
  <c r="R162" i="45"/>
  <c r="F164" i="45"/>
  <c r="G164" i="45"/>
  <c r="H164" i="45"/>
  <c r="I164" i="45"/>
  <c r="J164" i="45"/>
  <c r="K164" i="45"/>
  <c r="L164" i="45"/>
  <c r="M164" i="45"/>
  <c r="N164" i="45"/>
  <c r="O164" i="45"/>
  <c r="P164" i="45"/>
  <c r="Q164" i="45"/>
  <c r="R164" i="45"/>
  <c r="F165" i="45"/>
  <c r="G165" i="45"/>
  <c r="H165" i="45"/>
  <c r="I165" i="45"/>
  <c r="J165" i="45"/>
  <c r="K165" i="45"/>
  <c r="L165" i="45"/>
  <c r="M165" i="45"/>
  <c r="N165" i="45"/>
  <c r="O165" i="45"/>
  <c r="P165" i="45"/>
  <c r="Q165" i="45"/>
  <c r="R165" i="45"/>
  <c r="F166" i="45"/>
  <c r="G166" i="45"/>
  <c r="H166" i="45"/>
  <c r="I166" i="45"/>
  <c r="J166" i="45"/>
  <c r="K166" i="45"/>
  <c r="L166" i="45"/>
  <c r="M166" i="45"/>
  <c r="N166" i="45"/>
  <c r="O166" i="45"/>
  <c r="P166" i="45"/>
  <c r="Q166" i="45"/>
  <c r="R166" i="45"/>
  <c r="F168" i="45"/>
  <c r="G168" i="45"/>
  <c r="H168" i="45"/>
  <c r="I168" i="45"/>
  <c r="J168" i="45"/>
  <c r="K168" i="45"/>
  <c r="L168" i="45"/>
  <c r="M168" i="45"/>
  <c r="N168" i="45"/>
  <c r="O168" i="45"/>
  <c r="P168" i="45"/>
  <c r="Q168" i="45"/>
  <c r="R168" i="45"/>
  <c r="G169" i="45"/>
  <c r="H169" i="45"/>
  <c r="I169" i="45"/>
  <c r="J169" i="45"/>
  <c r="K169" i="45"/>
  <c r="L169" i="45"/>
  <c r="M169" i="45"/>
  <c r="N169" i="45"/>
  <c r="O169" i="45"/>
  <c r="P169" i="45"/>
  <c r="Q169" i="45"/>
  <c r="R169" i="45"/>
  <c r="F170" i="45"/>
  <c r="G170" i="45"/>
  <c r="H170" i="45"/>
  <c r="I170" i="45"/>
  <c r="J170" i="45"/>
  <c r="K170" i="45"/>
  <c r="L170" i="45"/>
  <c r="M170" i="45"/>
  <c r="N170" i="45"/>
  <c r="O170" i="45"/>
  <c r="P170" i="45"/>
  <c r="Q170" i="45"/>
  <c r="R170" i="45"/>
  <c r="F172" i="45"/>
  <c r="G172" i="45"/>
  <c r="H172" i="45"/>
  <c r="I172" i="45"/>
  <c r="J172" i="45"/>
  <c r="K172" i="45"/>
  <c r="L172" i="45"/>
  <c r="M172" i="45"/>
  <c r="N172" i="45"/>
  <c r="O172" i="45"/>
  <c r="P172" i="45"/>
  <c r="Q172" i="45"/>
  <c r="R172" i="45"/>
  <c r="F173" i="45"/>
  <c r="G173" i="45"/>
  <c r="H173" i="45"/>
  <c r="I173" i="45"/>
  <c r="J173" i="45"/>
  <c r="K173" i="45"/>
  <c r="L173" i="45"/>
  <c r="M173" i="45"/>
  <c r="N173" i="45"/>
  <c r="O173" i="45"/>
  <c r="P173" i="45"/>
  <c r="Q173" i="45"/>
  <c r="R173" i="45"/>
  <c r="G174" i="45"/>
  <c r="H174" i="45"/>
  <c r="I174" i="45"/>
  <c r="J174" i="45"/>
  <c r="K174" i="45"/>
  <c r="L174" i="45"/>
  <c r="M174" i="45"/>
  <c r="N174" i="45"/>
  <c r="O174" i="45"/>
  <c r="P174" i="45"/>
  <c r="Q174" i="45"/>
  <c r="R174" i="45"/>
  <c r="F175" i="45"/>
  <c r="G175" i="45"/>
  <c r="H175" i="45"/>
  <c r="I175" i="45"/>
  <c r="J175" i="45"/>
  <c r="K175" i="45"/>
  <c r="L175" i="45"/>
  <c r="M175" i="45"/>
  <c r="N175" i="45"/>
  <c r="O175" i="45"/>
  <c r="P175" i="45"/>
  <c r="Q175" i="45"/>
  <c r="R175" i="45"/>
  <c r="F177" i="45"/>
  <c r="G177" i="45"/>
  <c r="H177" i="45"/>
  <c r="I177" i="45"/>
  <c r="J177" i="45"/>
  <c r="K177" i="45"/>
  <c r="L177" i="45"/>
  <c r="M177" i="45"/>
  <c r="N177" i="45"/>
  <c r="O177" i="45"/>
  <c r="P177" i="45"/>
  <c r="Q177" i="45"/>
  <c r="R177" i="45"/>
  <c r="F178" i="45"/>
  <c r="G178" i="45"/>
  <c r="H178" i="45"/>
  <c r="I178" i="45"/>
  <c r="J178" i="45"/>
  <c r="K178" i="45"/>
  <c r="L178" i="45"/>
  <c r="M178" i="45"/>
  <c r="N178" i="45"/>
  <c r="O178" i="45"/>
  <c r="P178" i="45"/>
  <c r="Q178" i="45"/>
  <c r="R178" i="45"/>
  <c r="B180" i="45"/>
  <c r="F184" i="45"/>
  <c r="G184" i="45"/>
  <c r="H184" i="45"/>
  <c r="I184" i="45"/>
  <c r="J184" i="45"/>
  <c r="K184" i="45"/>
  <c r="L184" i="45"/>
  <c r="M184" i="45"/>
  <c r="N184" i="45"/>
  <c r="O184" i="45"/>
  <c r="P184" i="45"/>
  <c r="Q184" i="45"/>
  <c r="R184" i="45"/>
  <c r="G185" i="45"/>
  <c r="H185" i="45"/>
  <c r="I185" i="45"/>
  <c r="J185" i="45"/>
  <c r="K185" i="45"/>
  <c r="L185" i="45"/>
  <c r="M185" i="45"/>
  <c r="N185" i="45"/>
  <c r="O185" i="45"/>
  <c r="P185" i="45"/>
  <c r="Q185" i="45"/>
  <c r="R185" i="45"/>
  <c r="F187" i="45"/>
  <c r="G187" i="45"/>
  <c r="H187" i="45"/>
  <c r="I187" i="45"/>
  <c r="J187" i="45"/>
  <c r="K187" i="45"/>
  <c r="L187" i="45"/>
  <c r="M187" i="45"/>
  <c r="N187" i="45"/>
  <c r="O187" i="45"/>
  <c r="P187" i="45"/>
  <c r="Q187" i="45"/>
  <c r="R187" i="45"/>
  <c r="G188" i="45"/>
  <c r="H188" i="45"/>
  <c r="I188" i="45"/>
  <c r="J188" i="45"/>
  <c r="K188" i="45"/>
  <c r="L188" i="45"/>
  <c r="M188" i="45"/>
  <c r="N188" i="45"/>
  <c r="O188" i="45"/>
  <c r="P188" i="45"/>
  <c r="Q188" i="45"/>
  <c r="R188" i="45"/>
  <c r="F189" i="45"/>
  <c r="G189" i="45"/>
  <c r="H189" i="45"/>
  <c r="I189" i="45"/>
  <c r="J189" i="45"/>
  <c r="K189" i="45"/>
  <c r="L189" i="45"/>
  <c r="M189" i="45"/>
  <c r="N189" i="45"/>
  <c r="O189" i="45"/>
  <c r="P189" i="45"/>
  <c r="Q189" i="45"/>
  <c r="R189" i="45"/>
  <c r="F191" i="45"/>
  <c r="G191" i="45"/>
  <c r="H191" i="45"/>
  <c r="I191" i="45"/>
  <c r="J191" i="45"/>
  <c r="K191" i="45"/>
  <c r="L191" i="45"/>
  <c r="M191" i="45"/>
  <c r="N191" i="45"/>
  <c r="O191" i="45"/>
  <c r="P191" i="45"/>
  <c r="Q191" i="45"/>
  <c r="R191" i="45"/>
  <c r="G192" i="45"/>
  <c r="H192" i="45"/>
  <c r="I192" i="45"/>
  <c r="J192" i="45"/>
  <c r="K192" i="45"/>
  <c r="L192" i="45"/>
  <c r="M192" i="45"/>
  <c r="N192" i="45"/>
  <c r="O192" i="45"/>
  <c r="P192" i="45"/>
  <c r="Q192" i="45"/>
  <c r="R192" i="45"/>
  <c r="F193" i="45"/>
  <c r="G193" i="45"/>
  <c r="H193" i="45"/>
  <c r="I193" i="45"/>
  <c r="J193" i="45"/>
  <c r="K193" i="45"/>
  <c r="L193" i="45"/>
  <c r="M193" i="45"/>
  <c r="N193" i="45"/>
  <c r="O193" i="45"/>
  <c r="P193" i="45"/>
  <c r="Q193" i="45"/>
  <c r="R193" i="45"/>
  <c r="F195" i="45"/>
  <c r="G195" i="45"/>
  <c r="H195" i="45"/>
  <c r="I195" i="45"/>
  <c r="J195" i="45"/>
  <c r="K195" i="45"/>
  <c r="L195" i="45"/>
  <c r="M195" i="45"/>
  <c r="N195" i="45"/>
  <c r="O195" i="45"/>
  <c r="P195" i="45"/>
  <c r="Q195" i="45"/>
  <c r="R195" i="45"/>
  <c r="F196" i="45"/>
  <c r="G196" i="45"/>
  <c r="H196" i="45"/>
  <c r="I196" i="45"/>
  <c r="J196" i="45"/>
  <c r="K196" i="45"/>
  <c r="L196" i="45"/>
  <c r="M196" i="45"/>
  <c r="N196" i="45"/>
  <c r="O196" i="45"/>
  <c r="P196" i="45"/>
  <c r="Q196" i="45"/>
  <c r="R196" i="45"/>
  <c r="F198" i="45"/>
  <c r="G198" i="45"/>
  <c r="H198" i="45"/>
  <c r="I198" i="45"/>
  <c r="J198" i="45"/>
  <c r="K198" i="45"/>
  <c r="L198" i="45"/>
  <c r="M198" i="45"/>
  <c r="N198" i="45"/>
  <c r="O198" i="45"/>
  <c r="P198" i="45"/>
  <c r="Q198" i="45"/>
  <c r="R198" i="45"/>
  <c r="F200" i="45"/>
  <c r="G200" i="45"/>
  <c r="H200" i="45"/>
  <c r="I200" i="45"/>
  <c r="J200" i="45"/>
  <c r="K200" i="45"/>
  <c r="L200" i="45"/>
  <c r="M200" i="45"/>
  <c r="N200" i="45"/>
  <c r="O200" i="45"/>
  <c r="P200" i="45"/>
  <c r="Q200" i="45"/>
  <c r="R200" i="45"/>
  <c r="F201" i="45"/>
  <c r="G201" i="45"/>
  <c r="H201" i="45"/>
  <c r="I201" i="45"/>
  <c r="J201" i="45"/>
  <c r="K201" i="45"/>
  <c r="L201" i="45"/>
  <c r="M201" i="45"/>
  <c r="N201" i="45"/>
  <c r="O201" i="45"/>
  <c r="P201" i="45"/>
  <c r="Q201" i="45"/>
  <c r="R201" i="45"/>
  <c r="B203" i="45"/>
  <c r="E206" i="45"/>
  <c r="F206" i="45"/>
  <c r="G206" i="45"/>
  <c r="H206" i="45"/>
  <c r="I206" i="45"/>
  <c r="J206" i="45"/>
  <c r="K206" i="45"/>
  <c r="E207" i="45"/>
  <c r="F207" i="45"/>
  <c r="G207" i="45"/>
  <c r="H207" i="45"/>
  <c r="I207" i="45"/>
  <c r="J207" i="45"/>
  <c r="E208" i="45"/>
  <c r="F208" i="45"/>
  <c r="G208" i="45"/>
  <c r="H208" i="45"/>
  <c r="I208" i="45"/>
  <c r="J208" i="45"/>
  <c r="E210" i="45"/>
  <c r="F210" i="45"/>
  <c r="G210" i="45"/>
  <c r="H210" i="45"/>
  <c r="I210" i="45"/>
  <c r="J210" i="45"/>
  <c r="E212" i="45"/>
  <c r="F212" i="45"/>
  <c r="G212" i="45"/>
  <c r="H212" i="45"/>
  <c r="I212" i="45"/>
  <c r="J212" i="45"/>
  <c r="E214" i="45"/>
  <c r="F214" i="45"/>
  <c r="G214" i="45"/>
  <c r="H214" i="45"/>
  <c r="I214" i="45"/>
  <c r="J214" i="45"/>
  <c r="E215" i="45"/>
  <c r="F215" i="45"/>
  <c r="G215" i="45"/>
  <c r="H215" i="45"/>
  <c r="I215" i="45"/>
  <c r="J215" i="45"/>
  <c r="E216" i="45"/>
  <c r="F216" i="45"/>
  <c r="G216" i="45"/>
  <c r="H216" i="45"/>
  <c r="I216" i="45"/>
  <c r="J216" i="45"/>
  <c r="E218" i="45"/>
  <c r="F218" i="45"/>
  <c r="G218" i="45"/>
  <c r="H218" i="45"/>
  <c r="I218" i="45"/>
  <c r="J218" i="45"/>
  <c r="E219" i="45"/>
  <c r="F219" i="45"/>
  <c r="G219" i="45"/>
  <c r="H219" i="45"/>
  <c r="I219" i="45"/>
  <c r="J219" i="45"/>
  <c r="F220" i="45"/>
  <c r="G220" i="45"/>
  <c r="H220" i="45"/>
  <c r="I220" i="45"/>
  <c r="J220" i="45"/>
  <c r="F221" i="45"/>
  <c r="G221" i="45"/>
  <c r="H221" i="45"/>
  <c r="I221" i="45"/>
  <c r="J221" i="45"/>
  <c r="B223" i="45"/>
  <c r="B228" i="45"/>
  <c r="D228" i="45"/>
  <c r="F228" i="45"/>
  <c r="H228" i="45"/>
  <c r="J228" i="45"/>
  <c r="B229" i="45"/>
  <c r="D229" i="45"/>
  <c r="F229" i="45"/>
  <c r="H229" i="45"/>
  <c r="J229" i="45"/>
  <c r="B230" i="45"/>
  <c r="D230" i="45"/>
  <c r="F230" i="45"/>
  <c r="H230" i="45"/>
  <c r="J230" i="45"/>
  <c r="B231" i="45"/>
  <c r="D231" i="45"/>
  <c r="F231" i="45"/>
  <c r="H231" i="45"/>
  <c r="J231" i="45"/>
  <c r="B232" i="45"/>
  <c r="D232" i="45"/>
  <c r="F232" i="45"/>
  <c r="H232" i="45"/>
  <c r="J232" i="45"/>
  <c r="B233" i="45"/>
  <c r="D233" i="45"/>
  <c r="F233" i="45"/>
  <c r="H233" i="45"/>
  <c r="J233" i="45"/>
  <c r="B234" i="45"/>
  <c r="D234" i="45"/>
  <c r="F234" i="45"/>
  <c r="H234" i="45"/>
  <c r="J234" i="45"/>
  <c r="B236" i="45"/>
  <c r="E239" i="45"/>
  <c r="F239" i="45"/>
  <c r="G239" i="45"/>
  <c r="H239" i="45"/>
  <c r="I239" i="45"/>
  <c r="J239" i="45"/>
  <c r="K239" i="45"/>
  <c r="F240" i="45"/>
  <c r="G240" i="45"/>
  <c r="H240" i="45"/>
  <c r="I240" i="45"/>
  <c r="J240" i="45"/>
  <c r="E241" i="45"/>
  <c r="F241" i="45"/>
  <c r="G241" i="45"/>
  <c r="H241" i="45"/>
  <c r="I241" i="45"/>
  <c r="J241" i="45"/>
  <c r="E243" i="45"/>
  <c r="F243" i="45"/>
  <c r="G243" i="45"/>
  <c r="H243" i="45"/>
  <c r="I243" i="45"/>
  <c r="J243" i="45"/>
  <c r="E245" i="45"/>
  <c r="F245" i="45"/>
  <c r="G245" i="45"/>
  <c r="H245" i="45"/>
  <c r="I245" i="45"/>
  <c r="J245" i="45"/>
  <c r="E247" i="45"/>
  <c r="F247" i="45"/>
  <c r="G247" i="45"/>
  <c r="H247" i="45"/>
  <c r="I247" i="45"/>
  <c r="J247" i="45"/>
  <c r="E249" i="45"/>
  <c r="F249" i="45"/>
  <c r="G249" i="45"/>
  <c r="H249" i="45"/>
  <c r="I249" i="45"/>
  <c r="J249" i="45"/>
  <c r="E251" i="45"/>
  <c r="F251" i="45"/>
  <c r="G251" i="45"/>
  <c r="H251" i="45"/>
  <c r="I251" i="45"/>
  <c r="J251" i="45"/>
  <c r="E252" i="45"/>
  <c r="F252" i="45"/>
  <c r="G252" i="45"/>
  <c r="H252" i="45"/>
  <c r="I252" i="45"/>
  <c r="J252" i="45"/>
  <c r="F253" i="45"/>
  <c r="G253" i="45"/>
  <c r="H253" i="45"/>
  <c r="I253" i="45"/>
  <c r="J253" i="45"/>
  <c r="F254" i="45"/>
  <c r="G254" i="45"/>
  <c r="H254" i="45"/>
  <c r="I254" i="45"/>
  <c r="J254" i="45"/>
  <c r="B256" i="45"/>
  <c r="B261" i="45"/>
  <c r="D261" i="45"/>
  <c r="F261" i="45"/>
  <c r="H261" i="45"/>
  <c r="J261" i="45"/>
  <c r="B262" i="45"/>
  <c r="D262" i="45"/>
  <c r="F262" i="45"/>
  <c r="H262" i="45"/>
  <c r="J262" i="45"/>
  <c r="B263" i="45"/>
  <c r="D263" i="45"/>
  <c r="F263" i="45"/>
  <c r="H263" i="45"/>
  <c r="J263" i="45"/>
  <c r="B264" i="45"/>
  <c r="D264" i="45"/>
  <c r="F264" i="45"/>
  <c r="H264" i="45"/>
  <c r="J264" i="45"/>
  <c r="B265" i="45"/>
  <c r="D265" i="45"/>
  <c r="F265" i="45"/>
  <c r="H265" i="45"/>
  <c r="J265" i="45"/>
  <c r="B266" i="45"/>
  <c r="D266" i="45"/>
  <c r="F266" i="45"/>
  <c r="H266" i="45"/>
  <c r="J266" i="45"/>
  <c r="B267" i="45"/>
  <c r="D267" i="45"/>
  <c r="F267" i="45"/>
  <c r="H267" i="45"/>
  <c r="J267" i="45"/>
  <c r="B269" i="45"/>
  <c r="E272" i="45"/>
  <c r="F272" i="45"/>
  <c r="G272" i="45"/>
  <c r="H272" i="45"/>
  <c r="I272" i="45"/>
  <c r="J272" i="45"/>
  <c r="K272" i="45"/>
  <c r="F273" i="45"/>
  <c r="G273" i="45"/>
  <c r="H273" i="45"/>
  <c r="I273" i="45"/>
  <c r="J273" i="45"/>
  <c r="E274" i="45"/>
  <c r="F274" i="45"/>
  <c r="G274" i="45"/>
  <c r="H274" i="45"/>
  <c r="I274" i="45"/>
  <c r="J274" i="45"/>
  <c r="E276" i="45"/>
  <c r="F276" i="45"/>
  <c r="G276" i="45"/>
  <c r="H276" i="45"/>
  <c r="I276" i="45"/>
  <c r="J276" i="45"/>
  <c r="E278" i="45"/>
  <c r="F278" i="45"/>
  <c r="G278" i="45"/>
  <c r="H278" i="45"/>
  <c r="I278" i="45"/>
  <c r="J278" i="45"/>
  <c r="E280" i="45"/>
  <c r="F280" i="45"/>
  <c r="G280" i="45"/>
  <c r="H280" i="45"/>
  <c r="I280" i="45"/>
  <c r="J280" i="45"/>
  <c r="E281" i="45"/>
  <c r="F281" i="45"/>
  <c r="G281" i="45"/>
  <c r="H281" i="45"/>
  <c r="I281" i="45"/>
  <c r="J281" i="45"/>
  <c r="E282" i="45"/>
  <c r="F282" i="45"/>
  <c r="G282" i="45"/>
  <c r="H282" i="45"/>
  <c r="I282" i="45"/>
  <c r="J282" i="45"/>
  <c r="E284" i="45"/>
  <c r="F284" i="45"/>
  <c r="G284" i="45"/>
  <c r="H284" i="45"/>
  <c r="I284" i="45"/>
  <c r="J284" i="45"/>
  <c r="E285" i="45"/>
  <c r="F285" i="45"/>
  <c r="G285" i="45"/>
  <c r="H285" i="45"/>
  <c r="I285" i="45"/>
  <c r="J285" i="45"/>
  <c r="F286" i="45"/>
  <c r="G286" i="45"/>
  <c r="H286" i="45"/>
  <c r="I286" i="45"/>
  <c r="J286" i="45"/>
  <c r="F287" i="45"/>
  <c r="G287" i="45"/>
  <c r="H287" i="45"/>
  <c r="I287" i="45"/>
  <c r="J287" i="45"/>
  <c r="B289" i="45"/>
  <c r="B294" i="45"/>
  <c r="D294" i="45"/>
  <c r="F294" i="45"/>
  <c r="H294" i="45"/>
  <c r="J294" i="45"/>
  <c r="B295" i="45"/>
  <c r="D295" i="45"/>
  <c r="F295" i="45"/>
  <c r="H295" i="45"/>
  <c r="J295" i="45"/>
  <c r="B296" i="45"/>
  <c r="D296" i="45"/>
  <c r="F296" i="45"/>
  <c r="H296" i="45"/>
  <c r="J296" i="45"/>
  <c r="B297" i="45"/>
  <c r="D297" i="45"/>
  <c r="F297" i="45"/>
  <c r="H297" i="45"/>
  <c r="J297" i="45"/>
  <c r="B298" i="45"/>
  <c r="D298" i="45"/>
  <c r="F298" i="45"/>
  <c r="H298" i="45"/>
  <c r="J298" i="45"/>
  <c r="B299" i="45"/>
  <c r="D299" i="45"/>
  <c r="F299" i="45"/>
  <c r="H299" i="45"/>
  <c r="J299" i="45"/>
  <c r="B300" i="45"/>
  <c r="D300" i="45"/>
  <c r="F300" i="45"/>
  <c r="H300" i="45"/>
  <c r="J300" i="45"/>
  <c r="B303" i="45"/>
  <c r="B308" i="45"/>
  <c r="C308" i="45"/>
  <c r="D308" i="45"/>
  <c r="F308" i="45"/>
  <c r="H308" i="45"/>
  <c r="J308" i="45"/>
  <c r="L308" i="45"/>
  <c r="B309" i="45"/>
  <c r="C309" i="45"/>
  <c r="D309" i="45"/>
  <c r="F309" i="45"/>
  <c r="H309" i="45"/>
  <c r="J309" i="45"/>
  <c r="L309" i="45"/>
  <c r="B310" i="45"/>
  <c r="C310" i="45"/>
  <c r="D310" i="45"/>
  <c r="F310" i="45"/>
  <c r="H310" i="45"/>
  <c r="J310" i="45"/>
  <c r="L310" i="45"/>
  <c r="B311" i="45"/>
  <c r="C311" i="45"/>
  <c r="D311" i="45"/>
  <c r="F311" i="45"/>
  <c r="H311" i="45"/>
  <c r="J311" i="45"/>
  <c r="L311" i="45"/>
  <c r="B312" i="45"/>
  <c r="C312" i="45"/>
  <c r="D312" i="45"/>
  <c r="F312" i="45"/>
  <c r="H312" i="45"/>
  <c r="J312" i="45"/>
  <c r="L312" i="45"/>
  <c r="B313" i="45"/>
  <c r="C313" i="45"/>
  <c r="D313" i="45"/>
  <c r="F313" i="45"/>
  <c r="H313" i="45"/>
  <c r="J313" i="45"/>
  <c r="L313" i="45"/>
  <c r="B314" i="45"/>
  <c r="C314" i="45"/>
  <c r="D314" i="45"/>
  <c r="F314" i="45"/>
  <c r="H314" i="45"/>
  <c r="J314" i="45"/>
  <c r="L314" i="45"/>
  <c r="B317" i="45"/>
  <c r="B322" i="45"/>
  <c r="C322" i="45"/>
  <c r="D322" i="45"/>
  <c r="F322" i="45"/>
  <c r="H322" i="45"/>
  <c r="J322" i="45"/>
  <c r="L322" i="45"/>
  <c r="B323" i="45"/>
  <c r="C323" i="45"/>
  <c r="D323" i="45"/>
  <c r="F323" i="45"/>
  <c r="H323" i="45"/>
  <c r="J323" i="45"/>
  <c r="L323" i="45"/>
  <c r="B324" i="45"/>
  <c r="C324" i="45"/>
  <c r="D324" i="45"/>
  <c r="F324" i="45"/>
  <c r="H324" i="45"/>
  <c r="J324" i="45"/>
  <c r="L324" i="45"/>
  <c r="B325" i="45"/>
  <c r="C325" i="45"/>
  <c r="D325" i="45"/>
  <c r="F325" i="45"/>
  <c r="H325" i="45"/>
  <c r="J325" i="45"/>
  <c r="L325" i="45"/>
  <c r="B326" i="45"/>
  <c r="C326" i="45"/>
  <c r="D326" i="45"/>
  <c r="F326" i="45"/>
  <c r="H326" i="45"/>
  <c r="J326" i="45"/>
  <c r="L326" i="45"/>
  <c r="B327" i="45"/>
  <c r="C327" i="45"/>
  <c r="D327" i="45"/>
  <c r="F327" i="45"/>
  <c r="H327" i="45"/>
  <c r="J327" i="45"/>
  <c r="L327" i="45"/>
  <c r="B328" i="45"/>
  <c r="C328" i="45"/>
  <c r="D328" i="45"/>
  <c r="F328" i="45"/>
  <c r="H328" i="45"/>
  <c r="J328" i="45"/>
  <c r="L328" i="45"/>
  <c r="D11" i="6"/>
  <c r="C12" i="6"/>
  <c r="D12" i="6"/>
  <c r="H12" i="6"/>
  <c r="I12" i="6"/>
  <c r="C13" i="6"/>
  <c r="H13" i="6"/>
  <c r="I13" i="6"/>
  <c r="C14" i="6"/>
  <c r="H14" i="6"/>
  <c r="I14" i="6"/>
  <c r="C16" i="6"/>
  <c r="C17" i="6"/>
  <c r="D17" i="6"/>
  <c r="H17" i="6"/>
  <c r="I17" i="6"/>
  <c r="C22" i="6"/>
  <c r="N22" i="6"/>
  <c r="C24" i="6"/>
  <c r="D36" i="6"/>
  <c r="E36" i="6"/>
  <c r="F36" i="6"/>
  <c r="G36" i="6"/>
  <c r="H36" i="6"/>
  <c r="I36" i="6"/>
  <c r="J36" i="6"/>
  <c r="C38" i="6"/>
  <c r="D38" i="6"/>
  <c r="E38" i="6"/>
  <c r="F38" i="6"/>
  <c r="G38" i="6"/>
  <c r="H38" i="6"/>
  <c r="I38" i="6"/>
  <c r="J38" i="6"/>
  <c r="D39" i="6"/>
  <c r="E39" i="6"/>
  <c r="F39" i="6"/>
  <c r="G39" i="6"/>
  <c r="H39" i="6"/>
  <c r="I39" i="6"/>
  <c r="J39" i="6"/>
  <c r="C40" i="6"/>
  <c r="D40" i="6"/>
  <c r="E40" i="6"/>
  <c r="F40" i="6"/>
  <c r="G40" i="6"/>
  <c r="H40" i="6"/>
  <c r="I40" i="6"/>
  <c r="J40" i="6"/>
  <c r="D43" i="6"/>
  <c r="E43" i="6"/>
  <c r="F43" i="6"/>
  <c r="G43" i="6"/>
  <c r="H43" i="6"/>
  <c r="I43" i="6"/>
  <c r="J43" i="6"/>
  <c r="D44" i="6"/>
  <c r="E44" i="6"/>
  <c r="F44" i="6"/>
  <c r="G44" i="6"/>
  <c r="H44" i="6"/>
  <c r="I44" i="6"/>
  <c r="J44" i="6"/>
  <c r="C45" i="6"/>
  <c r="D45" i="6"/>
  <c r="E45" i="6"/>
  <c r="F45" i="6"/>
  <c r="G45" i="6"/>
  <c r="H45" i="6"/>
  <c r="I45" i="6"/>
  <c r="J45" i="6"/>
  <c r="C46" i="6"/>
  <c r="D46" i="6"/>
  <c r="E46" i="6"/>
  <c r="F46" i="6"/>
  <c r="G46" i="6"/>
  <c r="H46" i="6"/>
  <c r="I46" i="6"/>
  <c r="J46" i="6"/>
  <c r="C47" i="6"/>
  <c r="D47" i="6"/>
  <c r="E47" i="6"/>
  <c r="F47" i="6"/>
  <c r="G47" i="6"/>
  <c r="H47" i="6"/>
  <c r="I47" i="6"/>
  <c r="J47" i="6"/>
  <c r="D49" i="6"/>
  <c r="E49" i="6"/>
  <c r="F49" i="6"/>
  <c r="G49" i="6"/>
  <c r="H49" i="6"/>
  <c r="I49" i="6"/>
  <c r="J49" i="6"/>
  <c r="G54" i="6"/>
  <c r="H54" i="6"/>
  <c r="I54" i="6"/>
  <c r="G55" i="6"/>
  <c r="H55" i="6"/>
  <c r="I55" i="6"/>
  <c r="G56" i="6"/>
  <c r="H56" i="6"/>
  <c r="I56" i="6"/>
  <c r="H5" i="48"/>
  <c r="H6" i="48"/>
  <c r="H7" i="48"/>
  <c r="E9" i="48"/>
  <c r="H9" i="48"/>
  <c r="J9" i="48"/>
  <c r="L9" i="48"/>
  <c r="E11" i="48"/>
  <c r="H11" i="48"/>
  <c r="J11" i="48"/>
  <c r="L11" i="48"/>
  <c r="H14" i="48"/>
  <c r="H18" i="48"/>
  <c r="H24" i="48"/>
  <c r="H25" i="48"/>
  <c r="E27" i="48"/>
  <c r="H27" i="48"/>
  <c r="J27" i="48"/>
  <c r="L27"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F15" authorId="0" shapeId="0" xr:uid="{62C9A99A-864B-46B8-8D31-510E327CFFE3}">
      <text>
        <r>
          <rPr>
            <b/>
            <sz val="9"/>
            <color indexed="81"/>
            <rFont val="Tahoma"/>
            <family val="2"/>
          </rPr>
          <t>usuario:</t>
        </r>
        <r>
          <rPr>
            <sz val="9"/>
            <color indexed="81"/>
            <rFont val="Tahoma"/>
            <family val="2"/>
          </rPr>
          <t xml:space="preserve">
Minimum required by PB 12% (page 2)
See Scenario "KLG Low Bid" in Cell "I4"</t>
        </r>
      </text>
    </comment>
  </commentList>
</comments>
</file>

<file path=xl/sharedStrings.xml><?xml version="1.0" encoding="utf-8"?>
<sst xmlns="http://schemas.openxmlformats.org/spreadsheetml/2006/main" count="2786" uniqueCount="1104">
  <si>
    <t>Consolidated Statements of Income - USD ($)</t>
  </si>
  <si>
    <t>shares in Thousands</t>
  </si>
  <si>
    <t>12 Months Ended</t>
  </si>
  <si>
    <t>Revenues:</t>
  </si>
  <si>
    <t>Total revenue</t>
  </si>
  <si>
    <t>Bakery-cafe expenses:</t>
  </si>
  <si>
    <t>Cost of food and paper products</t>
  </si>
  <si>
    <t>Labor</t>
  </si>
  <si>
    <t>Occupancy</t>
  </si>
  <si>
    <t>Other operating expenses</t>
  </si>
  <si>
    <t>Total bakery cafe expenses</t>
  </si>
  <si>
    <t>Fresh dough and other product cost of sales to franchisees</t>
  </si>
  <si>
    <t>Depreciation and amortization</t>
  </si>
  <si>
    <t>General and administrative expenses</t>
  </si>
  <si>
    <t>Pre-opening expenses</t>
  </si>
  <si>
    <t>Refranchising loss</t>
  </si>
  <si>
    <t>Total costs and expenses</t>
  </si>
  <si>
    <t>Operating profit</t>
  </si>
  <si>
    <t>Interest expense</t>
  </si>
  <si>
    <t>Other (income) expense, net</t>
  </si>
  <si>
    <t>Income before income taxes</t>
  </si>
  <si>
    <t>Income taxes</t>
  </si>
  <si>
    <t>Net Income</t>
  </si>
  <si>
    <t>Less: Net income (loss) attributable to noncontrolling interest</t>
  </si>
  <si>
    <t>Net income attributable to Panera Bread Company</t>
  </si>
  <si>
    <t>Earnings per common share attributable to Panera Bread Company:</t>
  </si>
  <si>
    <t>Earnings Per Share, Basic (in dollars per share)</t>
  </si>
  <si>
    <t>Earnings Per Share, Diluted (in dollars per share)</t>
  </si>
  <si>
    <t>Weighted average shares of common and common equivalent outstanding:</t>
  </si>
  <si>
    <t>Weighted Average Number of Shares Outstanding, Basic (in shares)</t>
  </si>
  <si>
    <t>Weighted Average Number of Shares Outstanding, Diluted (in shares)</t>
  </si>
  <si>
    <t>*</t>
  </si>
  <si>
    <t>Cash flows from operations:</t>
  </si>
  <si>
    <t>Adjustments to reconcile net income to net cash provided by operating activities:</t>
  </si>
  <si>
    <t>Stock-based compensation expense</t>
  </si>
  <si>
    <t>Tax benefit from stock-based compensation</t>
  </si>
  <si>
    <t>Deferred income taxes</t>
  </si>
  <si>
    <t>Other</t>
  </si>
  <si>
    <t>Changes in operating assets and liabilities, excluding the effect of acquisitions and dispositions:</t>
  </si>
  <si>
    <t>Trade and other accounts receivable, net</t>
  </si>
  <si>
    <t>Inventories</t>
  </si>
  <si>
    <t>Prepaid expenses and other</t>
  </si>
  <si>
    <t>Deposits and other</t>
  </si>
  <si>
    <t>Accounts payable</t>
  </si>
  <si>
    <t>Accrued expenses</t>
  </si>
  <si>
    <t>Deferred rent</t>
  </si>
  <si>
    <t>Other long-term liabilities</t>
  </si>
  <si>
    <t>Net cash provided by operating activities</t>
  </si>
  <si>
    <t>Cash flows from investing activities:</t>
  </si>
  <si>
    <t>Additions to property and equipment</t>
  </si>
  <si>
    <t>Proceeds from (Repayments of) Notes Payable</t>
  </si>
  <si>
    <t>Proceeds from refranchising</t>
  </si>
  <si>
    <t>Proceeds from sale of property and equipment</t>
  </si>
  <si>
    <t>Proceeds from sale-leaseback transactions</t>
  </si>
  <si>
    <t>Net cash used in investing activities</t>
  </si>
  <si>
    <t>Cash flows from financing activities:</t>
  </si>
  <si>
    <t>Repayments of long-term debt</t>
  </si>
  <si>
    <t>Proceeds from issuance of long-term debt</t>
  </si>
  <si>
    <t>Proceeds from borrowings under revolving credit facility</t>
  </si>
  <si>
    <t>Capitalized debt issuance costs</t>
  </si>
  <si>
    <t>Payment of Deferred Acquisition Holdback</t>
  </si>
  <si>
    <t>Repurchase of common stock</t>
  </si>
  <si>
    <t>Exercise of employee stock options</t>
  </si>
  <si>
    <t>Proceeds from issuance of common stock under employee benefit plans</t>
  </si>
  <si>
    <t>Distribution to redeemable noncontrolling interest</t>
  </si>
  <si>
    <t>Net cash used in financing activities</t>
  </si>
  <si>
    <t>Net (decrease) increase in cash and cash equivalents</t>
  </si>
  <si>
    <t>Cash and cash equivalents at beginning of period</t>
  </si>
  <si>
    <t>Cash and cash equivalents at end of period</t>
  </si>
  <si>
    <t>Current assets:</t>
  </si>
  <si>
    <t>Cash and cash equivalents</t>
  </si>
  <si>
    <t>Trade accounts receivable, net</t>
  </si>
  <si>
    <t>Other accounts receivable</t>
  </si>
  <si>
    <t>Assets held for sale</t>
  </si>
  <si>
    <t>Total current assets</t>
  </si>
  <si>
    <t>Property and equipment, net</t>
  </si>
  <si>
    <t>Other assets:</t>
  </si>
  <si>
    <t>Goodwill</t>
  </si>
  <si>
    <t>Other intangible assets, net</t>
  </si>
  <si>
    <t>Total other assets</t>
  </si>
  <si>
    <t>Total assets</t>
  </si>
  <si>
    <t>Current liabilities:</t>
  </si>
  <si>
    <t>Current portion of long-term debt</t>
  </si>
  <si>
    <t>Liabilities associated with assets held for sale</t>
  </si>
  <si>
    <t>Total current liabilities</t>
  </si>
  <si>
    <t>Long-term debt</t>
  </si>
  <si>
    <t>Total liabilities</t>
  </si>
  <si>
    <t>Commitments and contingencies (Note 13)</t>
  </si>
  <si>
    <t>Redeemable noncontrolling interest</t>
  </si>
  <si>
    <t>Common stock, $.0001 par value:</t>
  </si>
  <si>
    <t>Treasury stock, carried at cost; 9,333,391 shares at December 27, 2016 and 7,490,481 shares at December 29, 2015</t>
  </si>
  <si>
    <t>Preferred stock, $.0001 par value per share; 2,000,000 shares authorized and no shares issued or outstanding at December 27, 2016 and December 29, 2015</t>
  </si>
  <si>
    <t>Additional paid-in capital</t>
  </si>
  <si>
    <t>Accumulated other comprehensive income</t>
  </si>
  <si>
    <t>Retained earnings</t>
  </si>
  <si>
    <t>Total stockholders' equity</t>
  </si>
  <si>
    <t>Total liabilities, redeemable noncontrolling interest, and stockholders' equity</t>
  </si>
  <si>
    <t>Common Stock Class A [Member]</t>
  </si>
  <si>
    <t>Common Stock</t>
  </si>
  <si>
    <t>Common Class B [Member]</t>
  </si>
  <si>
    <t>Consolidated Statements of Cash Flows - USD ($)</t>
  </si>
  <si>
    <t>Consolidated Balance Sheets - USD ($)</t>
  </si>
  <si>
    <t>Source:</t>
  </si>
  <si>
    <t>https://www.sec.gov/cgi-bin/viewer?action=view&amp;cik=724606&amp;accession_number=0000724606-17-000004&amp;xbrl_type=v#</t>
  </si>
  <si>
    <t xml:space="preserve">Source: </t>
  </si>
  <si>
    <t>https://www.restaurant.org/Downloads/PDFs/Events-Groups/17_SHOW_PPT_5-4-compressed.pdf</t>
  </si>
  <si>
    <t>Year</t>
  </si>
  <si>
    <t>Revenue</t>
  </si>
  <si>
    <t>Income Statement</t>
  </si>
  <si>
    <t>Actual</t>
  </si>
  <si>
    <t>Panera Bread (PNRA)</t>
  </si>
  <si>
    <t>EBITDA</t>
  </si>
  <si>
    <t>EBIT</t>
  </si>
  <si>
    <t>p. 31 - "Primarily composed of immaterial items" (2014: $3.2 MM insurance benefit - $2.1 MM goodwill impairment)</t>
  </si>
  <si>
    <t>Bakery-café sales, net</t>
  </si>
  <si>
    <t>Franchise royalties and fees</t>
  </si>
  <si>
    <t>Fresh dough and other product sales to franchisees</t>
  </si>
  <si>
    <t>Growth driven by new bakery openings</t>
  </si>
  <si>
    <t>Includes credit card processing expenses and other utility costs</t>
  </si>
  <si>
    <t>Completed refranchising as of 2016</t>
  </si>
  <si>
    <t>Net Income (Adjusted)</t>
  </si>
  <si>
    <t>Non-recurring events</t>
  </si>
  <si>
    <t>Total non-recurring events</t>
  </si>
  <si>
    <t>Gross Profit</t>
  </si>
  <si>
    <t>Cost of goods Sold</t>
  </si>
  <si>
    <t>Costs of goods sold</t>
  </si>
  <si>
    <t>EBT</t>
  </si>
  <si>
    <t>Total Revenue</t>
  </si>
  <si>
    <t>Estimate</t>
  </si>
  <si>
    <t>Cash Flow Statement</t>
  </si>
  <si>
    <t>Fiscal year ended December 27</t>
  </si>
  <si>
    <t>Changes in operating working capital</t>
  </si>
  <si>
    <t>Balance Sheet</t>
  </si>
  <si>
    <t>Match?</t>
  </si>
  <si>
    <t>Balance?</t>
  </si>
  <si>
    <t xml:space="preserve"> </t>
  </si>
  <si>
    <t>IBISWorld - Fast Food</t>
  </si>
  <si>
    <t>https://www.sec.gov/Archives/edgar/data/724606/000072460617000004/a2016122710k.htm#s47186716E67F30320103B1558D4118B5</t>
  </si>
  <si>
    <t>Cuisine</t>
  </si>
  <si>
    <t>2016 Revenue</t>
  </si>
  <si>
    <t>Growth</t>
  </si>
  <si>
    <t>2016 Growth</t>
  </si>
  <si>
    <t>Total</t>
  </si>
  <si>
    <t>($)</t>
  </si>
  <si>
    <t>(%)</t>
  </si>
  <si>
    <t>CAGR</t>
  </si>
  <si>
    <t>Company-owned</t>
  </si>
  <si>
    <t>Bakery Café</t>
  </si>
  <si>
    <t>Pizza</t>
  </si>
  <si>
    <t>Fast food sales</t>
  </si>
  <si>
    <t>Franchise-operated</t>
  </si>
  <si>
    <t>Mexican</t>
  </si>
  <si>
    <t>Seafood</t>
  </si>
  <si>
    <t>YoY % growth</t>
  </si>
  <si>
    <t>System-wide</t>
  </si>
  <si>
    <t>Chicken</t>
  </si>
  <si>
    <t>BBQ</t>
  </si>
  <si>
    <t>Asian</t>
  </si>
  <si>
    <t>as a % of fast-food sales</t>
  </si>
  <si>
    <t>Burger</t>
  </si>
  <si>
    <t>Specialty</t>
  </si>
  <si>
    <t>Asian/Noodle</t>
  </si>
  <si>
    <t>Sandwich</t>
  </si>
  <si>
    <t>Logo</t>
  </si>
  <si>
    <t>Chain Name</t>
  </si>
  <si>
    <t>Revenue ($ MM)</t>
  </si>
  <si>
    <t>Jimmy John’s Gourmet Sandwich Shop</t>
  </si>
  <si>
    <t>Sandwiches</t>
  </si>
  <si>
    <t>Five Guys Burgers and Fries</t>
  </si>
  <si>
    <t>Shake Shack</t>
  </si>
  <si>
    <t>Subway</t>
  </si>
  <si>
    <t>Taco Bell</t>
  </si>
  <si>
    <t>Wendy’s</t>
  </si>
  <si>
    <t>Bakery/Café</t>
  </si>
  <si>
    <t>Corner Bakery Cafe</t>
  </si>
  <si>
    <t>Peet’s Coffee</t>
  </si>
  <si>
    <t>Bruegger’s Bagels</t>
  </si>
  <si>
    <t>Panera Bread</t>
  </si>
  <si>
    <r>
      <rPr>
        <vertAlign val="superscript"/>
        <sz val="10"/>
        <color theme="1"/>
        <rFont val="Calibri"/>
        <family val="2"/>
        <scheme val="minor"/>
      </rPr>
      <t>T</t>
    </r>
    <r>
      <rPr>
        <sz val="10"/>
        <color theme="1"/>
        <rFont val="Calibri"/>
        <family val="2"/>
        <scheme val="minor"/>
      </rPr>
      <t xml:space="preserve"> Technomic estimate</t>
    </r>
  </si>
  <si>
    <t>Einstein Bros. Bagels</t>
  </si>
  <si>
    <t>Morgan Stanley</t>
  </si>
  <si>
    <t>UBS</t>
  </si>
  <si>
    <t>Credit Suisse</t>
  </si>
  <si>
    <t>Barclays</t>
  </si>
  <si>
    <t>Capital Expenditures</t>
  </si>
  <si>
    <t>N/A</t>
  </si>
  <si>
    <t>Net income</t>
  </si>
  <si>
    <t>Wells Fargo</t>
  </si>
  <si>
    <t>Cash Flow</t>
  </si>
  <si>
    <t>Balance Sheet - Pro Forma</t>
  </si>
  <si>
    <t>Treasury stock</t>
  </si>
  <si>
    <t>Preferred stock</t>
  </si>
  <si>
    <t>Common stock</t>
  </si>
  <si>
    <t>Pro-Forma</t>
  </si>
  <si>
    <t>Cash</t>
  </si>
  <si>
    <t>Bank Revolver</t>
  </si>
  <si>
    <t>Bank Term Loan</t>
  </si>
  <si>
    <t>Subordinated Debentures</t>
  </si>
  <si>
    <t>Sponsor Equity</t>
  </si>
  <si>
    <t>Total Sources</t>
  </si>
  <si>
    <t>Refinance Existing Debt</t>
  </si>
  <si>
    <t>Financing Fees</t>
  </si>
  <si>
    <t>Total Uses</t>
  </si>
  <si>
    <t>Uses:</t>
  </si>
  <si>
    <t>Sources:</t>
  </si>
  <si>
    <t>Amount</t>
  </si>
  <si>
    <t>Percent</t>
  </si>
  <si>
    <t>Ownership</t>
  </si>
  <si>
    <t>Term</t>
  </si>
  <si>
    <t>Points</t>
  </si>
  <si>
    <t>Amort.</t>
  </si>
  <si>
    <t>Purchase Price</t>
  </si>
  <si>
    <t>Total Potential Shares</t>
  </si>
  <si>
    <t>Equity Purchase Price</t>
  </si>
  <si>
    <t>Strike</t>
  </si>
  <si>
    <t>Proceeds</t>
  </si>
  <si>
    <t>Potential</t>
  </si>
  <si>
    <t>(net of option proceeds from in-the-money options)</t>
  </si>
  <si>
    <t>Assets</t>
  </si>
  <si>
    <t>Shareholder's Equity</t>
  </si>
  <si>
    <t>Commitments &amp; Contingencies</t>
  </si>
  <si>
    <t>Liabilities, Redeemable Noncontrolling Interest, and Shareholders' Equity</t>
  </si>
  <si>
    <t>Class A Stock</t>
  </si>
  <si>
    <t>Match? (Y/N)</t>
  </si>
  <si>
    <t>Total Goodwill Created</t>
  </si>
  <si>
    <t>Less: Book Value Acquired</t>
  </si>
  <si>
    <t>Plus: Write-off of Existing Goodwill</t>
  </si>
  <si>
    <t>Intangible Asset Write-up</t>
  </si>
  <si>
    <t>Intangibles Write-up amount</t>
  </si>
  <si>
    <t>New Intangibles Amortization</t>
  </si>
  <si>
    <t>Effective Tax Rate</t>
  </si>
  <si>
    <t>Adjustments</t>
  </si>
  <si>
    <t>Shares Outstanding (Thousands)</t>
  </si>
  <si>
    <t>Options</t>
  </si>
  <si>
    <t>SSAR</t>
  </si>
  <si>
    <t>Transaction Fees</t>
  </si>
  <si>
    <t>50% interest in Tatte (VIE requiring consolidation)</t>
  </si>
  <si>
    <t>In USD $ Thousands</t>
  </si>
  <si>
    <t>Deferred Financing Fees</t>
  </si>
  <si>
    <t>Revolving credit facility</t>
  </si>
  <si>
    <t>Bank term loan</t>
  </si>
  <si>
    <t>Subordinated Debt</t>
  </si>
  <si>
    <t>Working Capital Schedule</t>
  </si>
  <si>
    <t>Included?</t>
  </si>
  <si>
    <t>In the Money?</t>
  </si>
  <si>
    <t>Less: Option Proceeds</t>
  </si>
  <si>
    <t>Plus: Options Outstanding (In The Money)</t>
  </si>
  <si>
    <t>Offer Premium</t>
  </si>
  <si>
    <t>Insurance deposits</t>
  </si>
  <si>
    <t>Prepaid insurance amounts</t>
  </si>
  <si>
    <t>Accrued compensation and related employment taxes, Gift cards</t>
  </si>
  <si>
    <t>Completed as of 2016</t>
  </si>
  <si>
    <t>Revenue Growth Rate</t>
  </si>
  <si>
    <t>Gross Margin</t>
  </si>
  <si>
    <t>EBITDA Margin</t>
  </si>
  <si>
    <t>EBIT Margin</t>
  </si>
  <si>
    <t>Piper Jaffray</t>
  </si>
  <si>
    <t>Guggenheim</t>
  </si>
  <si>
    <t>Days</t>
  </si>
  <si>
    <t>CoGS</t>
  </si>
  <si>
    <t>Days Receivable (Revenue)</t>
  </si>
  <si>
    <t>as a % of OpEx</t>
  </si>
  <si>
    <t>Days Payable (CoGS)</t>
  </si>
  <si>
    <t>Current Assets</t>
  </si>
  <si>
    <t>Total Current Assets</t>
  </si>
  <si>
    <t>Current Liabilities</t>
  </si>
  <si>
    <t>Total Current Liabilities</t>
  </si>
  <si>
    <t>Total Working Capital</t>
  </si>
  <si>
    <t>Change in working Capital</t>
  </si>
  <si>
    <t>OpEx</t>
  </si>
  <si>
    <t>Days Sales Inventory (CoGS)</t>
  </si>
  <si>
    <t>as a % of CoGS &amp; OpEx*</t>
  </si>
  <si>
    <t>* Accrued Expenses consists of a combination of CoGS and OpEx related items such as: Unredeemed gift cards, Employee compensation/taxes, Insurances, CapEx, Advertising, Occupancy costs, Utilities, etc.</t>
  </si>
  <si>
    <t>Depreciation Schedule</t>
  </si>
  <si>
    <t>Year Number</t>
  </si>
  <si>
    <t>PP&amp;E</t>
  </si>
  <si>
    <t>CapEx</t>
  </si>
  <si>
    <t>Depreciation and Amortization</t>
  </si>
  <si>
    <t>Current PP&amp;E</t>
  </si>
  <si>
    <t>Useful Life (years)</t>
  </si>
  <si>
    <t>as a % of revenue</t>
  </si>
  <si>
    <t>Straight Line Depreciation</t>
  </si>
  <si>
    <t>Debt Schedule</t>
  </si>
  <si>
    <t>Cash before debt paydown</t>
  </si>
  <si>
    <t>Cash cushion</t>
  </si>
  <si>
    <t>Revolver (beg. of year)</t>
  </si>
  <si>
    <t>Revolver (end of year)</t>
  </si>
  <si>
    <t>Interest rate</t>
  </si>
  <si>
    <t>Paydown</t>
  </si>
  <si>
    <t>Bank term loan (beg. of year)</t>
  </si>
  <si>
    <t>Bank term loan (end of year)</t>
  </si>
  <si>
    <t>Subordinated debentures (end of year)</t>
  </si>
  <si>
    <t>Subordinated debentures (beg. of year)</t>
  </si>
  <si>
    <t>Total issuances / (repayments)</t>
  </si>
  <si>
    <t>Cash and cash equivalents (end of year)</t>
  </si>
  <si>
    <t>Cash and cash equivalents (beg. of year)</t>
  </si>
  <si>
    <t>Interest income</t>
  </si>
  <si>
    <t>Interest expense, net</t>
  </si>
  <si>
    <t>Issuances / (repayments)</t>
  </si>
  <si>
    <t>Net income (adjusted)</t>
  </si>
  <si>
    <t>Existing Debt</t>
  </si>
  <si>
    <t>LBO Debt</t>
  </si>
  <si>
    <t>Amortization of deferred financing fees</t>
  </si>
  <si>
    <t>-</t>
  </si>
  <si>
    <t>x % Allocated to Intangibles</t>
  </si>
  <si>
    <t>÷ Amortization Period (Years)</t>
  </si>
  <si>
    <t>Less: Write-up of Intangible Assets</t>
  </si>
  <si>
    <t>New intangible assets</t>
  </si>
  <si>
    <t>Deferred financing fees</t>
  </si>
  <si>
    <t>Amortization of intangible asset write-up</t>
  </si>
  <si>
    <t>Notes</t>
  </si>
  <si>
    <t>Goodwill &amp; New Intangible Assets</t>
  </si>
  <si>
    <t>Amortization of identifiable intangible assets</t>
  </si>
  <si>
    <t>Capitalization</t>
  </si>
  <si>
    <t>Total Debt</t>
  </si>
  <si>
    <t>Less: Cash</t>
  </si>
  <si>
    <t>Net Debt</t>
  </si>
  <si>
    <t>Book Equity</t>
  </si>
  <si>
    <t>Total Capitalization</t>
  </si>
  <si>
    <t>Coverage Ratios:</t>
  </si>
  <si>
    <t>Total Interest expense</t>
  </si>
  <si>
    <t>Net Interest Expense</t>
  </si>
  <si>
    <t>Cash Interest Expense</t>
  </si>
  <si>
    <t>vs. Total Interest</t>
  </si>
  <si>
    <t>vs. Net Interest</t>
  </si>
  <si>
    <t>vs. Cash Interest</t>
  </si>
  <si>
    <t>EBITDA - CapEx</t>
  </si>
  <si>
    <t>Total Debt / Total Capitalization</t>
  </si>
  <si>
    <t>Net Debt / Equity</t>
  </si>
  <si>
    <t>Equity / Total Capitalization</t>
  </si>
  <si>
    <t>Senior Debt / EBITDA</t>
  </si>
  <si>
    <t>Total Debt / EBITDA</t>
  </si>
  <si>
    <t>Net Debt / EBITDA</t>
  </si>
  <si>
    <t>Cumulative Bank Debt Paydown</t>
  </si>
  <si>
    <t>Leverage Ratios</t>
  </si>
  <si>
    <t>Senior Debt</t>
  </si>
  <si>
    <t>Leverage Ratios:</t>
  </si>
  <si>
    <t>Commitments</t>
  </si>
  <si>
    <t>Implied Enterprise Value @ EBITDA Multiple of:</t>
  </si>
  <si>
    <t>Less: Net Debt</t>
  </si>
  <si>
    <t>Implied Equity Value @ EBITDA Multiple of:</t>
  </si>
  <si>
    <t>Equity Return @ EBITDA Multiple of:</t>
  </si>
  <si>
    <t>Initial Equity Investment</t>
  </si>
  <si>
    <t>Diluted Ownership</t>
  </si>
  <si>
    <t>Financial Ratios</t>
  </si>
  <si>
    <t>EBITDA / Cash Interest</t>
  </si>
  <si>
    <t>Returns Summary</t>
  </si>
  <si>
    <t>EBITDA Exit Multiple</t>
  </si>
  <si>
    <t>Transaction Value</t>
  </si>
  <si>
    <t>TV / Sales</t>
  </si>
  <si>
    <t>TV / EBITDA</t>
  </si>
  <si>
    <t>TV / EBIT</t>
  </si>
  <si>
    <t>Year 6</t>
  </si>
  <si>
    <t>Step</t>
  </si>
  <si>
    <t>Multiple Analysis</t>
  </si>
  <si>
    <t>G&amp;A expenses as a % of revenue</t>
  </si>
  <si>
    <t>Pre-opening expenses as a % of revenue</t>
  </si>
  <si>
    <t>Year 4</t>
  </si>
  <si>
    <t>Year 5</t>
  </si>
  <si>
    <t>Model Summary</t>
  </si>
  <si>
    <t>Cash and cash Equivalents</t>
  </si>
  <si>
    <t>(EBITDA - CapEx) / Cash Interest</t>
  </si>
  <si>
    <t>Equity as a % of total capitalization</t>
  </si>
  <si>
    <t>Pro Forma</t>
  </si>
  <si>
    <t>Projected</t>
  </si>
  <si>
    <t>Margin</t>
  </si>
  <si>
    <t>Returns</t>
  </si>
  <si>
    <t>'16 - '23</t>
  </si>
  <si>
    <t>ROI</t>
  </si>
  <si>
    <t>Equity Value</t>
  </si>
  <si>
    <t>Value</t>
  </si>
  <si>
    <t>Assumed Debt</t>
  </si>
  <si>
    <t>Enterprise Value</t>
  </si>
  <si>
    <t>Pro Forma Leverage Summary</t>
  </si>
  <si>
    <t>Actual for the Fiscal Year Ended</t>
  </si>
  <si>
    <t>Acquisition</t>
  </si>
  <si>
    <t>Adjusted</t>
  </si>
  <si>
    <t>Balance Sheet @ Close</t>
  </si>
  <si>
    <t>Consolidated Balance Sheet</t>
  </si>
  <si>
    <t>($ in millions)</t>
  </si>
  <si>
    <t>Liabilities &amp; Stockholders' Equity</t>
  </si>
  <si>
    <t>Treasury Stock</t>
  </si>
  <si>
    <t>Commitments and contingencies:</t>
  </si>
  <si>
    <t>ASSETS</t>
  </si>
  <si>
    <t>Cash and Cash Equivalents</t>
  </si>
  <si>
    <t>Total Assets</t>
  </si>
  <si>
    <t>LIABILITIES, REDEEMABLE NONCONTROLLING INTEREST, AND STOCKHOLDER'S EQUITY</t>
  </si>
  <si>
    <t>Total Liabilities</t>
  </si>
  <si>
    <t>Retained Earnings</t>
  </si>
  <si>
    <t>Sources</t>
  </si>
  <si>
    <t>Cash on Balance Sheet</t>
  </si>
  <si>
    <t>Uses</t>
  </si>
  <si>
    <t>% of Total</t>
  </si>
  <si>
    <t>Interest</t>
  </si>
  <si>
    <t>Rate</t>
  </si>
  <si>
    <t>Purchase of Common Stock</t>
  </si>
  <si>
    <t>Purchase of Stock Options &amp; SSAR</t>
  </si>
  <si>
    <t>Transaction Expenses</t>
  </si>
  <si>
    <t>Total Cash Sources</t>
  </si>
  <si>
    <t>Total Cash Uses</t>
  </si>
  <si>
    <t>In USD $ thousands</t>
  </si>
  <si>
    <t>Multiple</t>
  </si>
  <si>
    <t>Ownership Table</t>
  </si>
  <si>
    <t>Initial</t>
  </si>
  <si>
    <t>Investment</t>
  </si>
  <si>
    <t>Fully</t>
  </si>
  <si>
    <t>Diluted</t>
  </si>
  <si>
    <t>Sponsors</t>
  </si>
  <si>
    <t>Management</t>
  </si>
  <si>
    <t>Summary of Fees &amp; Expenses</t>
  </si>
  <si>
    <t>Sponsor Fee</t>
  </si>
  <si>
    <t>Note: Goodwill Calculation</t>
  </si>
  <si>
    <t>FYE 2016 EBITDA</t>
  </si>
  <si>
    <t>EV (Excluding Fees) / FYE 2016 EBITDA</t>
  </si>
  <si>
    <t>Total EV / FYE 2016 EBITDA</t>
  </si>
  <si>
    <t>Base Case</t>
  </si>
  <si>
    <t>For the FYE December 27</t>
  </si>
  <si>
    <t>Revenues</t>
  </si>
  <si>
    <t>Interest Expense</t>
  </si>
  <si>
    <t>Total Interest Expense</t>
  </si>
  <si>
    <t>(Increase) / Decrease in Working Capital</t>
  </si>
  <si>
    <t>(Increase) / Decrease in Other LT Assets</t>
  </si>
  <si>
    <t>Increase / (Decrease) in Other LT Liabilities</t>
  </si>
  <si>
    <t>Cash Taxes</t>
  </si>
  <si>
    <t>Cash on Balance Sheet in Excess of Minimum Balance</t>
  </si>
  <si>
    <t>Other Sources / (Uses) of Cash</t>
  </si>
  <si>
    <t>Excess Cash After Debt Repayment</t>
  </si>
  <si>
    <t>Ending Cash Balance</t>
  </si>
  <si>
    <t>Credit Statistics</t>
  </si>
  <si>
    <t>EBITDA / Interest Expense</t>
  </si>
  <si>
    <t>(EBITDA - CapEx) / Interest Expense</t>
  </si>
  <si>
    <t>G&amp;A as a % of revenue</t>
  </si>
  <si>
    <t>Depreciation &amp; Amortization Margin</t>
  </si>
  <si>
    <t>CapEx Margin</t>
  </si>
  <si>
    <t>Interest Rate Assumptions</t>
  </si>
  <si>
    <t>Interest Earned on Cash</t>
  </si>
  <si>
    <t>Cash Interest Rate on Debt</t>
  </si>
  <si>
    <t>Libor Spread</t>
  </si>
  <si>
    <t>Fixed Rate</t>
  </si>
  <si>
    <t>Working Capital Assumptions</t>
  </si>
  <si>
    <t>Depreciation &amp; Amortization Assumptions</t>
  </si>
  <si>
    <t>Trade and Other Accounts Receivable, Net</t>
  </si>
  <si>
    <t>Prepaid Expenses and Other</t>
  </si>
  <si>
    <t>as a % of OpEX</t>
  </si>
  <si>
    <t>Accounts Payable</t>
  </si>
  <si>
    <t>Accrued Expenses</t>
  </si>
  <si>
    <t>Days Sales Inventories (CoGS)</t>
  </si>
  <si>
    <t>Note: Accrued Expenses consists of a combination of CoGS and OpEx related items such as: Unredeemed gift cards, Employee compensation/taxes, Insurances, CapEx, Advertising, Occupancy costs, Utilities, etc.</t>
  </si>
  <si>
    <t>Working Capital</t>
  </si>
  <si>
    <t>(Increase) / Decrease in Long-Term Assets</t>
  </si>
  <si>
    <t>Increase/ (Decrease) in Long-Term Liabilities</t>
  </si>
  <si>
    <t>(Increase in) / Reduction of Working Capital</t>
  </si>
  <si>
    <t>Check</t>
  </si>
  <si>
    <t>Cumul. Pay Down</t>
  </si>
  <si>
    <t>Stockholders' Equity</t>
  </si>
  <si>
    <t>Total Stockholders' Equity</t>
  </si>
  <si>
    <t>Total Liabilities, Redeemable Noncontrolling Interest,  &amp; Stockholders' Equity</t>
  </si>
  <si>
    <t>Interest Income</t>
  </si>
  <si>
    <t>Debt</t>
  </si>
  <si>
    <t>Fee</t>
  </si>
  <si>
    <t>Exit Multiple</t>
  </si>
  <si>
    <t>Sponsor Return</t>
  </si>
  <si>
    <t>of Options</t>
  </si>
  <si>
    <t>Net Value</t>
  </si>
  <si>
    <t>Adj. Equity</t>
  </si>
  <si>
    <t>Option</t>
  </si>
  <si>
    <t>Sponsor</t>
  </si>
  <si>
    <t>Equity</t>
  </si>
  <si>
    <t>Net</t>
  </si>
  <si>
    <t>Plus:</t>
  </si>
  <si>
    <t>Less:</t>
  </si>
  <si>
    <t>Enterprise</t>
  </si>
  <si>
    <t>Exit</t>
  </si>
  <si>
    <t>Total Financing Fees</t>
  </si>
  <si>
    <t>with Fee</t>
  </si>
  <si>
    <t>Gain</t>
  </si>
  <si>
    <t>Advisory Fees &amp; Expenses</t>
  </si>
  <si>
    <t>% of Equity Purchase Price</t>
  </si>
  <si>
    <t>Transaction Fees &amp; Expenses</t>
  </si>
  <si>
    <t>Share Price</t>
  </si>
  <si>
    <t>Note: Amortization of Deferred Financing Fees is included in EBITDA and CFO. Proper method would be to Less: Interest Expense, net (EBITDA --&gt; NI) and then Plus: Amortization of Financing Fees. For simplicity I'm pulling the BS change directly from the IS.</t>
  </si>
  <si>
    <t>Transaction Summary</t>
  </si>
  <si>
    <t>Tax Loss Carryforward</t>
  </si>
  <si>
    <t>Additions</t>
  </si>
  <si>
    <t>Use of NOLs</t>
  </si>
  <si>
    <t>Deferred Tax Asset</t>
  </si>
  <si>
    <t>Beginning NOL Balance</t>
  </si>
  <si>
    <t>Ending NOL Balance</t>
  </si>
  <si>
    <t>NOL usage</t>
  </si>
  <si>
    <t>Tax Schedule</t>
  </si>
  <si>
    <t>Income Taxes</t>
  </si>
  <si>
    <t>Plus: NOLs Created</t>
  </si>
  <si>
    <t>Less: NOLs Used</t>
  </si>
  <si>
    <t>NOL-Adjusted Pre-Tax Income</t>
  </si>
  <si>
    <t>Cash Taxes Payable</t>
  </si>
  <si>
    <t>Increase / (Decrease) in DTA</t>
  </si>
  <si>
    <t>(Increase) / Decrease in Deferred Tax Asset</t>
  </si>
  <si>
    <t>Note: DTA (Use of NOL tax effect) adjustment not captured by EBITDA (DTA --&gt; CF/BS book adjustment). Tax adjustment is modeling shortcut.</t>
  </si>
  <si>
    <t>Note: Intangible Asset Write-Up</t>
  </si>
  <si>
    <t>Included</t>
  </si>
  <si>
    <t>Stock Options</t>
  </si>
  <si>
    <t>Item</t>
  </si>
  <si>
    <t>Outstanding</t>
  </si>
  <si>
    <t>Shares Outstanding</t>
  </si>
  <si>
    <t>Purchase Premium</t>
  </si>
  <si>
    <t>Note: Based on KPMG "Percentage allocation of purchase price to intangible assets by industry (median)"</t>
  </si>
  <si>
    <t>Note: Only paying down bank debt</t>
  </si>
  <si>
    <t>Equity Purchase Price Calculation</t>
  </si>
  <si>
    <t>Assumptions</t>
  </si>
  <si>
    <t>Interest Rate</t>
  </si>
  <si>
    <t>Name</t>
  </si>
  <si>
    <t>Min. Cash Bal.</t>
  </si>
  <si>
    <t>Sources &amp; Uses</t>
  </si>
  <si>
    <t>Downside Case</t>
  </si>
  <si>
    <t>Open Case #1</t>
  </si>
  <si>
    <t>Income Statement:</t>
  </si>
  <si>
    <t>Open Case #2</t>
  </si>
  <si>
    <t>Multiple of</t>
  </si>
  <si>
    <t>FYE 2016 Adj. EBITDA</t>
  </si>
  <si>
    <t>Transaction Proceeds (excl. fees)</t>
  </si>
  <si>
    <t>Approximate Existing Debt</t>
  </si>
  <si>
    <t>Remaining Cash on Balance Sheet</t>
  </si>
  <si>
    <t>Total Transaction Value</t>
  </si>
  <si>
    <t>FYE 2016 Adjusted EBITDA</t>
  </si>
  <si>
    <t>Leverage Analysis</t>
  </si>
  <si>
    <t>Cumul. Multiple</t>
  </si>
  <si>
    <t>Net Leverage</t>
  </si>
  <si>
    <t>COGS &amp; SG&amp;A</t>
  </si>
  <si>
    <t>D&amp;A</t>
  </si>
  <si>
    <t>Purchase</t>
  </si>
  <si>
    <t>% of Cap</t>
  </si>
  <si>
    <t>Premium</t>
  </si>
  <si>
    <t>with fee</t>
  </si>
  <si>
    <t>With Fee</t>
  </si>
  <si>
    <t>Purchase Price Sensitivity Table</t>
  </si>
  <si>
    <t>Equity as a</t>
  </si>
  <si>
    <t>Equity % Sensitivity Table</t>
  </si>
  <si>
    <t>Starbucks</t>
  </si>
  <si>
    <t>Buyout</t>
  </si>
  <si>
    <t>IPO</t>
  </si>
  <si>
    <t>Date</t>
  </si>
  <si>
    <t>PNRA</t>
  </si>
  <si>
    <t>Adj. Close</t>
  </si>
  <si>
    <t>Panera</t>
  </si>
  <si>
    <t>S&amp;P 500</t>
  </si>
  <si>
    <t>Integration with Apple Pay</t>
  </si>
  <si>
    <t>Detail</t>
  </si>
  <si>
    <t>Market reaction: 4th quarter profit fell by 9%</t>
  </si>
  <si>
    <t>'No no' list of artificial additives introduced</t>
  </si>
  <si>
    <t>Share repurchases and intent to sell/refranchise 73 company-owned cafes announced</t>
  </si>
  <si>
    <t>"Panera Bread is replacing cashiers with kiosks — and it feels dystopian" - Business Week</t>
  </si>
  <si>
    <t>Panera 2.0 - 16% of sales are ordered and paid for digitally</t>
  </si>
  <si>
    <t>Key Dates</t>
  </si>
  <si>
    <t>Strong Q3 profits stemming from delivery and Panera 2.0 initiatives</t>
  </si>
  <si>
    <t>Q1</t>
  </si>
  <si>
    <t>Q2</t>
  </si>
  <si>
    <t>Q3</t>
  </si>
  <si>
    <t>Q4</t>
  </si>
  <si>
    <t>1/1 - 3/31</t>
  </si>
  <si>
    <t>4/1 - 6/30</t>
  </si>
  <si>
    <t>7/1 - 9/30</t>
  </si>
  <si>
    <t>10/1 - 12/31</t>
  </si>
  <si>
    <t>Deutuche Bank</t>
  </si>
  <si>
    <t>Avg.</t>
  </si>
  <si>
    <t>Consensus</t>
  </si>
  <si>
    <t>Quarter</t>
  </si>
  <si>
    <t>"Daaaaaamn Panera, Back at it Again with the Pseudoscience." article  attacks Panera Bread marketing campaign and gains attention from major news outlets such as Forbes</t>
  </si>
  <si>
    <t>Panera 2.0 initiative results in same store sales growth of 1.8%</t>
  </si>
  <si>
    <t>Price Target</t>
  </si>
  <si>
    <t>MS Consensus EPS (Thompson Reuters Estimates)</t>
  </si>
  <si>
    <t>EPS</t>
  </si>
  <si>
    <t>%</t>
  </si>
  <si>
    <t>Difference</t>
  </si>
  <si>
    <t>Taxes</t>
  </si>
  <si>
    <t>Refranchising Loss</t>
  </si>
  <si>
    <t>Non-Recurring &amp; Other</t>
  </si>
  <si>
    <t>Other expenses, net</t>
  </si>
  <si>
    <t>Plus: Debt</t>
  </si>
  <si>
    <t>Enterprise Value Calculation</t>
  </si>
  <si>
    <t>as of</t>
  </si>
  <si>
    <t>In $ millions</t>
  </si>
  <si>
    <t>Current</t>
  </si>
  <si>
    <t>Long-term</t>
  </si>
  <si>
    <t>EV/EBITDA</t>
  </si>
  <si>
    <t>EBTIDA</t>
  </si>
  <si>
    <t>EV / EBITDA</t>
  </si>
  <si>
    <t>Company</t>
  </si>
  <si>
    <t>Options &amp; Warrants Outstanding</t>
  </si>
  <si>
    <t>Cost of Goods Sold</t>
  </si>
  <si>
    <t>Target</t>
  </si>
  <si>
    <t>Golden Gate Capital</t>
  </si>
  <si>
    <t>Healthy</t>
  </si>
  <si>
    <t>Fast casual sales</t>
  </si>
  <si>
    <t>Instructions</t>
  </si>
  <si>
    <t>Students are encouraged to adjust the values of cells with 'light gold' highlighting</t>
  </si>
  <si>
    <r>
      <t xml:space="preserve">Rows with </t>
    </r>
    <r>
      <rPr>
        <b/>
        <sz val="12"/>
        <color rgb="FFFF0000"/>
        <rFont val="Calibri"/>
        <family val="2"/>
        <scheme val="minor"/>
      </rPr>
      <t xml:space="preserve">recursion points </t>
    </r>
    <r>
      <rPr>
        <sz val="12"/>
        <color theme="1"/>
        <rFont val="Calibri"/>
        <family val="2"/>
        <scheme val="minor"/>
      </rPr>
      <t>have been marked in column T and display appropriate errors if a model recursion error occurs.</t>
    </r>
  </si>
  <si>
    <t>Hardcoded data has been colored with blue text</t>
  </si>
  <si>
    <t>Links between different work sheets have been colored with green text</t>
  </si>
  <si>
    <t>JAB</t>
  </si>
  <si>
    <t>Krispy Kreme Doughnuts</t>
  </si>
  <si>
    <t>Teavana</t>
  </si>
  <si>
    <t>Burger King Worldwide</t>
  </si>
  <si>
    <t>Tim Hortons</t>
  </si>
  <si>
    <t>Caribou Coffee</t>
  </si>
  <si>
    <t>Benihana</t>
  </si>
  <si>
    <t>(Management Estimates)</t>
  </si>
  <si>
    <t>NM</t>
  </si>
  <si>
    <t>Assumption Checklist</t>
  </si>
  <si>
    <t>LBO Model Sheet</t>
  </si>
  <si>
    <t>Sensitivity Tables</t>
  </si>
  <si>
    <t>Equity as a % of Cap</t>
  </si>
  <si>
    <t>Open Case #1 Title</t>
  </si>
  <si>
    <t>Open Case #2 Title</t>
  </si>
  <si>
    <t>Projections</t>
  </si>
  <si>
    <t>Upside Case</t>
  </si>
  <si>
    <t>Coffee Café</t>
  </si>
  <si>
    <t>Blaze Pizza</t>
  </si>
  <si>
    <t>Burger King</t>
  </si>
  <si>
    <t>2017E</t>
  </si>
  <si>
    <t>2018E</t>
  </si>
  <si>
    <t>Fast Casual</t>
  </si>
  <si>
    <t>Chipotle</t>
  </si>
  <si>
    <t>Wingstop Inc.</t>
  </si>
  <si>
    <t>Potbelly</t>
  </si>
  <si>
    <t>Zoe’s Kitchen</t>
  </si>
  <si>
    <t>Habit Restaurants</t>
  </si>
  <si>
    <t>Freshii</t>
  </si>
  <si>
    <t>Noodles &amp; Company</t>
  </si>
  <si>
    <t>Multinational QSR</t>
  </si>
  <si>
    <t>Domino’s</t>
  </si>
  <si>
    <t>McDonald’s</t>
  </si>
  <si>
    <t>Yum! Brands</t>
  </si>
  <si>
    <t>Domestic QSR</t>
  </si>
  <si>
    <t>Dunkin’ Brands</t>
  </si>
  <si>
    <t>Jack in the Box</t>
  </si>
  <si>
    <t>Papa John’s</t>
  </si>
  <si>
    <t>Sonic</t>
  </si>
  <si>
    <t>Bojangles’</t>
  </si>
  <si>
    <t>Fiesta Restaurant Group</t>
  </si>
  <si>
    <t>El Pollo Loco</t>
  </si>
  <si>
    <t>Del Taco</t>
  </si>
  <si>
    <t>P /E</t>
  </si>
  <si>
    <t>Note: Pro forma for announced acquisition of Popeye’s Louisiana Kitchen by Restaurant Brands</t>
  </si>
  <si>
    <r>
      <t>Restaurant Brands</t>
    </r>
    <r>
      <rPr>
        <vertAlign val="superscript"/>
        <sz val="12"/>
        <color theme="1"/>
        <rFont val="Calibri"/>
        <family val="2"/>
        <scheme val="minor"/>
      </rPr>
      <t>(1)</t>
    </r>
  </si>
  <si>
    <t>LTM EBITDA</t>
  </si>
  <si>
    <t>Peet’s Coffee &amp; Tea</t>
  </si>
  <si>
    <t>Restaurant Brands International</t>
  </si>
  <si>
    <t>Popeye’s Louisiana Kitchen</t>
  </si>
  <si>
    <t>Darden Restaurants</t>
  </si>
  <si>
    <t>Yard House</t>
  </si>
  <si>
    <t>Einstein Noah Restaurant Group</t>
  </si>
  <si>
    <t>Red Lobster</t>
  </si>
  <si>
    <t>Angelo, Gordon &amp; Co.</t>
  </si>
  <si>
    <t>Levy Acquisition Corp.</t>
  </si>
  <si>
    <t>Del Taco Restaurants</t>
  </si>
  <si>
    <t>Centerbridge Partners</t>
  </si>
  <si>
    <t>P.F. Chang’s China Bistro</t>
  </si>
  <si>
    <t>Premium to</t>
  </si>
  <si>
    <t>Trailing</t>
  </si>
  <si>
    <t>30-Trading-Day</t>
  </si>
  <si>
    <t>VWAP</t>
  </si>
  <si>
    <t>Refinanced Debt (Less: Assumed Debt)</t>
  </si>
  <si>
    <t>Cumulative</t>
  </si>
  <si>
    <t>Debt Multiple</t>
  </si>
  <si>
    <t>By Tranche</t>
  </si>
  <si>
    <t>Note: Non-recurring events consists of: Refranchising, Goodwill Impairment, and Other Immaterial Items</t>
  </si>
  <si>
    <t>Dep. Method</t>
  </si>
  <si>
    <t>% of Revenue</t>
  </si>
  <si>
    <t>Segment</t>
  </si>
  <si>
    <t>Menu Type</t>
  </si>
  <si>
    <t>Restaurants</t>
  </si>
  <si>
    <t>Quick Service</t>
  </si>
  <si>
    <t>KFC</t>
  </si>
  <si>
    <t>Pizza Hut</t>
  </si>
  <si>
    <t>Baskin Robins</t>
  </si>
  <si>
    <t>Dunkin' Donuts</t>
  </si>
  <si>
    <t>Frozen Desserts</t>
  </si>
  <si>
    <t>Pollo Tropical</t>
  </si>
  <si>
    <t>Taco Cabana</t>
  </si>
  <si>
    <t>Zoës Kitchen</t>
  </si>
  <si>
    <t>Sonic Drive-In</t>
  </si>
  <si>
    <t>The Habit Burger Grill</t>
  </si>
  <si>
    <t>PopEyes Louisiana Kitchen</t>
  </si>
  <si>
    <t xml:space="preserve">Bojangles' </t>
  </si>
  <si>
    <t>Corporate</t>
  </si>
  <si>
    <t>Secondary</t>
  </si>
  <si>
    <t>--&gt;</t>
  </si>
  <si>
    <t>2016 FYE</t>
  </si>
  <si>
    <t>Chick-fil-A</t>
  </si>
  <si>
    <t>Fast-Casual</t>
  </si>
  <si>
    <t>Bakery-Café</t>
  </si>
  <si>
    <t>Au Bon Pain</t>
  </si>
  <si>
    <t>Exhibit 3: Fast-casual Growth by Menu Type</t>
  </si>
  <si>
    <t>Exhibit 4: Panera Bakery-Cafés</t>
  </si>
  <si>
    <t>Dry Powder</t>
  </si>
  <si>
    <t>Q1 2017</t>
  </si>
  <si>
    <t>Buyout/LBO</t>
  </si>
  <si>
    <t>Add-on</t>
  </si>
  <si>
    <t>Recap</t>
  </si>
  <si>
    <t>PE Growth/Expansion</t>
  </si>
  <si>
    <t>Platform Creation</t>
  </si>
  <si>
    <t>Exhibit 6: Number of US PE Deals by Type and Year</t>
  </si>
  <si>
    <t>Debt/EBITDA</t>
  </si>
  <si>
    <t>Equity/EBITDA</t>
  </si>
  <si>
    <t>Debt Percent</t>
  </si>
  <si>
    <t>Exhibit 7: US PE Buyout Multiples</t>
  </si>
  <si>
    <t>Under $25M</t>
  </si>
  <si>
    <t>$25M-$100M</t>
  </si>
  <si>
    <t>$100M-$500M</t>
  </si>
  <si>
    <t>$500M-$1B</t>
  </si>
  <si>
    <t>$1B-$2.5B</t>
  </si>
  <si>
    <t>$2.5B+</t>
  </si>
  <si>
    <t>Other Senior Debt</t>
  </si>
  <si>
    <t>Second-lien</t>
  </si>
  <si>
    <t>First-lien</t>
  </si>
  <si>
    <t>Q3 2017</t>
  </si>
  <si>
    <t>Pixel count</t>
  </si>
  <si>
    <t xml:space="preserve">pixels = </t>
  </si>
  <si>
    <t>Conversion Ratio</t>
  </si>
  <si>
    <t>Exhibit 12: Panera Bread Annotated Stock Chart</t>
  </si>
  <si>
    <t>Exhibit 9: Number of US PE Deals by Size</t>
  </si>
  <si>
    <t>Scroll</t>
  </si>
  <si>
    <t>Right</t>
  </si>
  <si>
    <t>EV /</t>
  </si>
  <si>
    <t>Exhibit 21: Earnings Predictability</t>
  </si>
  <si>
    <t>Exhibit 20: Mean Wall Street Consensus Stock Price Targets</t>
  </si>
  <si>
    <t>Exhibit 19: Precedent Transactions</t>
  </si>
  <si>
    <t>Exhibit 18: Comparable Public Companies</t>
  </si>
  <si>
    <t>US Restaurants</t>
  </si>
  <si>
    <t>'16-'21</t>
  </si>
  <si>
    <t>Note: Options &amp; Warrants Outstanding Calculation</t>
  </si>
  <si>
    <t>Consolidated Balance Sheet @ Transaction Close</t>
  </si>
  <si>
    <t>Interest Income on Cash Balance</t>
  </si>
  <si>
    <t>Cash Available for Debt Service</t>
  </si>
  <si>
    <t>Cash Available for Debt Repayment</t>
  </si>
  <si>
    <t>Minimum Cash Balance</t>
  </si>
  <si>
    <t>Interest Rate, Working Capital, and Depreciation &amp; Amortization Assumptions</t>
  </si>
  <si>
    <t>Note - IBISWorld and restaurant association don't agree on fast-food sales</t>
  </si>
  <si>
    <t>Multinational Quick Service Restaurants</t>
  </si>
  <si>
    <t>Domestic Quick Service Restaurants</t>
  </si>
  <si>
    <t>In USD $ Thousands, except per share data</t>
  </si>
  <si>
    <t>Note: Intangible asset write-up assumption based on KPMG "Percentage allocation of purchase price to intangible assets by industry (median)"</t>
  </si>
  <si>
    <t>Net changes in operating working capital</t>
  </si>
  <si>
    <t>Favorable lease agreements, re-acquired rights, and trademarks</t>
  </si>
  <si>
    <t>Cash available to service debt</t>
  </si>
  <si>
    <t>Please enable iterative calculations. (File -&gt; Options -&gt; Formulas -&gt; Calculation Options -&gt; Enable iterative calculations)</t>
  </si>
  <si>
    <t>Acquirer</t>
  </si>
  <si>
    <r>
      <t>Revenue ($ MM)</t>
    </r>
    <r>
      <rPr>
        <vertAlign val="superscript"/>
        <sz val="12"/>
        <color theme="1"/>
        <rFont val="Calibri"/>
        <family val="2"/>
        <scheme val="minor"/>
      </rPr>
      <t>T</t>
    </r>
  </si>
  <si>
    <t>Case Field:</t>
  </si>
  <si>
    <t>Prevents the LBO model related data from updating when locked.</t>
  </si>
  <si>
    <t>Note: SEC XBRL data includes erroneous 2015 Deferred income tax (assets) not present in HTM submission.</t>
  </si>
  <si>
    <t>Profit margins recover to peak levels</t>
  </si>
  <si>
    <t>Profit levels recover to peek levels</t>
  </si>
  <si>
    <t>G&amp;A recovery as Delivery and 2.0 overhead costs reduce</t>
  </si>
  <si>
    <t>G&amp;A maintain, as gross margins recover</t>
  </si>
  <si>
    <t>Maintain steady</t>
  </si>
  <si>
    <t>Capex &amp; D&amp;A maintain equilibrium</t>
  </si>
  <si>
    <t>Revenue grows in line with wall street estimates for 3 years before falling in line with greater fast-food industry growth rate</t>
  </si>
  <si>
    <t>No margin recovery</t>
  </si>
  <si>
    <t>Revenue is projected to grow in line with analyst expectations (to 2021) and then fall in line with the historical (5-year CAGR) fast-casual segment growth rate.</t>
  </si>
  <si>
    <t xml:space="preserve">Capital Expenditures and Depreciation &amp; Amortization follow analyst projections (to 2021) before stabilizing in equilibrium. </t>
  </si>
  <si>
    <t>Transaction Summary:</t>
  </si>
  <si>
    <t>Purchase Premium (%)</t>
  </si>
  <si>
    <t>Bank Term Loan (% of total)</t>
  </si>
  <si>
    <t>Subordinated Debentures (% of total)</t>
  </si>
  <si>
    <t>Sponsor Equity (% of total)</t>
  </si>
  <si>
    <t>KLG High Bid</t>
  </si>
  <si>
    <t>Typical Debt Ceiling</t>
  </si>
  <si>
    <t>Unlock</t>
  </si>
  <si>
    <t>Bool:</t>
  </si>
  <si>
    <t>High Bid</t>
  </si>
  <si>
    <t>Low Bid</t>
  </si>
  <si>
    <t>Table Bool</t>
  </si>
  <si>
    <t>Projection Scenario Titles</t>
  </si>
  <si>
    <t>Purchase Premium &amp; Sources</t>
  </si>
  <si>
    <t>30-day VWAP (as of March 31, 2017)</t>
  </si>
  <si>
    <t>troubleshooting. Once a valid input has been provided the model should continue working.</t>
  </si>
  <si>
    <t xml:space="preserve">Iferror() formulas that resolve to -1 in the case of an error have been utilized to improve the model's resilience and avoid any </t>
  </si>
  <si>
    <r>
      <rPr>
        <b/>
        <sz val="12"/>
        <color theme="1"/>
        <rFont val="Calibri"/>
        <family val="2"/>
        <scheme val="minor"/>
      </rPr>
      <t>Hint:</t>
    </r>
    <r>
      <rPr>
        <sz val="12"/>
        <color theme="1"/>
        <rFont val="Calibri"/>
        <family val="2"/>
        <scheme val="minor"/>
      </rPr>
      <t xml:space="preserve"> You may view two or more worksheets simultaneously in the same excel document by using View --&gt; New Window.</t>
    </r>
  </si>
  <si>
    <t>Offer Price Per Share</t>
  </si>
  <si>
    <t>( × ) Purchase Premium</t>
  </si>
  <si>
    <t>Fully Diluted Shares Outstanding</t>
  </si>
  <si>
    <t>( × ) Offer Price Per Share</t>
  </si>
  <si>
    <t>( + ) Refinanced Debt</t>
  </si>
  <si>
    <t>Refinanced Debt</t>
  </si>
  <si>
    <t>( + ) Assumed Debt</t>
  </si>
  <si>
    <t>( - ) Remaining Cash on Balance Sheet (Cushion)</t>
  </si>
  <si>
    <t>( + ) Transaction Fees &amp; Expenses</t>
  </si>
  <si>
    <t>( × ) % Allocated to Intangibles</t>
  </si>
  <si>
    <t>( ÷ ) Amortization Period (Years)</t>
  </si>
  <si>
    <t>( - ) Book Value Acquired</t>
  </si>
  <si>
    <t>( - ) Intangible Asset Write-up</t>
  </si>
  <si>
    <t>( + ) Existing Goodwill</t>
  </si>
  <si>
    <t>Assumed Debt Issuances / (Repayments)</t>
  </si>
  <si>
    <t>Bank Revolver Issuances / (Repayments)</t>
  </si>
  <si>
    <t>Bank Term Loan Issuances / (Repayments)</t>
  </si>
  <si>
    <t>Subordinated Note Issuances / (Repayments)</t>
  </si>
  <si>
    <t>Other Current Assets</t>
  </si>
  <si>
    <t>Property and Equipment, Net</t>
  </si>
  <si>
    <t>New Goodwill</t>
  </si>
  <si>
    <t>New Intangible Assets</t>
  </si>
  <si>
    <t>Other Assets</t>
  </si>
  <si>
    <t>Other Current Liabilities</t>
  </si>
  <si>
    <t>Subordinated Note</t>
  </si>
  <si>
    <t>Deferred Income Taxes</t>
  </si>
  <si>
    <t>Other Liabilities</t>
  </si>
  <si>
    <t>Redeemable Noncontrolling Interest</t>
  </si>
  <si>
    <t>Bakery-café Sales, Net</t>
  </si>
  <si>
    <t>Franchise Royalties and Fees</t>
  </si>
  <si>
    <t>Fresh Dough and Other Product Sales to Franchisees</t>
  </si>
  <si>
    <t>Bakery-cafe Expenses:</t>
  </si>
  <si>
    <t>Cost of Food and Paper products</t>
  </si>
  <si>
    <t>Other Operating Expenses</t>
  </si>
  <si>
    <t>Total Bakery Cafe Expenses</t>
  </si>
  <si>
    <t>Fresh dough and Other Product Cost of Sales to Franchisees</t>
  </si>
  <si>
    <t>General and Administrative Expenses</t>
  </si>
  <si>
    <t>Pre-opening Expenses</t>
  </si>
  <si>
    <t>Amortization of Identifiable Intangible Assets</t>
  </si>
  <si>
    <t>Amortization of Deferred Financing Fees</t>
  </si>
  <si>
    <t>Less: Non-recurring Events</t>
  </si>
  <si>
    <t>Less: Income Attributable to Noncontrolling Interest</t>
  </si>
  <si>
    <t>G&amp;A as a % of Revenue</t>
  </si>
  <si>
    <t>Pre-opening Expenses as a % of Revenue</t>
  </si>
  <si>
    <t xml:space="preserve">Projection Scenario: </t>
  </si>
  <si>
    <t xml:space="preserve">Bid Scenario: </t>
  </si>
  <si>
    <t>Current Case</t>
  </si>
  <si>
    <t>Table Step</t>
  </si>
  <si>
    <t>Enterprise Value w/ Fees</t>
  </si>
  <si>
    <t>Scenario Manager</t>
  </si>
  <si>
    <t>Including Sponsor Fee</t>
  </si>
  <si>
    <t>Including Initial Fees</t>
  </si>
  <si>
    <t>Open Bid #1 Title</t>
  </si>
  <si>
    <t>Open Bid #2 Title</t>
  </si>
  <si>
    <t>Enterprise Value (Purchase Price)</t>
  </si>
  <si>
    <t>30-trading day VWAP (as of March 31, 2017)</t>
  </si>
  <si>
    <t>KLG Low Bid</t>
  </si>
  <si>
    <t>Open Bid #3 Title</t>
  </si>
  <si>
    <t>5 years</t>
  </si>
  <si>
    <t>15 years</t>
  </si>
  <si>
    <t>Origination</t>
  </si>
  <si>
    <t>Maximum</t>
  </si>
  <si>
    <t>( + ) In-The-Money Options and Warrants</t>
  </si>
  <si>
    <t>( - ) Proceeds From Liquidation of Options and Warrants</t>
  </si>
  <si>
    <t>Allocable Purchase Premium</t>
  </si>
  <si>
    <t>Please enable data table calculations. (File -&gt; Options -&gt; Formulas -&gt; Calculation Options -&gt; Workbook Calculation Automatic)</t>
  </si>
  <si>
    <t>Straight-line - don't expect store openings to substantially change</t>
  </si>
  <si>
    <t>Straight-line</t>
  </si>
  <si>
    <t>Note: TV vs. Total EV calculation differences will result in a slight discrepancy in returns</t>
  </si>
  <si>
    <t>Bank revolver</t>
  </si>
  <si>
    <t>Bank term Loan</t>
  </si>
  <si>
    <t>Subordinated debentures</t>
  </si>
  <si>
    <t>Note: Higher/Lower purchase premiums do not reflect an optimized capital structure and may violate debt covenants.</t>
  </si>
  <si>
    <t>Note: Higher/Lower sponsor equity values do not reflect an optimized capital structure and may violate debt covenants.</t>
  </si>
  <si>
    <t>Note: The following tables are based on the KLG High Bid Case</t>
  </si>
  <si>
    <t>Note: 2016 - Reduced pace of new bakery-café openings and completion of one-time refranchising of 150 company-owned bakery-cafés.</t>
  </si>
  <si>
    <t>Blaine Hurst appointed President</t>
  </si>
  <si>
    <t>Figure 1: Comparable Public Competitors</t>
  </si>
  <si>
    <t>Figure 2: Other Selected Competitors</t>
  </si>
  <si>
    <t>Lock</t>
  </si>
  <si>
    <t>2Q</t>
  </si>
  <si>
    <t>3Q</t>
  </si>
  <si>
    <t>4Q</t>
  </si>
  <si>
    <t>1Q</t>
  </si>
  <si>
    <t>Corporate Acquisition</t>
  </si>
  <si>
    <t>Secondary Buyout</t>
  </si>
  <si>
    <t>Total Exit Value ($B)</t>
  </si>
  <si>
    <t>Exhibit 11: Percentage of US PE Exits by Type (Past Twelve Months)</t>
  </si>
  <si>
    <t>Company 10-k filings</t>
  </si>
  <si>
    <t>https://www.restaurantbusinessonline.com/top-500-2018?year=2017&amp;page=1#data-table</t>
  </si>
  <si>
    <t>(PE capital overhang ($B) by year and years of PE dry powder on hand)</t>
  </si>
  <si>
    <t xml:space="preserve">2017 Pitchbook PE &amp; VC Fundraising Annual Report </t>
  </si>
  <si>
    <t>PitchBook_3Q_2018_US_PE_Breakdown_Summary_XLS.xls</t>
  </si>
  <si>
    <t>PitchBook 3Q 2018 US PE Breakdown Summary</t>
  </si>
  <si>
    <t>Bain &amp; Company Global Private Equity Report 2018 table (p. 4)</t>
  </si>
  <si>
    <t>Note: Values estimated based on pixels in pdf.</t>
  </si>
  <si>
    <t>S&amp;P CapitalIQ LCD</t>
  </si>
  <si>
    <t>Exhibit 10: Average Debt/EBITDA for Large US LBO Transactions</t>
  </si>
  <si>
    <t>Note: Large LBO transactions are defined as issuers with EBITDA greater than $50 million. Ratios are not calculated cumulatively, unlike the given model.</t>
  </si>
  <si>
    <t>Pitchbook 3Q 2018 US PE Breakdown Summary</t>
  </si>
  <si>
    <t>http://www.mergentonline.com.turing.library.northwestern.edu/equitypricing.php?pagetype=report&amp;compnumber=66466</t>
  </si>
  <si>
    <t>Yahoo Finance ^GSPC</t>
  </si>
  <si>
    <t>Barclays, Credit Suisse, Morgan Stanley, UBS, Wells Fargo, Piper Jaffrey, and Guggenheim equity research reports retrieved from Thomson Reuters database.</t>
  </si>
  <si>
    <t>Company Schedule 14-A</t>
  </si>
  <si>
    <t>Exhibit 16: Panera Bread Same-Store Sales Growth</t>
  </si>
  <si>
    <t>Note: Panera Bread does not record franchise-operated net bakery-cafe sales as revenues.</t>
  </si>
  <si>
    <t>https://www.sec.gov/Archives/edgar/data/724606/000119312517189582/d366589ddefm14a.htm</t>
  </si>
  <si>
    <t xml:space="preserve"> Mergent Online</t>
  </si>
  <si>
    <t>Barclays, Credit Suisse, Morgan Stanley, UBS, Wells Fargo, Piper Jaffrey, and Guggenheim. Barclays, Credit Suisse, Deutsche Bank, Morgan Stanley, Piper Jaffray, UBS, and Wells Fargo equity research reports retrieved from Thomson Reuters databases.</t>
  </si>
  <si>
    <t>Thompson Reuters Consensus Estimates (via Morgan Stanley Equity Research Reports)</t>
  </si>
  <si>
    <t>Company 14-A 10-k Filings</t>
  </si>
  <si>
    <t>Created by the authors</t>
  </si>
  <si>
    <t>Exhibit 23: Available Debt-Financing Terms</t>
  </si>
  <si>
    <t>Exhibit 22: Panera Bread’s Historical EBITDA Multiples ($ in Millions)</t>
  </si>
  <si>
    <t>Exhibit 15: Management Estimates ($ in Millions)</t>
  </si>
  <si>
    <t>Exhibit 14: Mean Wall Street Consensus Estimates ($ in Millions)</t>
  </si>
  <si>
    <t>Exhibit 8: US PE Deals by Size ($ in Billions)</t>
  </si>
  <si>
    <t>Exhibit 5: PE Dry Powder ($ in Billions)</t>
  </si>
  <si>
    <t>Exhibit 2: Fast Casual 2016 US Sales by Menu Type</t>
  </si>
  <si>
    <t>Exhibit 1: US Limited-Service Revenues ($ in Billions)</t>
  </si>
  <si>
    <t>IRR</t>
  </si>
  <si>
    <t>Sponsor Return (Assumed No Cash Dividends)</t>
  </si>
  <si>
    <t>Implied</t>
  </si>
  <si>
    <t>"g"</t>
  </si>
  <si>
    <t>FCFF</t>
  </si>
  <si>
    <t>Assumed Exit Year:</t>
  </si>
  <si>
    <t>check VT</t>
  </si>
  <si>
    <t>check</t>
  </si>
  <si>
    <t>WACC Analysis</t>
  </si>
  <si>
    <t>Comments / assumptions</t>
  </si>
  <si>
    <t>CAPITAL STRUCTURE</t>
  </si>
  <si>
    <t>D/E Target</t>
  </si>
  <si>
    <t>% Debt</t>
  </si>
  <si>
    <t>Based on target capital structure &amp; credit analysis</t>
  </si>
  <si>
    <t>% Equity</t>
  </si>
  <si>
    <t>COST OF DEBT 
("Kd")</t>
  </si>
  <si>
    <t>Kd pre-tax</t>
  </si>
  <si>
    <t xml:space="preserve">Tax rate </t>
  </si>
  <si>
    <t>Kd after-tax</t>
  </si>
  <si>
    <t>COST OF EQUITY
("Ke")</t>
  </si>
  <si>
    <t>US Treasury (10 Yr)</t>
  </si>
  <si>
    <t>Beta</t>
  </si>
  <si>
    <t>From "Beta Estimates" calculations below</t>
  </si>
  <si>
    <t>Ke</t>
  </si>
  <si>
    <t>Beta Estimates</t>
  </si>
  <si>
    <t>Beta Levered (Comps)</t>
  </si>
  <si>
    <t>D/E (Comps)</t>
  </si>
  <si>
    <r>
      <t>Beta Unevered (</t>
    </r>
    <r>
      <rPr>
        <sz val="10"/>
        <rFont val="Symbol"/>
        <family val="1"/>
        <charset val="2"/>
      </rPr>
      <t>b</t>
    </r>
    <r>
      <rPr>
        <sz val="10"/>
        <rFont val="Calibri"/>
        <family val="2"/>
      </rPr>
      <t>u)</t>
    </r>
  </si>
  <si>
    <r>
      <t>b</t>
    </r>
    <r>
      <rPr>
        <sz val="10"/>
        <rFont val="Calibri"/>
        <family val="2"/>
      </rPr>
      <t xml:space="preserve">u = </t>
    </r>
    <r>
      <rPr>
        <sz val="10"/>
        <rFont val="Symbol"/>
        <family val="1"/>
        <charset val="2"/>
      </rPr>
      <t>b</t>
    </r>
    <r>
      <rPr>
        <sz val="10"/>
        <rFont val="Calibri"/>
        <family val="2"/>
      </rPr>
      <t>e / [1 + ( (1 - tx %) x D/E)]</t>
    </r>
  </si>
  <si>
    <t>Target D/E</t>
  </si>
  <si>
    <t>From row "D/E Target"</t>
  </si>
  <si>
    <r>
      <t>Beta Re-levered (</t>
    </r>
    <r>
      <rPr>
        <b/>
        <sz val="10"/>
        <rFont val="Symbol"/>
        <family val="1"/>
        <charset val="2"/>
      </rPr>
      <t>b</t>
    </r>
    <r>
      <rPr>
        <b/>
        <sz val="10"/>
        <rFont val="Calibri"/>
        <family val="2"/>
      </rPr>
      <t>e)</t>
    </r>
  </si>
  <si>
    <r>
      <t>b</t>
    </r>
    <r>
      <rPr>
        <sz val="10"/>
        <rFont val="Calibri"/>
        <family val="2"/>
      </rPr>
      <t xml:space="preserve">e = </t>
    </r>
    <r>
      <rPr>
        <sz val="10"/>
        <rFont val="Symbol"/>
        <family val="1"/>
        <charset val="2"/>
      </rPr>
      <t>b</t>
    </r>
    <r>
      <rPr>
        <sz val="10"/>
        <rFont val="Calibri"/>
        <family val="2"/>
      </rPr>
      <t>u x [1 + ( (1 - tx %)  x D/E)]</t>
    </r>
  </si>
  <si>
    <t>WACC</t>
  </si>
  <si>
    <t>Discount Rate</t>
  </si>
  <si>
    <t>COMPARABLES
CAPITAL STRUCTURE</t>
  </si>
  <si>
    <t>Average Interest Rate %</t>
  </si>
  <si>
    <t>US treasury database as of 3/31/2017</t>
  </si>
  <si>
    <t>DEAL 
CAPITAL STRUCTURE</t>
  </si>
  <si>
    <t>LOWER DEBT 
CAPITAL STRUCTURE</t>
  </si>
  <si>
    <t>Average Beta of comparable companies</t>
  </si>
  <si>
    <t>Assumption provided</t>
  </si>
  <si>
    <t>Effective tax rate assumed in LBO Model</t>
  </si>
  <si>
    <t>Equity Risk Premium - PE Market</t>
  </si>
  <si>
    <t>From Cambridge Associates</t>
  </si>
  <si>
    <t>US dollars in millions</t>
  </si>
  <si>
    <t>Historic</t>
  </si>
  <si>
    <t>Projected - BASE CASE</t>
  </si>
  <si>
    <t>Annual Growth %</t>
  </si>
  <si>
    <t>EBITDA Margin %</t>
  </si>
  <si>
    <t>Operating Income</t>
  </si>
  <si>
    <t>EBIT Margin %</t>
  </si>
  <si>
    <t>Income Tax on EBIT</t>
  </si>
  <si>
    <t>After-tax Operating Income</t>
  </si>
  <si>
    <t>Depreciation &amp; Amortization</t>
  </si>
  <si>
    <t>(Inc) / Dec in Working Capital</t>
  </si>
  <si>
    <t>Discount Years</t>
  </si>
  <si>
    <t>Discount Factor</t>
  </si>
  <si>
    <t>Equity Value - Sensitivity Analysis</t>
  </si>
  <si>
    <t>Enterprise Value …........................................................................................</t>
  </si>
  <si>
    <t>Terminal</t>
  </si>
  <si>
    <t>Equity Value …........................................................................................</t>
  </si>
  <si>
    <t>Price per Share ….............................................................................................</t>
  </si>
  <si>
    <t>DCF Multiples</t>
  </si>
  <si>
    <t xml:space="preserve">EV/EBITDA Multiple </t>
  </si>
  <si>
    <t>Valuation Assumptions</t>
  </si>
  <si>
    <t>Terminal EBITDA Multiple</t>
  </si>
  <si>
    <t>LT Free Cash Flow Growth Rate (Implied)</t>
  </si>
  <si>
    <t>Date of Last Financial Statements</t>
  </si>
  <si>
    <t>Operating Assumptions</t>
  </si>
  <si>
    <t>Tax as % of Revenues</t>
  </si>
  <si>
    <t>Depreciation &amp; Amortization as % of Revenues</t>
  </si>
  <si>
    <t>Capital Expenditures as % of Revenues</t>
  </si>
  <si>
    <t>Net Working Capital as % of Revenues</t>
  </si>
  <si>
    <t>FCFF as % of Revenues</t>
  </si>
  <si>
    <t>Income Tax Rate</t>
  </si>
  <si>
    <t>Panera Bread -- DCF Analysis (Base Case)</t>
  </si>
  <si>
    <t xml:space="preserve">NA </t>
  </si>
  <si>
    <t>Median</t>
  </si>
  <si>
    <t>Average</t>
  </si>
  <si>
    <t>ALL</t>
  </si>
  <si>
    <t>Shares Outstanding (MM) …..............................................................................................</t>
  </si>
  <si>
    <t>Premium to 30-day Avg Price …..............................................................................................</t>
  </si>
  <si>
    <t>Fast Casual range 15 a 25x</t>
  </si>
  <si>
    <t>Price/Share</t>
  </si>
  <si>
    <t>Valuation Method</t>
  </si>
  <si>
    <t>High</t>
  </si>
  <si>
    <t>Low</t>
  </si>
  <si>
    <t xml:space="preserve">    Comments</t>
  </si>
  <si>
    <t>Mid</t>
  </si>
  <si>
    <t>DCF - Base Case</t>
  </si>
  <si>
    <t>M&amp;A Deal Multiples</t>
  </si>
  <si>
    <t>EV</t>
  </si>
  <si>
    <t>Net Debt/(Cash)</t>
  </si>
  <si>
    <t>Shares</t>
  </si>
  <si>
    <t>EBITDA Multiple - Low</t>
  </si>
  <si>
    <t>EBITDA Multiple - High</t>
  </si>
  <si>
    <t>Public Comps</t>
  </si>
  <si>
    <t>M&amp;A Comps</t>
  </si>
  <si>
    <t>LTM EBITDA</t>
  </si>
  <si>
    <t>2017E EBITDA</t>
  </si>
  <si>
    <t>Public Comps + Premium</t>
  </si>
  <si>
    <t>Multiple Incr.</t>
  </si>
  <si>
    <t>Valuation Matrix - Panera Bread</t>
  </si>
  <si>
    <t>Wall Street Consensus:</t>
  </si>
  <si>
    <t>JAB's range 10 a 22x</t>
  </si>
  <si>
    <t>Panera Bread -- APV Analysis (Base Case)</t>
  </si>
  <si>
    <t>DCF of Free Cash Flows</t>
  </si>
  <si>
    <t>Total DCF - Enterprise Value ….......................................................................................................................................................</t>
  </si>
  <si>
    <t>1) PV of FCFF @ Ke ("All equity" capital structure)</t>
  </si>
  <si>
    <t>Kd</t>
  </si>
  <si>
    <t>Net Interest Expense …..............................................................................................</t>
  </si>
  <si>
    <t>Discount Factor @ Ke</t>
  </si>
  <si>
    <t>Discount Factor @ Kd</t>
  </si>
  <si>
    <t>NO DEBT 
CAPITAL STRUCTURE</t>
  </si>
  <si>
    <t>Average D/E of comparables</t>
  </si>
  <si>
    <t>LBO Capital Structure</t>
  </si>
  <si>
    <t>----&gt;</t>
  </si>
  <si>
    <t>Debt Repayment</t>
  </si>
  <si>
    <t>Leverage Reduction</t>
  </si>
  <si>
    <t>LBO Fund Cash Flow</t>
  </si>
  <si>
    <t>Cash Flow Growth</t>
  </si>
  <si>
    <t>Entry Multiple</t>
  </si>
  <si>
    <t>LBO Fund Return (TIR)</t>
  </si>
  <si>
    <t>TIR Fund</t>
  </si>
  <si>
    <t>Cash Return</t>
  </si>
  <si>
    <t>Total Cash Flows</t>
  </si>
  <si>
    <t>TIR ….......................................</t>
  </si>
  <si>
    <t>TIR superior al costo del capital</t>
  </si>
  <si>
    <t>Interest Expense, Net</t>
  </si>
  <si>
    <t>2) PV of Tax Shields @ Kd</t>
  </si>
  <si>
    <t>Tax Shields @ Income Tax Rate 35% …..............................................................................................</t>
  </si>
  <si>
    <t>NOLs Used ….................................................................................................................................................................</t>
  </si>
  <si>
    <t>CF From Operations</t>
  </si>
  <si>
    <t>Terminal Value of Tax Shields ( g = 3% ) …...............................................................................................................................................................................................................................................</t>
  </si>
  <si>
    <t>Free Cash Flows (FCFF) …................................................................................................................</t>
  </si>
  <si>
    <t>Free Cash Flows (FCFF) …...............................................................................................................................</t>
  </si>
  <si>
    <t>Total Free Cash Flows …...........................................................................................................................</t>
  </si>
  <si>
    <t>Total Free Cash Flows …...............................................................................................................................................</t>
  </si>
  <si>
    <t>Assumed</t>
  </si>
  <si>
    <t>check ROI</t>
  </si>
  <si>
    <t>"g" @ Exit</t>
  </si>
  <si>
    <t>TIR/</t>
  </si>
  <si>
    <t>Implied FCFF</t>
  </si>
  <si>
    <t>IRR/ROI</t>
  </si>
  <si>
    <t>Gain + Fee</t>
  </si>
  <si>
    <t>Fast Casual Average</t>
  </si>
  <si>
    <t>Multinational QSR Average</t>
  </si>
  <si>
    <t>Domestic QSR Average</t>
  </si>
  <si>
    <t>Number of</t>
  </si>
  <si>
    <t>2016A</t>
  </si>
  <si>
    <t>FYE 2017E/2018E EBITDA</t>
  </si>
  <si>
    <t>per Rest.</t>
  </si>
  <si>
    <t>Operating Cash Flow / Debt Service (Interest + Ppal)</t>
  </si>
  <si>
    <t>Operating Cash Flow</t>
  </si>
  <si>
    <t>check con APV</t>
  </si>
  <si>
    <t>Loan</t>
  </si>
  <si>
    <t>Financing Amount ($MM)</t>
  </si>
  <si>
    <t>Targeted Use</t>
  </si>
  <si>
    <t>TOTAL</t>
  </si>
  <si>
    <t>KLG</t>
  </si>
  <si>
    <t>CAPEX</t>
  </si>
  <si>
    <t>REVENUE CHART</t>
  </si>
  <si>
    <t>EBITDA CHART</t>
  </si>
  <si>
    <t>EBITDA - CAPEX CHART</t>
  </si>
  <si>
    <t>Rev</t>
  </si>
  <si>
    <t>Capex</t>
  </si>
  <si>
    <t>EBITDA-Capex</t>
  </si>
  <si>
    <t>Acquisition debt average interest rate from "LBO Model"</t>
  </si>
  <si>
    <t>Equity Risk Premium - Public Mkts</t>
  </si>
  <si>
    <t>DCF - PV of FCFF @ Ke ….......................................................................................................................................................</t>
  </si>
  <si>
    <t>DCF - PV of Tax Shields @ Kd ….......................................................................................................................................................</t>
  </si>
  <si>
    <t>Total DCF - Enterprise Value ( 1 + 2 ) ….......................................................................................................................................................</t>
  </si>
  <si>
    <t>APV - Base Case</t>
  </si>
  <si>
    <t>JAB's range of multiples paid 10x - 22x EBITDA</t>
  </si>
  <si>
    <t>Fast casual restaurants 2017E EBITDA multiples range 15x - 25x EBITDA</t>
  </si>
  <si>
    <t>WACC = 10%; Terminal EBITDA 7.7x - 10.0x (Implied CF growth "g" = 3% (low) - 4.5% (high)</t>
  </si>
  <si>
    <t>Stock Price + Control Premium</t>
  </si>
  <si>
    <t>Premium 12% to 28%</t>
  </si>
  <si>
    <t>Ke = 10.6%; Kd = 6.1%; Terminal EBITDA 7.1x - 10.0x (Impl. CF growth "g" = 3% (low) - 5% (high)</t>
  </si>
  <si>
    <t>Oper. Cash Flow</t>
  </si>
  <si>
    <t>EBITDA Growth</t>
  </si>
  <si>
    <t>KLG Investment/Exit</t>
  </si>
  <si>
    <t xml:space="preserve">   ------------------------------------------------&gt;</t>
  </si>
  <si>
    <t>No Multiple Expansion</t>
  </si>
  <si>
    <t>Debt / EBITDA</t>
  </si>
  <si>
    <t>Total Capital</t>
  </si>
  <si>
    <t>Summary Capitalization</t>
  </si>
  <si>
    <t>Debt / Total Capital</t>
  </si>
  <si>
    <t>KLG Investment in Panera Bread - Summary</t>
  </si>
  <si>
    <t>Wall Street Research</t>
  </si>
  <si>
    <t>LTM Multiple</t>
  </si>
  <si>
    <t>2017E Multiple</t>
  </si>
  <si>
    <t>Nota: con escenario "Low Bid" - opcion "2" en celda I4 de tab "LBO Model"</t>
  </si>
  <si>
    <t>Multiple Expansion</t>
  </si>
  <si>
    <t>SIN EXPANSION</t>
  </si>
  <si>
    <t>CON EXPANSION</t>
  </si>
  <si>
    <t>25-Year VC returns ~15% based on PE market analysts</t>
  </si>
  <si>
    <t>con terminal 8.5x se llega a precio $242,31</t>
  </si>
  <si>
    <t>EV (Excluding Fees) / FYE EBITDA</t>
  </si>
  <si>
    <t>Total EV / FYE EBITDA</t>
  </si>
  <si>
    <t>EBITDA / Interest</t>
  </si>
  <si>
    <t>(mejor escenario de precio: 15% descuento)</t>
  </si>
  <si>
    <t>(escenario algo mas barato: 0% prima)</t>
  </si>
  <si>
    <t>(escenario caro: 28% prima)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</si>
</sst>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7">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409]mmm\ d\,\ yyyy;@"/>
    <numFmt numFmtId="171" formatCode="0.0%"/>
    <numFmt numFmtId="172" formatCode="#,##0.0_);\(#,##0.0\)"/>
    <numFmt numFmtId="173" formatCode="yyyy\A"/>
    <numFmt numFmtId="174" formatCode="yyyy\E"/>
    <numFmt numFmtId="175" formatCode="&quot;$&quot;#,##0.0_);\(&quot;$&quot;#,##0.0\)"/>
    <numFmt numFmtId="176" formatCode="#,##0.0_);\(#,##0.0\);&quot;Yes&quot;"/>
    <numFmt numFmtId="177" formatCode="&quot;$&quot;#,##0.0_)\B\n;\(&quot;$&quot;#,##0.0\)"/>
    <numFmt numFmtId="178" formatCode="&quot;$&quot;#,##0"/>
    <numFmt numFmtId="179" formatCode="General\E"/>
    <numFmt numFmtId="180" formatCode="yyyy\P\F"/>
    <numFmt numFmtId="181" formatCode="&quot;$&quot;#,##0.0_);[Red]\(&quot;$&quot;#,##0.0\)"/>
    <numFmt numFmtId="182" formatCode="#,##0.000_);\(#,##0.000\)"/>
    <numFmt numFmtId="183" formatCode="yyyy&quot;E CapEx&quot;"/>
    <numFmt numFmtId="184" formatCode="#,##0.0\x_);\(#,##0.0\x\)"/>
    <numFmt numFmtId="185" formatCode="#,##0.00\x_);\(#,##0.00\x\)"/>
    <numFmt numFmtId="186" formatCode="yyyy"/>
    <numFmt numFmtId="187" formatCode="#,##0.000_);\(#,##0.000\);&quot;Yes&quot;"/>
    <numFmt numFmtId="188" formatCode="&quot;Yes&quot;;&quot;Error&quot;;&quot;No&quot;"/>
    <numFmt numFmtId="189" formatCode="&quot;$&quot;#,##0.00"/>
    <numFmt numFmtId="190" formatCode="General\A"/>
    <numFmt numFmtId="191" formatCode="[$-409]\ mmm\ dd\,\ yyyy"/>
    <numFmt numFmtId="192" formatCode="#,##0.000000_);\(#,##0.000000\)"/>
    <numFmt numFmtId="193" formatCode="#,##0.0\x"/>
    <numFmt numFmtId="194" formatCode="#,##0.0"/>
    <numFmt numFmtId="195" formatCode="_(&quot;$&quot;* #,##0.0_);_(&quot;$&quot;* \(#,##0.0\);_(&quot;$&quot;* &quot;-&quot;?_);_(@_)"/>
    <numFmt numFmtId="196" formatCode="&quot;$&quot;#,##0.0"/>
    <numFmt numFmtId="197" formatCode="#,##0.00_ ;\-#,##0.00\ "/>
    <numFmt numFmtId="198" formatCode="&quot;$&quot;#,##0\ ;&quot;$&quot;\(#,##0\)"/>
    <numFmt numFmtId="199" formatCode="&quot;$&quot;#,##0.0\ ;&quot;$&quot;\(#,##0.0\)"/>
    <numFmt numFmtId="200" formatCode="_ * #,##0.00_ ;_ * \-#,##0.00_ ;_ * &quot;-&quot;??_ ;_ @_ "/>
    <numFmt numFmtId="201" formatCode="_ * #,##0_ ;_ * \-#,##0_ ;_ * &quot;-&quot;??_ ;_ @_ "/>
    <numFmt numFmtId="202" formatCode="_ * #,##0.0000_ ;_ * \-#,##0.0000_ ;_ * &quot;-&quot;??_ ;_ @_ "/>
    <numFmt numFmtId="203" formatCode="0.0\x"/>
    <numFmt numFmtId="204" formatCode="&quot;$&quot;#,##0.00\ ;&quot;$&quot;\(#,##0.00\)"/>
    <numFmt numFmtId="205" formatCode="_(* #,##0.0_);_(* \(#,##0.0\);_(* &quot;-&quot;??_);_(@_)"/>
    <numFmt numFmtId="206" formatCode="mm/dd/yy;@"/>
    <numFmt numFmtId="207" formatCode="#,##0.0\x_);\(#,##0.0\)\x"/>
    <numFmt numFmtId="208" formatCode="&quot;$&quot;\ #,##0;&quot;$&quot;\ \-#,##0"/>
    <numFmt numFmtId="209" formatCode="_(* #,##0_);_(* \(#,##0\);_(* &quot;-&quot;??_);_(@_)"/>
    <numFmt numFmtId="210" formatCode="_(* #,##0_)\x;_(* \(#,##0\);_(* &quot;-&quot;??_);_(@_)\x"/>
  </numFmts>
  <fonts count="10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rgb="FF000000"/>
      <name val="Helvetica"/>
      <family val="2"/>
    </font>
    <font>
      <sz val="12"/>
      <color rgb="FF000000"/>
      <name val="Helvetica"/>
      <family val="2"/>
    </font>
    <font>
      <b/>
      <sz val="12"/>
      <color theme="1"/>
      <name val="Helvetica"/>
      <family val="2"/>
    </font>
    <font>
      <sz val="12"/>
      <color theme="1"/>
      <name val="Helvetica"/>
      <family val="2"/>
    </font>
    <font>
      <u/>
      <sz val="12"/>
      <color theme="10"/>
      <name val="Calibri"/>
      <family val="2"/>
      <scheme val="minor"/>
    </font>
    <font>
      <b/>
      <sz val="12"/>
      <color theme="1"/>
      <name val="Calibri"/>
      <family val="2"/>
      <scheme val="minor"/>
    </font>
    <font>
      <sz val="12"/>
      <color rgb="FF0000FF"/>
      <name val="Calibri"/>
      <family val="2"/>
      <scheme val="minor"/>
    </font>
    <font>
      <sz val="12"/>
      <name val="Calibri"/>
      <family val="2"/>
      <scheme val="minor"/>
    </font>
    <font>
      <i/>
      <sz val="12"/>
      <color theme="1"/>
      <name val="Calibri"/>
      <family val="2"/>
      <scheme val="minor"/>
    </font>
    <font>
      <vertAlign val="superscript"/>
      <sz val="10"/>
      <color theme="1"/>
      <name val="Calibri"/>
      <family val="2"/>
      <scheme val="minor"/>
    </font>
    <font>
      <sz val="10"/>
      <color theme="1"/>
      <name val="Calibri"/>
      <family val="2"/>
      <scheme val="minor"/>
    </font>
    <font>
      <i/>
      <sz val="12"/>
      <color rgb="FF0000FF"/>
      <name val="Calibri"/>
      <family val="2"/>
      <scheme val="minor"/>
    </font>
    <font>
      <i/>
      <sz val="12"/>
      <name val="Calibri"/>
      <family val="2"/>
      <scheme val="minor"/>
    </font>
    <font>
      <sz val="12"/>
      <color rgb="FF008000"/>
      <name val="Calibri"/>
      <family val="2"/>
      <scheme val="minor"/>
    </font>
    <font>
      <b/>
      <u/>
      <sz val="12"/>
      <color theme="1"/>
      <name val="Calibri"/>
      <family val="2"/>
      <scheme val="minor"/>
    </font>
    <font>
      <sz val="9"/>
      <color theme="1"/>
      <name val="Calibri"/>
      <family val="2"/>
      <scheme val="minor"/>
    </font>
    <font>
      <b/>
      <sz val="12"/>
      <name val="Calibri"/>
      <family val="2"/>
      <scheme val="minor"/>
    </font>
    <font>
      <b/>
      <sz val="12"/>
      <color rgb="FFFF0000"/>
      <name val="Calibri"/>
      <family val="2"/>
      <scheme val="minor"/>
    </font>
    <font>
      <i/>
      <sz val="12"/>
      <color rgb="FF008000"/>
      <name val="Calibri"/>
      <family val="2"/>
      <scheme val="minor"/>
    </font>
    <font>
      <b/>
      <sz val="12"/>
      <color rgb="FF0000FF"/>
      <name val="Calibri"/>
      <family val="2"/>
      <scheme val="minor"/>
    </font>
    <font>
      <sz val="12"/>
      <color rgb="FF000000"/>
      <name val="Calibri"/>
      <family val="2"/>
      <scheme val="minor"/>
    </font>
    <font>
      <b/>
      <u/>
      <sz val="10"/>
      <color theme="1"/>
      <name val="Calibri"/>
      <family val="2"/>
      <scheme val="minor"/>
    </font>
    <font>
      <b/>
      <sz val="10"/>
      <color theme="1"/>
      <name val="Calibri"/>
      <family val="2"/>
      <scheme val="minor"/>
    </font>
    <font>
      <i/>
      <sz val="10"/>
      <color theme="1"/>
      <name val="Calibri"/>
      <family val="2"/>
      <scheme val="minor"/>
    </font>
    <font>
      <sz val="10"/>
      <color rgb="FF0000FF"/>
      <name val="Calibri"/>
      <family val="2"/>
      <scheme val="minor"/>
    </font>
    <font>
      <sz val="10"/>
      <name val="Calibri"/>
      <family val="2"/>
      <scheme val="minor"/>
    </font>
    <font>
      <u/>
      <sz val="10"/>
      <color rgb="FF0000FF"/>
      <name val="Calibri"/>
      <family val="2"/>
      <scheme val="minor"/>
    </font>
    <font>
      <u/>
      <sz val="10"/>
      <name val="Calibri"/>
      <family val="2"/>
      <scheme val="minor"/>
    </font>
    <font>
      <u/>
      <sz val="10"/>
      <color theme="1"/>
      <name val="Calibri"/>
      <family val="2"/>
      <scheme val="minor"/>
    </font>
    <font>
      <b/>
      <u/>
      <sz val="10"/>
      <color theme="0"/>
      <name val="Calibri"/>
      <family val="2"/>
      <scheme val="minor"/>
    </font>
    <font>
      <sz val="10"/>
      <color theme="0"/>
      <name val="Calibri"/>
      <family val="2"/>
      <scheme val="minor"/>
    </font>
    <font>
      <b/>
      <u/>
      <sz val="12"/>
      <color theme="0"/>
      <name val="Calibri"/>
      <family val="2"/>
      <scheme val="minor"/>
    </font>
    <font>
      <sz val="12"/>
      <color theme="0"/>
      <name val="Calibri"/>
      <family val="2"/>
      <scheme val="minor"/>
    </font>
    <font>
      <b/>
      <sz val="12"/>
      <color theme="0"/>
      <name val="Calibri"/>
      <family val="2"/>
      <scheme val="minor"/>
    </font>
    <font>
      <sz val="10"/>
      <color rgb="FF000000"/>
      <name val="Calibri"/>
      <family val="2"/>
      <scheme val="minor"/>
    </font>
    <font>
      <b/>
      <i/>
      <sz val="10"/>
      <color theme="1"/>
      <name val="Calibri"/>
      <family val="2"/>
      <scheme val="minor"/>
    </font>
    <font>
      <i/>
      <sz val="10"/>
      <color rgb="FF0000FF"/>
      <name val="Calibri"/>
      <family val="2"/>
      <scheme val="minor"/>
    </font>
    <font>
      <b/>
      <sz val="10"/>
      <color rgb="FFFF0000"/>
      <name val="Calibri"/>
      <family val="2"/>
      <scheme val="minor"/>
    </font>
    <font>
      <b/>
      <sz val="10"/>
      <color rgb="FF000000"/>
      <name val="Calibri"/>
      <family val="2"/>
      <scheme val="minor"/>
    </font>
    <font>
      <u/>
      <sz val="12"/>
      <color theme="1"/>
      <name val="Calibri"/>
      <family val="2"/>
      <scheme val="minor"/>
    </font>
    <font>
      <b/>
      <u val="singleAccounting"/>
      <sz val="10"/>
      <color theme="1"/>
      <name val="Calibri"/>
      <family val="2"/>
      <scheme val="minor"/>
    </font>
    <font>
      <b/>
      <u val="singleAccounting"/>
      <sz val="12"/>
      <color theme="1"/>
      <name val="Calibri"/>
      <family val="2"/>
      <scheme val="minor"/>
    </font>
    <font>
      <sz val="12"/>
      <color theme="1"/>
      <name val="Calibri"/>
      <family val="2"/>
      <scheme val="minor"/>
    </font>
    <font>
      <vertAlign val="superscript"/>
      <sz val="12"/>
      <color theme="1"/>
      <name val="Calibri"/>
      <family val="2"/>
      <scheme val="minor"/>
    </font>
    <font>
      <sz val="8"/>
      <color theme="1"/>
      <name val="Calibri"/>
      <family val="2"/>
      <scheme val="minor"/>
    </font>
    <font>
      <b/>
      <sz val="10"/>
      <name val="Calibri"/>
      <family val="2"/>
      <scheme val="minor"/>
    </font>
    <font>
      <b/>
      <sz val="10"/>
      <color theme="0"/>
      <name val="Calibri"/>
      <family val="2"/>
      <scheme val="minor"/>
    </font>
    <font>
      <sz val="9"/>
      <color indexed="81"/>
      <name val="Tahoma"/>
      <family val="2"/>
    </font>
    <font>
      <b/>
      <sz val="9"/>
      <color indexed="81"/>
      <name val="Tahoma"/>
      <family val="2"/>
    </font>
    <font>
      <sz val="10"/>
      <color rgb="FF0070C0"/>
      <name val="Calibri"/>
      <family val="2"/>
      <scheme val="minor"/>
    </font>
    <font>
      <sz val="10"/>
      <name val="Arial"/>
      <family val="2"/>
    </font>
    <font>
      <sz val="12"/>
      <name val="Calibri"/>
      <family val="2"/>
    </font>
    <font>
      <sz val="10"/>
      <name val="Calibri"/>
      <family val="2"/>
    </font>
    <font>
      <sz val="10"/>
      <color rgb="FF0070C0"/>
      <name val="Calibri"/>
      <family val="2"/>
    </font>
    <font>
      <i/>
      <u/>
      <sz val="10"/>
      <color theme="1"/>
      <name val="Calibri"/>
      <family val="2"/>
      <scheme val="minor"/>
    </font>
    <font>
      <b/>
      <sz val="14"/>
      <name val="Calibri"/>
      <family val="2"/>
    </font>
    <font>
      <b/>
      <sz val="16"/>
      <name val="Calibri"/>
      <family val="2"/>
    </font>
    <font>
      <b/>
      <sz val="12"/>
      <color indexed="9"/>
      <name val="Calibri"/>
      <family val="2"/>
    </font>
    <font>
      <b/>
      <sz val="12"/>
      <name val="Calibri"/>
      <family val="2"/>
    </font>
    <font>
      <b/>
      <sz val="12"/>
      <color indexed="62"/>
      <name val="Calibri"/>
      <family val="2"/>
    </font>
    <font>
      <b/>
      <sz val="11"/>
      <name val="Calibri"/>
      <family val="2"/>
    </font>
    <font>
      <sz val="11"/>
      <name val="Calibri"/>
      <family val="2"/>
    </font>
    <font>
      <b/>
      <sz val="13"/>
      <name val="Calibri"/>
      <family val="2"/>
    </font>
    <font>
      <sz val="13"/>
      <color indexed="12"/>
      <name val="Calibri"/>
      <family val="2"/>
    </font>
    <font>
      <sz val="10"/>
      <color rgb="FFFF0000"/>
      <name val="Calibri"/>
      <family val="2"/>
    </font>
    <font>
      <sz val="13"/>
      <name val="Calibri"/>
      <family val="2"/>
    </font>
    <font>
      <b/>
      <sz val="13"/>
      <color indexed="12"/>
      <name val="Calibri"/>
      <family val="2"/>
    </font>
    <font>
      <b/>
      <u/>
      <sz val="10"/>
      <name val="Calibri"/>
      <family val="2"/>
    </font>
    <font>
      <sz val="11"/>
      <color indexed="12"/>
      <name val="Calibri"/>
      <family val="2"/>
    </font>
    <font>
      <b/>
      <sz val="10"/>
      <name val="Calibri"/>
      <family val="2"/>
    </font>
    <font>
      <sz val="10"/>
      <name val="Symbol"/>
      <family val="1"/>
      <charset val="2"/>
    </font>
    <font>
      <b/>
      <sz val="10"/>
      <name val="Symbol"/>
      <family val="1"/>
      <charset val="2"/>
    </font>
    <font>
      <b/>
      <sz val="14"/>
      <color indexed="9"/>
      <name val="Calibri"/>
      <family val="2"/>
    </font>
    <font>
      <u/>
      <sz val="10"/>
      <name val="Calibri"/>
      <family val="2"/>
    </font>
    <font>
      <sz val="14"/>
      <name val="Calibri"/>
      <family val="2"/>
    </font>
    <font>
      <b/>
      <i/>
      <sz val="12"/>
      <name val="Calibri"/>
      <family val="2"/>
    </font>
    <font>
      <sz val="12"/>
      <name val="Helv"/>
    </font>
    <font>
      <u/>
      <sz val="12"/>
      <name val="Calibri"/>
      <family val="2"/>
    </font>
    <font>
      <sz val="12"/>
      <color rgb="FFFF0000"/>
      <name val="Calibri"/>
      <family val="2"/>
    </font>
    <font>
      <i/>
      <sz val="12"/>
      <name val="Calibri"/>
      <family val="2"/>
    </font>
    <font>
      <sz val="12"/>
      <color indexed="9"/>
      <name val="Calibri"/>
      <family val="2"/>
    </font>
    <font>
      <sz val="12"/>
      <color indexed="12"/>
      <name val="Calibri"/>
      <family val="2"/>
    </font>
    <font>
      <b/>
      <sz val="12"/>
      <color indexed="12"/>
      <name val="Calibri"/>
      <family val="2"/>
    </font>
    <font>
      <sz val="10"/>
      <color indexed="12"/>
      <name val="Calibri"/>
      <family val="2"/>
    </font>
    <font>
      <sz val="12"/>
      <color indexed="63"/>
      <name val="Calibri"/>
      <family val="2"/>
    </font>
    <font>
      <b/>
      <sz val="10"/>
      <color rgb="FF0070C0"/>
      <name val="Calibri"/>
      <family val="2"/>
    </font>
    <font>
      <i/>
      <u/>
      <sz val="10"/>
      <name val="Calibri"/>
      <family val="2"/>
    </font>
    <font>
      <i/>
      <sz val="10"/>
      <name val="Calibri"/>
      <family val="2"/>
    </font>
    <font>
      <u/>
      <sz val="10"/>
      <color rgb="FF0070C0"/>
      <name val="Calibri"/>
      <family val="2"/>
      <scheme val="minor"/>
    </font>
    <font>
      <b/>
      <sz val="11"/>
      <color theme="1"/>
      <name val="Calibri"/>
      <family val="2"/>
      <scheme val="minor"/>
    </font>
    <font>
      <b/>
      <u/>
      <sz val="12.5"/>
      <color theme="1"/>
      <name val="Calibri"/>
      <family val="2"/>
      <scheme val="minor"/>
    </font>
    <font>
      <b/>
      <u/>
      <sz val="11"/>
      <color theme="1"/>
      <name val="Calibri"/>
      <family val="2"/>
      <scheme val="minor"/>
    </font>
    <font>
      <b/>
      <sz val="10"/>
      <color rgb="FF0070C0"/>
      <name val="Calibri"/>
      <family val="2"/>
      <scheme val="minor"/>
    </font>
    <font>
      <b/>
      <u/>
      <sz val="10"/>
      <color rgb="FF0000FF"/>
      <name val="Calibri"/>
      <family val="2"/>
      <scheme val="minor"/>
    </font>
    <font>
      <i/>
      <sz val="9"/>
      <color theme="1"/>
      <name val="Calibri"/>
      <family val="2"/>
      <scheme val="minor"/>
    </font>
    <font>
      <b/>
      <i/>
      <sz val="12"/>
      <color theme="1"/>
      <name val="Calibri"/>
      <family val="2"/>
      <scheme val="minor"/>
    </font>
    <font>
      <sz val="11"/>
      <color rgb="FF0070C0"/>
      <name val="Calibri"/>
      <family val="2"/>
      <scheme val="minor"/>
    </font>
    <font>
      <b/>
      <sz val="12"/>
      <color rgb="FF0070C0"/>
      <name val="Calibri"/>
      <family val="2"/>
      <scheme val="minor"/>
    </font>
    <font>
      <b/>
      <sz val="11"/>
      <color rgb="FF0070C0"/>
      <name val="Calibri"/>
      <family val="2"/>
      <scheme val="minor"/>
    </font>
    <font>
      <b/>
      <sz val="11"/>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DDEFFF"/>
        <bgColor indexed="64"/>
      </patternFill>
    </fill>
    <fill>
      <patternFill patternType="solid">
        <fgColor rgb="FFAACCFF"/>
        <bgColor indexed="64"/>
      </patternFill>
    </fill>
    <fill>
      <patternFill patternType="solid">
        <fgColor rgb="FFFFFFFF"/>
        <bgColor indexed="64"/>
      </patternFill>
    </fill>
    <fill>
      <patternFill patternType="solid">
        <fgColor rgb="FF333399"/>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2CC"/>
        <bgColor indexed="64"/>
      </patternFill>
    </fill>
    <fill>
      <patternFill patternType="solid">
        <fgColor theme="8" tint="0.79998168889431442"/>
        <bgColor indexed="64"/>
      </patternFill>
    </fill>
    <fill>
      <patternFill patternType="solid">
        <fgColor indexed="62"/>
        <bgColor indexed="64"/>
      </patternFill>
    </fill>
    <fill>
      <patternFill patternType="solid">
        <fgColor indexed="44"/>
        <bgColor indexed="64"/>
      </patternFill>
    </fill>
    <fill>
      <patternFill patternType="solid">
        <fgColor indexed="2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tint="-0.14999847407452621"/>
        <bgColor indexed="64"/>
      </patternFill>
    </fill>
  </fills>
  <borders count="59">
    <border>
      <left/>
      <right/>
      <top/>
      <bottom/>
      <diagonal/>
    </border>
    <border>
      <left/>
      <right/>
      <top/>
      <bottom style="thin">
        <color theme="0"/>
      </bottom>
      <diagonal/>
    </border>
    <border>
      <left/>
      <right style="thin">
        <color theme="0"/>
      </right>
      <top/>
      <bottom/>
      <diagonal/>
    </border>
    <border>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1"/>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style="thin">
        <color indexed="64"/>
      </bottom>
      <diagonal/>
    </border>
    <border>
      <left style="thin">
        <color theme="0"/>
      </left>
      <right style="thin">
        <color theme="0"/>
      </right>
      <top/>
      <bottom style="thin">
        <color theme="1"/>
      </bottom>
      <diagonal/>
    </border>
    <border>
      <left style="thin">
        <color theme="0"/>
      </left>
      <right/>
      <top/>
      <bottom style="thin">
        <color theme="0"/>
      </bottom>
      <diagonal/>
    </border>
    <border>
      <left style="thin">
        <color theme="0"/>
      </left>
      <right/>
      <top style="thin">
        <color theme="0"/>
      </top>
      <bottom style="thin">
        <color theme="1"/>
      </bottom>
      <diagonal/>
    </border>
    <border>
      <left style="thin">
        <color theme="0"/>
      </left>
      <right/>
      <top style="thin">
        <color theme="1"/>
      </top>
      <bottom style="thin">
        <color theme="1"/>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double">
        <color indexed="64"/>
      </bottom>
      <diagonal/>
    </border>
    <border>
      <left/>
      <right/>
      <top style="thin">
        <color indexed="64"/>
      </top>
      <bottom style="double">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bottom style="medium">
        <color indexed="64"/>
      </bottom>
      <diagonal/>
    </border>
    <border>
      <left/>
      <right/>
      <top style="thin">
        <color theme="0" tint="-0.249977111117893"/>
      </top>
      <bottom style="thin">
        <color indexed="64"/>
      </bottom>
      <diagonal/>
    </border>
    <border>
      <left/>
      <right/>
      <top style="thin">
        <color theme="0" tint="-0.249977111117893"/>
      </top>
      <bottom/>
      <diagonal/>
    </border>
    <border>
      <left/>
      <right style="thin">
        <color indexed="64"/>
      </right>
      <top style="medium">
        <color indexed="64"/>
      </top>
      <bottom/>
      <diagonal/>
    </border>
    <border>
      <left/>
      <right style="thin">
        <color indexed="64"/>
      </right>
      <top style="thin">
        <color theme="0" tint="-0.249977111117893"/>
      </top>
      <bottom style="thin">
        <color indexed="64"/>
      </bottom>
      <diagonal/>
    </border>
    <border>
      <left/>
      <right style="thin">
        <color indexed="64"/>
      </right>
      <top/>
      <bottom style="medium">
        <color indexed="64"/>
      </bottom>
      <diagonal/>
    </border>
    <border>
      <left/>
      <right style="thin">
        <color indexed="64"/>
      </right>
      <top style="thin">
        <color theme="0" tint="-0.249977111117893"/>
      </top>
      <bottom/>
      <diagonal/>
    </border>
    <border>
      <left/>
      <right/>
      <top style="thin">
        <color theme="0" tint="-0.24994659260841701"/>
      </top>
      <bottom/>
      <diagonal/>
    </border>
    <border>
      <left/>
      <right style="thin">
        <color indexed="64"/>
      </right>
      <top style="thin">
        <color theme="0" tint="-0.24994659260841701"/>
      </top>
      <bottom/>
      <diagonal/>
    </border>
    <border>
      <left/>
      <right/>
      <top style="thin">
        <color theme="0" tint="-0.249977111117893"/>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thin">
        <color theme="0" tint="-0.24994659260841701"/>
      </bottom>
      <diagonal/>
    </border>
    <border>
      <left/>
      <right/>
      <top style="thin">
        <color theme="0" tint="-0.24994659260841701"/>
      </top>
      <bottom style="medium">
        <color auto="1"/>
      </bottom>
      <diagonal/>
    </border>
    <border>
      <left style="thin">
        <color indexed="64"/>
      </left>
      <right/>
      <top/>
      <bottom style="medium">
        <color indexed="64"/>
      </bottom>
      <diagonal/>
    </border>
    <border>
      <left/>
      <right/>
      <top style="medium">
        <color auto="1"/>
      </top>
      <bottom/>
      <diagonal/>
    </border>
    <border>
      <left/>
      <right/>
      <top style="medium">
        <color indexed="64"/>
      </top>
      <bottom style="medium">
        <color indexed="64"/>
      </bottom>
      <diagonal/>
    </border>
    <border>
      <left/>
      <right style="thin">
        <color indexed="64"/>
      </right>
      <top style="thin">
        <color theme="0" tint="-0.24994659260841701"/>
      </top>
      <bottom style="medium">
        <color indexed="64"/>
      </bottom>
      <diagonal/>
    </border>
    <border>
      <left/>
      <right/>
      <top/>
      <bottom style="thick">
        <color auto="1"/>
      </bottom>
      <diagonal/>
    </border>
    <border>
      <left/>
      <right style="mediumDashed">
        <color auto="1"/>
      </right>
      <top/>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style="thick">
        <color indexed="64"/>
      </left>
      <right/>
      <top style="thick">
        <color indexed="64"/>
      </top>
      <bottom style="thick">
        <color indexed="64"/>
      </bottom>
      <diagonal/>
    </border>
    <border>
      <left/>
      <right/>
      <top style="thick">
        <color auto="1"/>
      </top>
      <bottom style="thick">
        <color auto="1"/>
      </bottom>
      <diagonal/>
    </border>
    <border>
      <left/>
      <right style="thick">
        <color indexed="64"/>
      </right>
      <top style="thick">
        <color indexed="64"/>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6">
    <xf numFmtId="0" fontId="0" fillId="0" borderId="0"/>
    <xf numFmtId="0" fontId="10" fillId="0" borderId="0" applyNumberFormat="0" applyFill="0" applyBorder="0" applyAlignment="0" applyProtection="0"/>
    <xf numFmtId="0" fontId="48" fillId="0" borderId="0"/>
    <xf numFmtId="169" fontId="48" fillId="0" borderId="0" applyFont="0" applyFill="0" applyBorder="0" applyAlignment="0" applyProtection="0"/>
    <xf numFmtId="9" fontId="48" fillId="0" borderId="0" applyFont="0" applyFill="0" applyBorder="0" applyAlignment="0" applyProtection="0"/>
    <xf numFmtId="9" fontId="56" fillId="0" borderId="0" applyFont="0" applyFill="0" applyBorder="0" applyAlignment="0" applyProtection="0"/>
    <xf numFmtId="0" fontId="56" fillId="0" borderId="0">
      <alignment vertical="top"/>
    </xf>
    <xf numFmtId="0" fontId="56" fillId="0" borderId="0"/>
    <xf numFmtId="0" fontId="56" fillId="0" borderId="0"/>
    <xf numFmtId="0" fontId="82" fillId="0" borderId="0"/>
    <xf numFmtId="169" fontId="56" fillId="0" borderId="0" applyFont="0" applyFill="0" applyBorder="0" applyAlignment="0" applyProtection="0"/>
    <xf numFmtId="200" fontId="56" fillId="0" borderId="0" applyFont="0" applyFill="0" applyBorder="0" applyAlignment="0" applyProtection="0"/>
    <xf numFmtId="168" fontId="56" fillId="0" borderId="0" applyFont="0" applyFill="0" applyBorder="0" applyAlignment="0" applyProtection="0"/>
    <xf numFmtId="169" fontId="5" fillId="0" borderId="0" applyFont="0" applyFill="0" applyBorder="0" applyAlignment="0" applyProtection="0"/>
    <xf numFmtId="0" fontId="4" fillId="0" borderId="0"/>
    <xf numFmtId="169" fontId="4" fillId="0" borderId="0" applyFont="0" applyFill="0" applyBorder="0" applyAlignment="0" applyProtection="0"/>
  </cellStyleXfs>
  <cellXfs count="961">
    <xf numFmtId="0" fontId="0" fillId="0" borderId="0" xfId="0"/>
    <xf numFmtId="170" fontId="6" fillId="2" borderId="0" xfId="0" applyNumberFormat="1" applyFont="1" applyFill="1" applyAlignment="1">
      <alignment horizontal="center"/>
    </xf>
    <xf numFmtId="37" fontId="6" fillId="3" borderId="4" xfId="0" applyNumberFormat="1" applyFont="1" applyFill="1" applyBorder="1" applyAlignment="1">
      <alignment vertical="center"/>
    </xf>
    <xf numFmtId="164" fontId="7" fillId="2" borderId="4" xfId="0" applyNumberFormat="1" applyFont="1" applyFill="1" applyBorder="1" applyAlignment="1">
      <alignment vertical="center"/>
    </xf>
    <xf numFmtId="37" fontId="7" fillId="3" borderId="4" xfId="0" applyNumberFormat="1" applyFont="1" applyFill="1" applyBorder="1" applyAlignment="1">
      <alignment vertical="center"/>
    </xf>
    <xf numFmtId="37" fontId="7" fillId="2" borderId="4" xfId="0" applyNumberFormat="1" applyFont="1" applyFill="1" applyBorder="1" applyAlignment="1">
      <alignment vertical="center"/>
    </xf>
    <xf numFmtId="37" fontId="7" fillId="2" borderId="8" xfId="0" applyNumberFormat="1" applyFont="1" applyFill="1" applyBorder="1" applyAlignment="1">
      <alignment vertical="center"/>
    </xf>
    <xf numFmtId="37" fontId="7" fillId="3" borderId="6" xfId="0" applyNumberFormat="1" applyFont="1" applyFill="1" applyBorder="1" applyAlignment="1">
      <alignment vertical="center"/>
    </xf>
    <xf numFmtId="37" fontId="7" fillId="3" borderId="9" xfId="0" applyNumberFormat="1" applyFont="1" applyFill="1" applyBorder="1" applyAlignment="1">
      <alignment vertical="center"/>
    </xf>
    <xf numFmtId="37" fontId="7" fillId="2" borderId="6" xfId="0" applyNumberFormat="1" applyFont="1" applyFill="1" applyBorder="1" applyAlignment="1">
      <alignment vertical="center"/>
    </xf>
    <xf numFmtId="164" fontId="7" fillId="2" borderId="8" xfId="0" applyNumberFormat="1" applyFont="1" applyFill="1" applyBorder="1" applyAlignment="1">
      <alignment vertical="center"/>
    </xf>
    <xf numFmtId="166" fontId="7" fillId="3" borderId="4" xfId="0" applyNumberFormat="1" applyFont="1" applyFill="1" applyBorder="1" applyAlignment="1">
      <alignment vertical="center"/>
    </xf>
    <xf numFmtId="166" fontId="7" fillId="2" borderId="4" xfId="0" applyNumberFormat="1" applyFont="1" applyFill="1" applyBorder="1" applyAlignment="1">
      <alignment vertical="center"/>
    </xf>
    <xf numFmtId="37" fontId="8" fillId="2" borderId="0" xfId="0" applyNumberFormat="1" applyFont="1" applyFill="1"/>
    <xf numFmtId="37" fontId="8" fillId="4" borderId="2" xfId="0" applyNumberFormat="1" applyFont="1" applyFill="1" applyBorder="1" applyAlignment="1">
      <alignment horizontal="center" wrapText="1"/>
    </xf>
    <xf numFmtId="37" fontId="8" fillId="4" borderId="1" xfId="0" applyNumberFormat="1" applyFont="1" applyFill="1" applyBorder="1" applyAlignment="1">
      <alignment horizontal="centerContinuous"/>
    </xf>
    <xf numFmtId="37" fontId="8" fillId="4" borderId="3" xfId="0" applyNumberFormat="1" applyFont="1" applyFill="1" applyBorder="1" applyAlignment="1">
      <alignment horizontal="center" wrapText="1"/>
    </xf>
    <xf numFmtId="170" fontId="6" fillId="4" borderId="1" xfId="0" applyNumberFormat="1" applyFont="1" applyFill="1" applyBorder="1" applyAlignment="1">
      <alignment horizontal="center"/>
    </xf>
    <xf numFmtId="37" fontId="9" fillId="2" borderId="0" xfId="0" applyNumberFormat="1" applyFont="1" applyFill="1"/>
    <xf numFmtId="37" fontId="8" fillId="3" borderId="4" xfId="0" applyNumberFormat="1" applyFont="1" applyFill="1" applyBorder="1" applyAlignment="1">
      <alignment wrapText="1"/>
    </xf>
    <xf numFmtId="37" fontId="9" fillId="2" borderId="4" xfId="0" applyNumberFormat="1" applyFont="1" applyFill="1" applyBorder="1" applyAlignment="1">
      <alignment wrapText="1"/>
    </xf>
    <xf numFmtId="37" fontId="9" fillId="3" borderId="4" xfId="0" applyNumberFormat="1" applyFont="1" applyFill="1" applyBorder="1" applyAlignment="1">
      <alignment wrapText="1"/>
    </xf>
    <xf numFmtId="37" fontId="8" fillId="2" borderId="4" xfId="0" applyNumberFormat="1" applyFont="1" applyFill="1" applyBorder="1" applyAlignment="1">
      <alignment wrapText="1"/>
    </xf>
    <xf numFmtId="37" fontId="8" fillId="4" borderId="5" xfId="0" applyNumberFormat="1" applyFont="1" applyFill="1" applyBorder="1" applyAlignment="1">
      <alignment horizontal="center" wrapText="1"/>
    </xf>
    <xf numFmtId="37" fontId="8" fillId="4" borderId="4" xfId="0" applyNumberFormat="1" applyFont="1" applyFill="1" applyBorder="1" applyAlignment="1">
      <alignment horizontal="centerContinuous"/>
    </xf>
    <xf numFmtId="37" fontId="8" fillId="4" borderId="6" xfId="0" applyNumberFormat="1" applyFont="1" applyFill="1" applyBorder="1" applyAlignment="1">
      <alignment horizontal="center" wrapText="1"/>
    </xf>
    <xf numFmtId="170" fontId="6" fillId="4" borderId="4" xfId="0" applyNumberFormat="1" applyFont="1" applyFill="1" applyBorder="1" applyAlignment="1">
      <alignment horizontal="center"/>
    </xf>
    <xf numFmtId="37" fontId="8" fillId="3" borderId="0" xfId="0" applyNumberFormat="1" applyFont="1" applyFill="1" applyAlignment="1">
      <alignment wrapText="1"/>
    </xf>
    <xf numFmtId="37" fontId="9" fillId="3" borderId="0" xfId="0" applyNumberFormat="1" applyFont="1" applyFill="1"/>
    <xf numFmtId="37" fontId="9" fillId="2" borderId="0" xfId="0" applyNumberFormat="1" applyFont="1" applyFill="1" applyAlignment="1">
      <alignment wrapText="1"/>
    </xf>
    <xf numFmtId="164" fontId="9" fillId="2" borderId="0" xfId="0" applyNumberFormat="1" applyFont="1" applyFill="1"/>
    <xf numFmtId="37" fontId="9" fillId="3" borderId="0" xfId="0" applyNumberFormat="1" applyFont="1" applyFill="1" applyAlignment="1">
      <alignment wrapText="1"/>
    </xf>
    <xf numFmtId="37" fontId="8" fillId="2" borderId="0" xfId="0" applyNumberFormat="1" applyFont="1" applyFill="1" applyAlignment="1">
      <alignment wrapText="1"/>
    </xf>
    <xf numFmtId="37" fontId="9" fillId="3" borderId="4" xfId="0" applyNumberFormat="1" applyFont="1" applyFill="1" applyBorder="1"/>
    <xf numFmtId="37" fontId="9" fillId="2" borderId="4" xfId="0" applyNumberFormat="1" applyFont="1" applyFill="1" applyBorder="1"/>
    <xf numFmtId="37" fontId="8" fillId="3" borderId="10" xfId="0" applyNumberFormat="1" applyFont="1" applyFill="1" applyBorder="1"/>
    <xf numFmtId="37" fontId="9" fillId="2" borderId="8" xfId="0" applyNumberFormat="1" applyFont="1" applyFill="1" applyBorder="1"/>
    <xf numFmtId="37" fontId="9" fillId="3" borderId="6" xfId="0" applyNumberFormat="1" applyFont="1" applyFill="1" applyBorder="1"/>
    <xf numFmtId="37" fontId="9" fillId="3" borderId="11" xfId="0" applyNumberFormat="1" applyFont="1" applyFill="1" applyBorder="1"/>
    <xf numFmtId="37" fontId="9" fillId="2" borderId="6" xfId="0" applyNumberFormat="1" applyFont="1" applyFill="1" applyBorder="1"/>
    <xf numFmtId="164" fontId="9" fillId="3" borderId="4" xfId="0" applyNumberFormat="1" applyFont="1" applyFill="1" applyBorder="1"/>
    <xf numFmtId="170" fontId="6" fillId="4" borderId="7" xfId="0" applyNumberFormat="1" applyFont="1" applyFill="1" applyBorder="1" applyAlignment="1">
      <alignment horizontal="center"/>
    </xf>
    <xf numFmtId="37" fontId="9" fillId="3" borderId="7" xfId="0" applyNumberFormat="1" applyFont="1" applyFill="1" applyBorder="1"/>
    <xf numFmtId="164" fontId="9" fillId="2" borderId="4" xfId="0" applyNumberFormat="1" applyFont="1" applyFill="1" applyBorder="1"/>
    <xf numFmtId="164" fontId="9" fillId="2" borderId="7" xfId="0" applyNumberFormat="1" applyFont="1" applyFill="1" applyBorder="1"/>
    <xf numFmtId="37" fontId="9" fillId="2" borderId="7" xfId="0" applyNumberFormat="1" applyFont="1" applyFill="1" applyBorder="1"/>
    <xf numFmtId="37" fontId="9" fillId="3" borderId="8" xfId="0" applyNumberFormat="1" applyFont="1" applyFill="1" applyBorder="1"/>
    <xf numFmtId="37" fontId="9" fillId="3" borderId="13" xfId="0" applyNumberFormat="1" applyFont="1" applyFill="1" applyBorder="1"/>
    <xf numFmtId="37" fontId="9" fillId="2" borderId="12" xfId="0" applyNumberFormat="1" applyFont="1" applyFill="1" applyBorder="1"/>
    <xf numFmtId="37" fontId="9" fillId="2" borderId="9" xfId="0" applyNumberFormat="1" applyFont="1" applyFill="1" applyBorder="1"/>
    <xf numFmtId="37" fontId="9" fillId="2" borderId="14" xfId="0" applyNumberFormat="1" applyFont="1" applyFill="1" applyBorder="1"/>
    <xf numFmtId="37" fontId="9" fillId="3" borderId="12" xfId="0" applyNumberFormat="1" applyFont="1" applyFill="1" applyBorder="1"/>
    <xf numFmtId="37" fontId="9" fillId="2" borderId="13" xfId="0" applyNumberFormat="1" applyFont="1" applyFill="1" applyBorder="1"/>
    <xf numFmtId="37" fontId="8" fillId="4" borderId="4" xfId="0" applyNumberFormat="1" applyFont="1" applyFill="1" applyBorder="1" applyAlignment="1">
      <alignment wrapText="1"/>
    </xf>
    <xf numFmtId="37" fontId="9" fillId="4" borderId="6" xfId="0" applyNumberFormat="1" applyFont="1" applyFill="1" applyBorder="1"/>
    <xf numFmtId="37" fontId="9" fillId="4" borderId="12" xfId="0" applyNumberFormat="1" applyFont="1" applyFill="1" applyBorder="1"/>
    <xf numFmtId="37" fontId="8" fillId="3" borderId="4" xfId="0" applyNumberFormat="1" applyFont="1" applyFill="1" applyBorder="1"/>
    <xf numFmtId="37" fontId="8" fillId="3" borderId="7" xfId="0" applyNumberFormat="1" applyFont="1" applyFill="1" applyBorder="1"/>
    <xf numFmtId="37" fontId="8" fillId="4" borderId="4" xfId="0" applyNumberFormat="1" applyFont="1" applyFill="1" applyBorder="1"/>
    <xf numFmtId="37" fontId="8" fillId="4" borderId="7" xfId="0" applyNumberFormat="1" applyFont="1" applyFill="1" applyBorder="1"/>
    <xf numFmtId="164" fontId="9" fillId="3" borderId="7" xfId="0" applyNumberFormat="1" applyFont="1" applyFill="1" applyBorder="1"/>
    <xf numFmtId="37" fontId="8" fillId="4" borderId="4" xfId="0" applyNumberFormat="1" applyFont="1" applyFill="1" applyBorder="1" applyAlignment="1">
      <alignment horizontal="centerContinuous" vertical="center"/>
    </xf>
    <xf numFmtId="0" fontId="0" fillId="2" borderId="0" xfId="0" applyFill="1"/>
    <xf numFmtId="164" fontId="0" fillId="2" borderId="0" xfId="0" applyNumberFormat="1" applyFill="1"/>
    <xf numFmtId="171" fontId="0" fillId="2" borderId="0" xfId="0" applyNumberFormat="1" applyFill="1"/>
    <xf numFmtId="0" fontId="10" fillId="2" borderId="0" xfId="1" applyFill="1"/>
    <xf numFmtId="172" fontId="0" fillId="2" borderId="0" xfId="0" applyNumberFormat="1" applyFill="1"/>
    <xf numFmtId="172" fontId="0" fillId="2" borderId="15" xfId="0" applyNumberFormat="1" applyFill="1" applyBorder="1"/>
    <xf numFmtId="172" fontId="0" fillId="2" borderId="15" xfId="0" applyNumberFormat="1" applyFill="1" applyBorder="1" applyAlignment="1">
      <alignment horizontal="centerContinuous"/>
    </xf>
    <xf numFmtId="172" fontId="0" fillId="2" borderId="16" xfId="0" applyNumberFormat="1" applyFill="1" applyBorder="1"/>
    <xf numFmtId="172" fontId="11" fillId="2" borderId="0" xfId="0" applyNumberFormat="1" applyFont="1" applyFill="1"/>
    <xf numFmtId="172" fontId="11" fillId="2" borderId="0" xfId="0" applyNumberFormat="1" applyFont="1" applyFill="1" applyAlignment="1">
      <alignment horizontal="right"/>
    </xf>
    <xf numFmtId="172" fontId="0" fillId="2" borderId="0" xfId="0" applyNumberFormat="1" applyFill="1" applyAlignment="1">
      <alignment horizontal="right"/>
    </xf>
    <xf numFmtId="172" fontId="0" fillId="2" borderId="0" xfId="0" applyNumberFormat="1" applyFill="1" applyAlignment="1">
      <alignment horizontal="left" indent="1"/>
    </xf>
    <xf numFmtId="172" fontId="11" fillId="2" borderId="15" xfId="0" applyNumberFormat="1" applyFont="1" applyFill="1" applyBorder="1"/>
    <xf numFmtId="175" fontId="0" fillId="2" borderId="0" xfId="0" applyNumberFormat="1" applyFill="1"/>
    <xf numFmtId="175" fontId="11" fillId="2" borderId="15" xfId="0" applyNumberFormat="1" applyFont="1" applyFill="1" applyBorder="1"/>
    <xf numFmtId="175" fontId="11" fillId="2" borderId="0" xfId="0" applyNumberFormat="1" applyFont="1" applyFill="1"/>
    <xf numFmtId="172" fontId="11" fillId="2" borderId="0" xfId="0" applyNumberFormat="1" applyFont="1" applyFill="1" applyAlignment="1">
      <alignment horizontal="left" indent="1"/>
    </xf>
    <xf numFmtId="172" fontId="0" fillId="2" borderId="0" xfId="0" applyNumberFormat="1" applyFill="1" applyAlignment="1">
      <alignment horizontal="left" indent="2"/>
    </xf>
    <xf numFmtId="172" fontId="11" fillId="2" borderId="0" xfId="0" applyNumberFormat="1" applyFont="1" applyFill="1" applyAlignment="1">
      <alignment horizontal="left" indent="2"/>
    </xf>
    <xf numFmtId="172" fontId="0" fillId="2" borderId="0" xfId="0" applyNumberFormat="1" applyFill="1" applyAlignment="1">
      <alignment horizontal="left"/>
    </xf>
    <xf numFmtId="173" fontId="11" fillId="2" borderId="0" xfId="0" applyNumberFormat="1" applyFont="1" applyFill="1" applyAlignment="1">
      <alignment horizontal="center"/>
    </xf>
    <xf numFmtId="174" fontId="11" fillId="2" borderId="0" xfId="0" applyNumberFormat="1" applyFont="1" applyFill="1" applyAlignment="1">
      <alignment horizontal="center"/>
    </xf>
    <xf numFmtId="172" fontId="11" fillId="2" borderId="16" xfId="0" applyNumberFormat="1" applyFont="1" applyFill="1" applyBorder="1"/>
    <xf numFmtId="175" fontId="12" fillId="2" borderId="0" xfId="0" applyNumberFormat="1" applyFont="1" applyFill="1"/>
    <xf numFmtId="172" fontId="12" fillId="2" borderId="0" xfId="0" applyNumberFormat="1" applyFont="1" applyFill="1"/>
    <xf numFmtId="172" fontId="12" fillId="2" borderId="16" xfId="0" applyNumberFormat="1" applyFont="1" applyFill="1" applyBorder="1"/>
    <xf numFmtId="172" fontId="13" fillId="2" borderId="0" xfId="0" applyNumberFormat="1" applyFont="1" applyFill="1"/>
    <xf numFmtId="176" fontId="11" fillId="2" borderId="0" xfId="0" applyNumberFormat="1" applyFont="1" applyFill="1" applyAlignment="1">
      <alignment horizontal="center"/>
    </xf>
    <xf numFmtId="0" fontId="11" fillId="2" borderId="15" xfId="0" applyFont="1" applyFill="1" applyBorder="1" applyAlignment="1">
      <alignment horizontal="center"/>
    </xf>
    <xf numFmtId="0" fontId="11" fillId="2" borderId="15" xfId="0" applyFont="1" applyFill="1" applyBorder="1"/>
    <xf numFmtId="9" fontId="0" fillId="2" borderId="0" xfId="0" applyNumberFormat="1" applyFill="1"/>
    <xf numFmtId="172" fontId="11" fillId="2" borderId="15" xfId="0" applyNumberFormat="1" applyFont="1" applyFill="1" applyBorder="1" applyAlignment="1">
      <alignment horizontal="center"/>
    </xf>
    <xf numFmtId="0" fontId="11" fillId="2" borderId="17" xfId="0" applyFont="1" applyFill="1" applyBorder="1" applyAlignment="1">
      <alignment horizontal="center"/>
    </xf>
    <xf numFmtId="0" fontId="11" fillId="2" borderId="16" xfId="0" applyFont="1" applyFill="1" applyBorder="1"/>
    <xf numFmtId="0" fontId="11" fillId="2" borderId="16" xfId="0" applyFont="1" applyFill="1" applyBorder="1" applyAlignment="1">
      <alignment horizontal="center"/>
    </xf>
    <xf numFmtId="172" fontId="11" fillId="2" borderId="0" xfId="0" applyNumberFormat="1" applyFont="1" applyFill="1" applyAlignment="1">
      <alignment horizontal="center"/>
    </xf>
    <xf numFmtId="172" fontId="11" fillId="2" borderId="17" xfId="0" applyNumberFormat="1" applyFont="1" applyFill="1" applyBorder="1" applyAlignment="1">
      <alignment horizontal="center"/>
    </xf>
    <xf numFmtId="177" fontId="0" fillId="2" borderId="0" xfId="0" applyNumberFormat="1" applyFill="1"/>
    <xf numFmtId="172" fontId="11" fillId="2" borderId="16" xfId="0" applyNumberFormat="1" applyFont="1" applyFill="1" applyBorder="1" applyAlignment="1">
      <alignment horizontal="center"/>
    </xf>
    <xf numFmtId="37" fontId="0" fillId="2" borderId="0" xfId="0" applyNumberFormat="1" applyFill="1"/>
    <xf numFmtId="0" fontId="14" fillId="2" borderId="0" xfId="0" applyFont="1" applyFill="1" applyAlignment="1">
      <alignment horizontal="left" indent="1"/>
    </xf>
    <xf numFmtId="0" fontId="14" fillId="2" borderId="0" xfId="0" applyFont="1" applyFill="1"/>
    <xf numFmtId="171" fontId="14" fillId="2" borderId="0" xfId="0" applyNumberFormat="1" applyFont="1" applyFill="1"/>
    <xf numFmtId="0" fontId="0" fillId="2" borderId="18" xfId="0" applyFill="1" applyBorder="1"/>
    <xf numFmtId="10" fontId="0" fillId="2" borderId="18" xfId="0" applyNumberFormat="1" applyFill="1" applyBorder="1"/>
    <xf numFmtId="171" fontId="0" fillId="2" borderId="18" xfId="0" applyNumberFormat="1" applyFill="1" applyBorder="1"/>
    <xf numFmtId="0" fontId="11" fillId="2" borderId="18" xfId="0" applyFont="1" applyFill="1" applyBorder="1"/>
    <xf numFmtId="172" fontId="11" fillId="2" borderId="19" xfId="0" applyNumberFormat="1" applyFont="1" applyFill="1" applyBorder="1"/>
    <xf numFmtId="0" fontId="11" fillId="2" borderId="0" xfId="0" applyFont="1" applyFill="1"/>
    <xf numFmtId="37" fontId="0" fillId="2" borderId="18" xfId="0" applyNumberFormat="1" applyFill="1" applyBorder="1"/>
    <xf numFmtId="172" fontId="14" fillId="2" borderId="18" xfId="0" applyNumberFormat="1" applyFont="1" applyFill="1" applyBorder="1" applyAlignment="1">
      <alignment horizontal="left" indent="1"/>
    </xf>
    <xf numFmtId="171" fontId="14" fillId="2" borderId="18" xfId="0" applyNumberFormat="1" applyFont="1" applyFill="1" applyBorder="1"/>
    <xf numFmtId="177" fontId="11" fillId="2" borderId="19" xfId="0" applyNumberFormat="1" applyFont="1" applyFill="1" applyBorder="1"/>
    <xf numFmtId="9" fontId="0" fillId="2" borderId="18" xfId="0" applyNumberFormat="1" applyFill="1" applyBorder="1"/>
    <xf numFmtId="0" fontId="16" fillId="2" borderId="0" xfId="0" applyFont="1" applyFill="1"/>
    <xf numFmtId="0" fontId="11" fillId="2" borderId="15" xfId="0" applyFont="1" applyFill="1" applyBorder="1" applyAlignment="1">
      <alignment horizontal="centerContinuous"/>
    </xf>
    <xf numFmtId="0" fontId="11" fillId="2" borderId="17" xfId="0" applyFont="1" applyFill="1" applyBorder="1" applyAlignment="1">
      <alignment horizontal="centerContinuous"/>
    </xf>
    <xf numFmtId="0" fontId="0" fillId="2" borderId="0" xfId="0" applyFill="1" applyAlignment="1">
      <alignment horizontal="center"/>
    </xf>
    <xf numFmtId="10" fontId="0" fillId="2" borderId="0" xfId="0" applyNumberFormat="1" applyFill="1"/>
    <xf numFmtId="0" fontId="11" fillId="2" borderId="16" xfId="0" applyFont="1" applyFill="1" applyBorder="1" applyAlignment="1">
      <alignment horizontal="left"/>
    </xf>
    <xf numFmtId="172" fontId="0" fillId="2" borderId="0" xfId="0" applyNumberFormat="1" applyFill="1" applyAlignment="1">
      <alignment horizontal="center"/>
    </xf>
    <xf numFmtId="0" fontId="0" fillId="2" borderId="0" xfId="0" applyFill="1" applyAlignment="1">
      <alignment horizontal="left" indent="1"/>
    </xf>
    <xf numFmtId="179" fontId="11" fillId="2" borderId="16" xfId="0" applyNumberFormat="1" applyFont="1" applyFill="1" applyBorder="1" applyAlignment="1">
      <alignment horizontal="center"/>
    </xf>
    <xf numFmtId="172" fontId="0" fillId="2" borderId="18" xfId="0" applyNumberFormat="1" applyFill="1" applyBorder="1"/>
    <xf numFmtId="10" fontId="0" fillId="2" borderId="0" xfId="0" applyNumberFormat="1" applyFill="1" applyAlignment="1">
      <alignment horizontal="center"/>
    </xf>
    <xf numFmtId="172" fontId="14" fillId="2" borderId="0" xfId="0" applyNumberFormat="1" applyFont="1" applyFill="1"/>
    <xf numFmtId="175" fontId="14" fillId="2" borderId="0" xfId="0" applyNumberFormat="1" applyFont="1" applyFill="1"/>
    <xf numFmtId="9" fontId="14" fillId="2" borderId="0" xfId="0" applyNumberFormat="1" applyFont="1" applyFill="1"/>
    <xf numFmtId="9" fontId="17" fillId="2" borderId="0" xfId="0" applyNumberFormat="1" applyFont="1" applyFill="1"/>
    <xf numFmtId="9" fontId="12" fillId="2" borderId="0" xfId="0" applyNumberFormat="1" applyFont="1" applyFill="1"/>
    <xf numFmtId="171" fontId="12" fillId="2" borderId="0" xfId="0" applyNumberFormat="1" applyFont="1" applyFill="1"/>
    <xf numFmtId="9" fontId="13" fillId="2" borderId="0" xfId="0" applyNumberFormat="1" applyFont="1" applyFill="1"/>
    <xf numFmtId="172" fontId="19" fillId="2" borderId="0" xfId="0" applyNumberFormat="1" applyFont="1" applyFill="1"/>
    <xf numFmtId="167" fontId="0" fillId="2" borderId="0" xfId="0" applyNumberFormat="1" applyFill="1"/>
    <xf numFmtId="167" fontId="12" fillId="2" borderId="0" xfId="0" applyNumberFormat="1" applyFont="1" applyFill="1"/>
    <xf numFmtId="181" fontId="0" fillId="2" borderId="0" xfId="0" applyNumberFormat="1" applyFill="1"/>
    <xf numFmtId="172" fontId="20" fillId="2" borderId="0" xfId="0" applyNumberFormat="1" applyFont="1" applyFill="1" applyAlignment="1">
      <alignment horizontal="center"/>
    </xf>
    <xf numFmtId="172" fontId="11" fillId="2" borderId="15" xfId="0" applyNumberFormat="1" applyFont="1" applyFill="1" applyBorder="1" applyAlignment="1">
      <alignment horizontal="left" indent="1"/>
    </xf>
    <xf numFmtId="172" fontId="11" fillId="2" borderId="16" xfId="0" applyNumberFormat="1" applyFont="1" applyFill="1" applyBorder="1" applyAlignment="1">
      <alignment horizontal="centerContinuous"/>
    </xf>
    <xf numFmtId="172" fontId="0" fillId="2" borderId="0" xfId="0" quotePrefix="1" applyNumberFormat="1" applyFill="1"/>
    <xf numFmtId="172" fontId="11" fillId="2" borderId="0" xfId="0" applyNumberFormat="1" applyFont="1" applyFill="1" applyAlignment="1">
      <alignment horizontal="centerContinuous"/>
    </xf>
    <xf numFmtId="172" fontId="21" fillId="2" borderId="0" xfId="0" applyNumberFormat="1" applyFont="1" applyFill="1"/>
    <xf numFmtId="167" fontId="11" fillId="2" borderId="15" xfId="0" applyNumberFormat="1" applyFont="1" applyFill="1" applyBorder="1"/>
    <xf numFmtId="10" fontId="12" fillId="2" borderId="0" xfId="0" applyNumberFormat="1" applyFont="1" applyFill="1"/>
    <xf numFmtId="172" fontId="11" fillId="2" borderId="15" xfId="0" quotePrefix="1" applyNumberFormat="1" applyFont="1" applyFill="1" applyBorder="1"/>
    <xf numFmtId="180" fontId="11" fillId="2" borderId="0" xfId="0" applyNumberFormat="1" applyFont="1" applyFill="1" applyAlignment="1">
      <alignment horizontal="center"/>
    </xf>
    <xf numFmtId="182" fontId="12" fillId="2" borderId="0" xfId="0" applyNumberFormat="1" applyFont="1" applyFill="1"/>
    <xf numFmtId="182" fontId="0" fillId="2" borderId="0" xfId="0" applyNumberFormat="1" applyFill="1"/>
    <xf numFmtId="182" fontId="11" fillId="2" borderId="15" xfId="0" applyNumberFormat="1" applyFont="1" applyFill="1" applyBorder="1"/>
    <xf numFmtId="172" fontId="0" fillId="2" borderId="20" xfId="0" applyNumberFormat="1" applyFill="1" applyBorder="1" applyAlignment="1">
      <alignment horizontal="centerContinuous"/>
    </xf>
    <xf numFmtId="173" fontId="11" fillId="2" borderId="22" xfId="0" applyNumberFormat="1" applyFont="1" applyFill="1" applyBorder="1" applyAlignment="1">
      <alignment horizontal="center"/>
    </xf>
    <xf numFmtId="172" fontId="0" fillId="2" borderId="22" xfId="0" applyNumberFormat="1" applyFill="1" applyBorder="1"/>
    <xf numFmtId="175" fontId="12" fillId="2" borderId="22" xfId="0" applyNumberFormat="1" applyFont="1" applyFill="1" applyBorder="1"/>
    <xf numFmtId="172" fontId="12" fillId="2" borderId="22" xfId="0" applyNumberFormat="1" applyFont="1" applyFill="1" applyBorder="1"/>
    <xf numFmtId="175" fontId="11" fillId="2" borderId="20" xfId="0" applyNumberFormat="1" applyFont="1" applyFill="1" applyBorder="1"/>
    <xf numFmtId="172" fontId="11" fillId="2" borderId="22" xfId="0" applyNumberFormat="1" applyFont="1" applyFill="1" applyBorder="1"/>
    <xf numFmtId="172" fontId="11" fillId="2" borderId="20" xfId="0" applyNumberFormat="1" applyFont="1" applyFill="1" applyBorder="1"/>
    <xf numFmtId="172" fontId="0" fillId="2" borderId="23" xfId="0" applyNumberFormat="1" applyFill="1" applyBorder="1" applyAlignment="1">
      <alignment horizontal="centerContinuous"/>
    </xf>
    <xf numFmtId="173" fontId="11" fillId="2" borderId="24" xfId="0" applyNumberFormat="1" applyFont="1" applyFill="1" applyBorder="1" applyAlignment="1">
      <alignment horizontal="center"/>
    </xf>
    <xf numFmtId="172" fontId="0" fillId="2" borderId="24" xfId="0" applyNumberFormat="1" applyFill="1" applyBorder="1"/>
    <xf numFmtId="175" fontId="0" fillId="2" borderId="24" xfId="0" applyNumberFormat="1" applyFill="1" applyBorder="1"/>
    <xf numFmtId="175" fontId="11" fillId="2" borderId="23" xfId="0" applyNumberFormat="1" applyFont="1" applyFill="1" applyBorder="1"/>
    <xf numFmtId="172" fontId="11" fillId="2" borderId="24" xfId="0" applyNumberFormat="1" applyFont="1" applyFill="1" applyBorder="1"/>
    <xf numFmtId="172" fontId="11" fillId="2" borderId="23" xfId="0" applyNumberFormat="1" applyFont="1" applyFill="1" applyBorder="1"/>
    <xf numFmtId="172" fontId="12" fillId="2" borderId="21" xfId="0" applyNumberFormat="1" applyFont="1" applyFill="1" applyBorder="1"/>
    <xf numFmtId="175" fontId="0" fillId="2" borderId="22" xfId="0" applyNumberFormat="1" applyFill="1" applyBorder="1"/>
    <xf numFmtId="171" fontId="14" fillId="2" borderId="22" xfId="0" applyNumberFormat="1" applyFont="1" applyFill="1" applyBorder="1"/>
    <xf numFmtId="175" fontId="11" fillId="2" borderId="22" xfId="0" applyNumberFormat="1" applyFont="1" applyFill="1" applyBorder="1"/>
    <xf numFmtId="9" fontId="13" fillId="2" borderId="22" xfId="0" applyNumberFormat="1" applyFont="1" applyFill="1" applyBorder="1"/>
    <xf numFmtId="172" fontId="0" fillId="2" borderId="20" xfId="0" applyNumberFormat="1" applyFill="1" applyBorder="1"/>
    <xf numFmtId="172" fontId="11" fillId="2" borderId="22" xfId="0" applyNumberFormat="1" applyFont="1" applyFill="1" applyBorder="1" applyAlignment="1">
      <alignment horizontal="center"/>
    </xf>
    <xf numFmtId="172" fontId="11" fillId="2" borderId="25" xfId="0" applyNumberFormat="1" applyFont="1" applyFill="1" applyBorder="1"/>
    <xf numFmtId="175" fontId="11" fillId="2" borderId="25" xfId="0" applyNumberFormat="1" applyFont="1" applyFill="1" applyBorder="1"/>
    <xf numFmtId="171" fontId="18" fillId="2" borderId="0" xfId="0" applyNumberFormat="1" applyFont="1" applyFill="1"/>
    <xf numFmtId="9" fontId="14" fillId="2" borderId="22" xfId="0" applyNumberFormat="1" applyFont="1" applyFill="1" applyBorder="1"/>
    <xf numFmtId="171" fontId="18" fillId="2" borderId="22" xfId="0" applyNumberFormat="1" applyFont="1" applyFill="1" applyBorder="1"/>
    <xf numFmtId="172" fontId="19" fillId="2" borderId="22" xfId="0" applyNumberFormat="1" applyFont="1" applyFill="1" applyBorder="1"/>
    <xf numFmtId="172" fontId="11" fillId="2" borderId="0" xfId="0" applyNumberFormat="1" applyFont="1" applyFill="1" applyAlignment="1">
      <alignment horizontal="left"/>
    </xf>
    <xf numFmtId="175" fontId="22" fillId="2" borderId="15" xfId="0" applyNumberFormat="1" applyFont="1" applyFill="1" applyBorder="1"/>
    <xf numFmtId="172" fontId="14" fillId="2" borderId="0" xfId="0" applyNumberFormat="1" applyFont="1" applyFill="1" applyAlignment="1">
      <alignment horizontal="left" indent="2"/>
    </xf>
    <xf numFmtId="172" fontId="17" fillId="2" borderId="0" xfId="0" applyNumberFormat="1" applyFont="1" applyFill="1"/>
    <xf numFmtId="172" fontId="11" fillId="2" borderId="18" xfId="0" applyNumberFormat="1" applyFont="1" applyFill="1" applyBorder="1"/>
    <xf numFmtId="37" fontId="0" fillId="2" borderId="22" xfId="0" applyNumberFormat="1" applyFill="1" applyBorder="1"/>
    <xf numFmtId="172" fontId="14" fillId="2" borderId="22" xfId="0" applyNumberFormat="1" applyFont="1" applyFill="1" applyBorder="1"/>
    <xf numFmtId="175" fontId="22" fillId="2" borderId="20" xfId="0" applyNumberFormat="1" applyFont="1" applyFill="1" applyBorder="1"/>
    <xf numFmtId="173" fontId="0" fillId="2" borderId="17" xfId="0" applyNumberFormat="1" applyFill="1" applyBorder="1" applyAlignment="1">
      <alignment horizontal="center"/>
    </xf>
    <xf numFmtId="173" fontId="0" fillId="2" borderId="26" xfId="0" applyNumberFormat="1" applyFill="1" applyBorder="1" applyAlignment="1">
      <alignment horizontal="center"/>
    </xf>
    <xf numFmtId="174" fontId="0" fillId="2" borderId="17" xfId="0" applyNumberFormat="1" applyFill="1" applyBorder="1" applyAlignment="1">
      <alignment horizontal="center"/>
    </xf>
    <xf numFmtId="180" fontId="0" fillId="2" borderId="27" xfId="0" applyNumberFormat="1" applyFill="1" applyBorder="1" applyAlignment="1">
      <alignment horizontal="center"/>
    </xf>
    <xf numFmtId="172" fontId="0" fillId="2" borderId="17" xfId="0" applyNumberFormat="1" applyFill="1" applyBorder="1" applyAlignment="1">
      <alignment horizontal="centerContinuous"/>
    </xf>
    <xf numFmtId="172" fontId="0" fillId="2" borderId="26" xfId="0" applyNumberFormat="1" applyFill="1" applyBorder="1" applyAlignment="1">
      <alignment horizontal="centerContinuous"/>
    </xf>
    <xf numFmtId="180" fontId="0" fillId="2" borderId="17" xfId="0" applyNumberFormat="1" applyFill="1" applyBorder="1" applyAlignment="1">
      <alignment horizontal="center"/>
    </xf>
    <xf numFmtId="172" fontId="14" fillId="2" borderId="0" xfId="0" applyNumberFormat="1" applyFont="1" applyFill="1" applyAlignment="1">
      <alignment horizontal="left" indent="1"/>
    </xf>
    <xf numFmtId="183" fontId="0" fillId="2" borderId="0" xfId="0" applyNumberFormat="1" applyFill="1" applyAlignment="1">
      <alignment horizontal="left" indent="1"/>
    </xf>
    <xf numFmtId="37" fontId="12" fillId="2" borderId="0" xfId="0" applyNumberFormat="1" applyFont="1" applyFill="1"/>
    <xf numFmtId="172" fontId="23" fillId="2" borderId="0" xfId="0" applyNumberFormat="1" applyFont="1" applyFill="1"/>
    <xf numFmtId="176" fontId="11" fillId="2" borderId="18" xfId="0" applyNumberFormat="1" applyFont="1" applyFill="1" applyBorder="1" applyAlignment="1">
      <alignment horizontal="center"/>
    </xf>
    <xf numFmtId="171" fontId="24" fillId="2" borderId="0" xfId="0" applyNumberFormat="1" applyFont="1" applyFill="1"/>
    <xf numFmtId="9" fontId="12" fillId="2" borderId="0" xfId="0" applyNumberFormat="1" applyFont="1" applyFill="1" applyAlignment="1">
      <alignment horizontal="center"/>
    </xf>
    <xf numFmtId="171" fontId="19" fillId="2" borderId="0" xfId="0" applyNumberFormat="1" applyFont="1" applyFill="1"/>
    <xf numFmtId="172" fontId="25" fillId="2" borderId="0" xfId="0" applyNumberFormat="1" applyFont="1" applyFill="1"/>
    <xf numFmtId="172" fontId="25" fillId="2" borderId="22" xfId="0" applyNumberFormat="1" applyFont="1" applyFill="1" applyBorder="1"/>
    <xf numFmtId="172" fontId="0" fillId="2" borderId="28" xfId="0" applyNumberFormat="1" applyFill="1" applyBorder="1"/>
    <xf numFmtId="172" fontId="0" fillId="2" borderId="22" xfId="0" applyNumberFormat="1" applyFill="1" applyBorder="1" applyAlignment="1">
      <alignment horizontal="center"/>
    </xf>
    <xf numFmtId="172" fontId="13" fillId="2" borderId="22" xfId="0" applyNumberFormat="1" applyFont="1" applyFill="1" applyBorder="1" applyAlignment="1">
      <alignment horizontal="center"/>
    </xf>
    <xf numFmtId="176" fontId="11" fillId="2" borderId="22" xfId="0" applyNumberFormat="1" applyFont="1" applyFill="1" applyBorder="1" applyAlignment="1">
      <alignment horizontal="center"/>
    </xf>
    <xf numFmtId="175" fontId="14" fillId="2" borderId="22" xfId="0" applyNumberFormat="1" applyFont="1" applyFill="1" applyBorder="1"/>
    <xf numFmtId="172" fontId="26" fillId="5" borderId="29" xfId="0" applyNumberFormat="1" applyFont="1" applyFill="1" applyBorder="1"/>
    <xf numFmtId="184" fontId="0" fillId="2" borderId="0" xfId="0" applyNumberFormat="1" applyFill="1"/>
    <xf numFmtId="184" fontId="0" fillId="2" borderId="22" xfId="0" applyNumberFormat="1" applyFill="1" applyBorder="1"/>
    <xf numFmtId="9" fontId="0" fillId="2" borderId="22" xfId="0" applyNumberFormat="1" applyFill="1" applyBorder="1"/>
    <xf numFmtId="1" fontId="0" fillId="2" borderId="0" xfId="0" applyNumberFormat="1" applyFill="1" applyAlignment="1">
      <alignment horizontal="center"/>
    </xf>
    <xf numFmtId="175" fontId="19" fillId="2" borderId="0" xfId="0" applyNumberFormat="1" applyFont="1" applyFill="1"/>
    <xf numFmtId="184" fontId="19" fillId="2" borderId="0" xfId="0" applyNumberFormat="1" applyFont="1" applyFill="1"/>
    <xf numFmtId="9" fontId="11" fillId="2" borderId="15" xfId="0" applyNumberFormat="1" applyFont="1" applyFill="1" applyBorder="1"/>
    <xf numFmtId="181" fontId="11" fillId="2" borderId="15" xfId="0" applyNumberFormat="1" applyFont="1" applyFill="1" applyBorder="1"/>
    <xf numFmtId="172" fontId="20" fillId="2" borderId="0" xfId="0" quotePrefix="1" applyNumberFormat="1" applyFont="1" applyFill="1" applyAlignment="1">
      <alignment horizontal="center"/>
    </xf>
    <xf numFmtId="174" fontId="20" fillId="2" borderId="0" xfId="0" applyNumberFormat="1" applyFont="1" applyFill="1" applyAlignment="1">
      <alignment horizontal="center"/>
    </xf>
    <xf numFmtId="172" fontId="11" fillId="2" borderId="15" xfId="0" applyNumberFormat="1" applyFont="1" applyFill="1" applyBorder="1" applyAlignment="1">
      <alignment horizontal="centerContinuous"/>
    </xf>
    <xf numFmtId="180" fontId="0" fillId="2" borderId="26" xfId="0" applyNumberFormat="1" applyFill="1" applyBorder="1" applyAlignment="1">
      <alignment horizontal="center"/>
    </xf>
    <xf numFmtId="180" fontId="20" fillId="2" borderId="0" xfId="0" applyNumberFormat="1" applyFont="1" applyFill="1" applyAlignment="1">
      <alignment horizontal="center"/>
    </xf>
    <xf numFmtId="172" fontId="11" fillId="2" borderId="17" xfId="0" applyNumberFormat="1" applyFont="1" applyFill="1" applyBorder="1"/>
    <xf numFmtId="9" fontId="0" fillId="2" borderId="0" xfId="0" applyNumberFormat="1" applyFill="1" applyAlignment="1">
      <alignment horizontal="center"/>
    </xf>
    <xf numFmtId="172" fontId="11" fillId="2" borderId="16" xfId="0" quotePrefix="1" applyNumberFormat="1" applyFont="1" applyFill="1" applyBorder="1" applyAlignment="1">
      <alignment horizontal="center"/>
    </xf>
    <xf numFmtId="173" fontId="0" fillId="2" borderId="16" xfId="0" applyNumberFormat="1" applyFill="1" applyBorder="1" applyAlignment="1">
      <alignment horizontal="center"/>
    </xf>
    <xf numFmtId="9" fontId="16" fillId="0" borderId="22" xfId="0" applyNumberFormat="1" applyFont="1" applyBorder="1"/>
    <xf numFmtId="171" fontId="16" fillId="0" borderId="22" xfId="0" applyNumberFormat="1" applyFont="1" applyBorder="1"/>
    <xf numFmtId="9" fontId="16" fillId="0" borderId="0" xfId="0" applyNumberFormat="1" applyFont="1"/>
    <xf numFmtId="172" fontId="16" fillId="0" borderId="22" xfId="0" applyNumberFormat="1" applyFont="1" applyBorder="1"/>
    <xf numFmtId="186" fontId="28" fillId="0" borderId="32" xfId="0" applyNumberFormat="1" applyFont="1" applyBorder="1" applyAlignment="1">
      <alignment horizontal="center"/>
    </xf>
    <xf numFmtId="186" fontId="28" fillId="0" borderId="35" xfId="0" applyNumberFormat="1" applyFont="1" applyBorder="1" applyAlignment="1">
      <alignment horizontal="center"/>
    </xf>
    <xf numFmtId="171" fontId="16" fillId="0" borderId="0" xfId="0" applyNumberFormat="1" applyFont="1"/>
    <xf numFmtId="185" fontId="16" fillId="0" borderId="0" xfId="0" applyNumberFormat="1" applyFont="1"/>
    <xf numFmtId="9" fontId="30" fillId="0" borderId="0" xfId="0" applyNumberFormat="1" applyFont="1"/>
    <xf numFmtId="172" fontId="29" fillId="0" borderId="0" xfId="0" applyNumberFormat="1" applyFont="1"/>
    <xf numFmtId="172" fontId="42" fillId="0" borderId="0" xfId="0" applyNumberFormat="1" applyFont="1"/>
    <xf numFmtId="171" fontId="16" fillId="0" borderId="31" xfId="0" applyNumberFormat="1" applyFont="1" applyBorder="1"/>
    <xf numFmtId="172" fontId="37" fillId="6" borderId="25" xfId="0" applyNumberFormat="1" applyFont="1" applyFill="1" applyBorder="1" applyAlignment="1">
      <alignment horizontal="centerContinuous"/>
    </xf>
    <xf numFmtId="172" fontId="0" fillId="6" borderId="15" xfId="0" applyNumberFormat="1" applyFill="1" applyBorder="1" applyAlignment="1">
      <alignment horizontal="centerContinuous"/>
    </xf>
    <xf numFmtId="172" fontId="0" fillId="6" borderId="20" xfId="0" applyNumberFormat="1" applyFill="1" applyBorder="1" applyAlignment="1">
      <alignment horizontal="centerContinuous"/>
    </xf>
    <xf numFmtId="172" fontId="37" fillId="6" borderId="15" xfId="0" applyNumberFormat="1" applyFont="1" applyFill="1" applyBorder="1" applyAlignment="1">
      <alignment horizontal="centerContinuous"/>
    </xf>
    <xf numFmtId="172" fontId="38" fillId="6" borderId="15" xfId="0" applyNumberFormat="1" applyFont="1" applyFill="1" applyBorder="1" applyAlignment="1">
      <alignment horizontal="centerContinuous"/>
    </xf>
    <xf numFmtId="172" fontId="38" fillId="6" borderId="20" xfId="0" applyNumberFormat="1" applyFont="1" applyFill="1" applyBorder="1" applyAlignment="1">
      <alignment horizontal="centerContinuous"/>
    </xf>
    <xf numFmtId="172" fontId="0" fillId="0" borderId="0" xfId="0" applyNumberFormat="1"/>
    <xf numFmtId="172" fontId="16" fillId="0" borderId="0" xfId="0" applyNumberFormat="1" applyFont="1" applyAlignment="1">
      <alignment horizontal="center"/>
    </xf>
    <xf numFmtId="172" fontId="16" fillId="0" borderId="29" xfId="0" applyNumberFormat="1" applyFont="1" applyBorder="1"/>
    <xf numFmtId="172" fontId="16" fillId="0" borderId="0" xfId="0" applyNumberFormat="1" applyFont="1"/>
    <xf numFmtId="172" fontId="28" fillId="0" borderId="0" xfId="0" applyNumberFormat="1" applyFont="1" applyAlignment="1">
      <alignment horizontal="center"/>
    </xf>
    <xf numFmtId="172" fontId="28" fillId="0" borderId="22" xfId="0" applyNumberFormat="1" applyFont="1" applyBorder="1" applyAlignment="1">
      <alignment horizontal="center"/>
    </xf>
    <xf numFmtId="172" fontId="40" fillId="0" borderId="0" xfId="0" applyNumberFormat="1" applyFont="1"/>
    <xf numFmtId="172" fontId="31" fillId="0" borderId="0" xfId="0" applyNumberFormat="1" applyFont="1"/>
    <xf numFmtId="172" fontId="30" fillId="0" borderId="0" xfId="0" applyNumberFormat="1" applyFont="1"/>
    <xf numFmtId="172" fontId="16" fillId="0" borderId="15" xfId="0" applyNumberFormat="1" applyFont="1" applyBorder="1"/>
    <xf numFmtId="172" fontId="16" fillId="0" borderId="20" xfId="0" applyNumberFormat="1" applyFont="1" applyBorder="1"/>
    <xf numFmtId="172" fontId="28" fillId="0" borderId="0" xfId="0" applyNumberFormat="1" applyFont="1"/>
    <xf numFmtId="172" fontId="16" fillId="0" borderId="28" xfId="0" applyNumberFormat="1" applyFont="1" applyBorder="1"/>
    <xf numFmtId="172" fontId="16" fillId="0" borderId="16" xfId="0" applyNumberFormat="1" applyFont="1" applyBorder="1"/>
    <xf numFmtId="172" fontId="16" fillId="0" borderId="21" xfId="0" applyNumberFormat="1" applyFont="1" applyBorder="1"/>
    <xf numFmtId="172" fontId="39" fillId="6" borderId="15" xfId="0" applyNumberFormat="1" applyFont="1" applyFill="1" applyBorder="1" applyAlignment="1">
      <alignment horizontal="centerContinuous"/>
    </xf>
    <xf numFmtId="172" fontId="34" fillId="0" borderId="0" xfId="0" applyNumberFormat="1" applyFont="1"/>
    <xf numFmtId="172" fontId="34" fillId="0" borderId="22" xfId="0" applyNumberFormat="1" applyFont="1" applyBorder="1"/>
    <xf numFmtId="172" fontId="16" fillId="6" borderId="15" xfId="0" applyNumberFormat="1" applyFont="1" applyFill="1" applyBorder="1" applyAlignment="1">
      <alignment horizontal="centerContinuous"/>
    </xf>
    <xf numFmtId="172" fontId="28" fillId="0" borderId="16" xfId="0" applyNumberFormat="1" applyFont="1" applyBorder="1"/>
    <xf numFmtId="172" fontId="37" fillId="6" borderId="0" xfId="0" applyNumberFormat="1" applyFont="1" applyFill="1" applyAlignment="1">
      <alignment horizontal="centerContinuous"/>
    </xf>
    <xf numFmtId="172" fontId="36" fillId="6" borderId="0" xfId="0" applyNumberFormat="1" applyFont="1" applyFill="1" applyAlignment="1">
      <alignment horizontal="centerContinuous"/>
    </xf>
    <xf numFmtId="172" fontId="16" fillId="0" borderId="31" xfId="0" applyNumberFormat="1" applyFont="1" applyBorder="1"/>
    <xf numFmtId="172" fontId="28" fillId="0" borderId="0" xfId="0" applyNumberFormat="1" applyFont="1" applyAlignment="1">
      <alignment horizontal="centerContinuous"/>
    </xf>
    <xf numFmtId="172" fontId="28" fillId="0" borderId="16" xfId="0" applyNumberFormat="1" applyFont="1" applyBorder="1" applyAlignment="1">
      <alignment horizontal="center"/>
    </xf>
    <xf numFmtId="172" fontId="27" fillId="0" borderId="0" xfId="0" applyNumberFormat="1" applyFont="1"/>
    <xf numFmtId="172" fontId="16" fillId="0" borderId="33" xfId="0" applyNumberFormat="1" applyFont="1" applyBorder="1"/>
    <xf numFmtId="172" fontId="32" fillId="0" borderId="0" xfId="0" applyNumberFormat="1" applyFont="1"/>
    <xf numFmtId="172" fontId="33" fillId="0" borderId="0" xfId="0" applyNumberFormat="1" applyFont="1"/>
    <xf numFmtId="172" fontId="28" fillId="0" borderId="31" xfId="0" applyNumberFormat="1" applyFont="1" applyBorder="1"/>
    <xf numFmtId="172" fontId="16" fillId="6" borderId="0" xfId="0" applyNumberFormat="1" applyFont="1" applyFill="1" applyAlignment="1">
      <alignment horizontal="centerContinuous"/>
    </xf>
    <xf numFmtId="172" fontId="41" fillId="0" borderId="0" xfId="0" applyNumberFormat="1" applyFont="1"/>
    <xf numFmtId="172" fontId="28" fillId="0" borderId="34" xfId="0" applyNumberFormat="1" applyFont="1" applyBorder="1" applyAlignment="1">
      <alignment horizontal="centerContinuous"/>
    </xf>
    <xf numFmtId="172" fontId="16" fillId="0" borderId="0" xfId="0" applyNumberFormat="1" applyFont="1" applyAlignment="1">
      <alignment horizontal="centerContinuous"/>
    </xf>
    <xf numFmtId="172" fontId="16" fillId="0" borderId="0" xfId="0" applyNumberFormat="1" applyFont="1" applyAlignment="1">
      <alignment horizontal="left" indent="1"/>
    </xf>
    <xf numFmtId="172" fontId="16" fillId="0" borderId="0" xfId="0" applyNumberFormat="1" applyFont="1" applyAlignment="1">
      <alignment horizontal="left" indent="2"/>
    </xf>
    <xf numFmtId="172" fontId="28" fillId="0" borderId="33" xfId="0" applyNumberFormat="1" applyFont="1" applyBorder="1"/>
    <xf numFmtId="172" fontId="27" fillId="0" borderId="0" xfId="0" applyNumberFormat="1" applyFont="1" applyAlignment="1">
      <alignment horizontal="right"/>
    </xf>
    <xf numFmtId="172" fontId="29" fillId="0" borderId="0" xfId="0" applyNumberFormat="1" applyFont="1" applyAlignment="1">
      <alignment horizontal="center"/>
    </xf>
    <xf numFmtId="172" fontId="29" fillId="0" borderId="0" xfId="0" applyNumberFormat="1" applyFont="1" applyAlignment="1">
      <alignment horizontal="left" indent="1"/>
    </xf>
    <xf numFmtId="172" fontId="16" fillId="0" borderId="0" xfId="0" applyNumberFormat="1" applyFont="1" applyAlignment="1">
      <alignment horizontal="left"/>
    </xf>
    <xf numFmtId="175" fontId="16" fillId="0" borderId="0" xfId="0" applyNumberFormat="1" applyFont="1"/>
    <xf numFmtId="175" fontId="16" fillId="0" borderId="22" xfId="0" applyNumberFormat="1" applyFont="1" applyBorder="1"/>
    <xf numFmtId="176" fontId="16" fillId="0" borderId="0" xfId="0" applyNumberFormat="1" applyFont="1" applyAlignment="1">
      <alignment horizontal="center"/>
    </xf>
    <xf numFmtId="185" fontId="16" fillId="0" borderId="31" xfId="0" applyNumberFormat="1" applyFont="1" applyBorder="1"/>
    <xf numFmtId="171" fontId="29" fillId="0" borderId="0" xfId="0" applyNumberFormat="1" applyFont="1"/>
    <xf numFmtId="172" fontId="30" fillId="0" borderId="22" xfId="0" applyNumberFormat="1" applyFont="1" applyBorder="1"/>
    <xf numFmtId="171" fontId="31" fillId="0" borderId="22" xfId="0" applyNumberFormat="1" applyFont="1" applyBorder="1"/>
    <xf numFmtId="171" fontId="16" fillId="0" borderId="36" xfId="0" applyNumberFormat="1" applyFont="1" applyBorder="1"/>
    <xf numFmtId="175" fontId="16" fillId="0" borderId="33" xfId="0" applyNumberFormat="1" applyFont="1" applyBorder="1"/>
    <xf numFmtId="175" fontId="28" fillId="0" borderId="0" xfId="0" applyNumberFormat="1" applyFont="1"/>
    <xf numFmtId="175" fontId="28" fillId="0" borderId="31" xfId="0" applyNumberFormat="1" applyFont="1" applyBorder="1"/>
    <xf numFmtId="175" fontId="16" fillId="0" borderId="37" xfId="0" applyNumberFormat="1" applyFont="1" applyBorder="1"/>
    <xf numFmtId="175" fontId="28" fillId="0" borderId="33" xfId="0" applyNumberFormat="1" applyFont="1" applyBorder="1"/>
    <xf numFmtId="172" fontId="40" fillId="0" borderId="22" xfId="0" applyNumberFormat="1" applyFont="1" applyBorder="1"/>
    <xf numFmtId="175" fontId="28" fillId="0" borderId="22" xfId="0" applyNumberFormat="1" applyFont="1" applyBorder="1"/>
    <xf numFmtId="175" fontId="28" fillId="0" borderId="36" xfId="0" applyNumberFormat="1" applyFont="1" applyBorder="1"/>
    <xf numFmtId="172" fontId="34" fillId="0" borderId="0" xfId="0" applyNumberFormat="1" applyFont="1" applyAlignment="1">
      <alignment horizontal="left"/>
    </xf>
    <xf numFmtId="172" fontId="28" fillId="0" borderId="38" xfId="0" applyNumberFormat="1" applyFont="1" applyBorder="1" applyAlignment="1">
      <alignment horizontal="left" indent="1"/>
    </xf>
    <xf numFmtId="172" fontId="28" fillId="0" borderId="38" xfId="0" applyNumberFormat="1" applyFont="1" applyBorder="1"/>
    <xf numFmtId="175" fontId="28" fillId="0" borderId="38" xfId="0" applyNumberFormat="1" applyFont="1" applyBorder="1"/>
    <xf numFmtId="172" fontId="28" fillId="0" borderId="0" xfId="0" applyNumberFormat="1" applyFont="1" applyAlignment="1">
      <alignment horizontal="left" indent="1"/>
    </xf>
    <xf numFmtId="171" fontId="30" fillId="0" borderId="22" xfId="0" applyNumberFormat="1" applyFont="1" applyBorder="1"/>
    <xf numFmtId="172" fontId="28" fillId="0" borderId="31" xfId="0" applyNumberFormat="1" applyFont="1" applyBorder="1" applyAlignment="1">
      <alignment horizontal="center"/>
    </xf>
    <xf numFmtId="9" fontId="16" fillId="0" borderId="31" xfId="0" applyNumberFormat="1" applyFont="1" applyBorder="1"/>
    <xf numFmtId="172" fontId="16" fillId="0" borderId="37" xfId="0" applyNumberFormat="1" applyFont="1" applyBorder="1"/>
    <xf numFmtId="172" fontId="29" fillId="0" borderId="22" xfId="0" applyNumberFormat="1" applyFont="1" applyBorder="1"/>
    <xf numFmtId="172" fontId="28" fillId="0" borderId="22" xfId="0" applyNumberFormat="1" applyFont="1" applyBorder="1"/>
    <xf numFmtId="172" fontId="28" fillId="0" borderId="39" xfId="0" applyNumberFormat="1" applyFont="1" applyBorder="1"/>
    <xf numFmtId="172" fontId="27" fillId="0" borderId="22" xfId="0" applyNumberFormat="1" applyFont="1" applyBorder="1" applyAlignment="1">
      <alignment horizontal="right"/>
    </xf>
    <xf numFmtId="172" fontId="31" fillId="0" borderId="22" xfId="0" applyNumberFormat="1" applyFont="1" applyBorder="1"/>
    <xf numFmtId="172" fontId="16" fillId="0" borderId="36" xfId="0" applyNumberFormat="1" applyFont="1" applyBorder="1"/>
    <xf numFmtId="185" fontId="16" fillId="0" borderId="22" xfId="0" applyNumberFormat="1" applyFont="1" applyBorder="1"/>
    <xf numFmtId="172" fontId="28" fillId="0" borderId="37" xfId="0" applyNumberFormat="1" applyFont="1" applyBorder="1"/>
    <xf numFmtId="175" fontId="28" fillId="0" borderId="37" xfId="0" applyNumberFormat="1" applyFont="1" applyBorder="1"/>
    <xf numFmtId="172" fontId="43" fillId="0" borderId="0" xfId="0" applyNumberFormat="1" applyFont="1"/>
    <xf numFmtId="172" fontId="32" fillId="0" borderId="22" xfId="0" applyNumberFormat="1" applyFont="1" applyBorder="1"/>
    <xf numFmtId="184" fontId="16" fillId="0" borderId="0" xfId="0" applyNumberFormat="1" applyFont="1"/>
    <xf numFmtId="172" fontId="28" fillId="0" borderId="29" xfId="0" applyNumberFormat="1" applyFont="1" applyBorder="1"/>
    <xf numFmtId="175" fontId="40" fillId="0" borderId="0" xfId="0" applyNumberFormat="1" applyFont="1"/>
    <xf numFmtId="171" fontId="31" fillId="0" borderId="0" xfId="0" applyNumberFormat="1" applyFont="1"/>
    <xf numFmtId="176" fontId="16" fillId="0" borderId="0" xfId="0" applyNumberFormat="1" applyFont="1"/>
    <xf numFmtId="37" fontId="16" fillId="0" borderId="0" xfId="0" applyNumberFormat="1" applyFont="1"/>
    <xf numFmtId="37" fontId="16" fillId="0" borderId="31" xfId="0" applyNumberFormat="1" applyFont="1" applyBorder="1"/>
    <xf numFmtId="37" fontId="16" fillId="0" borderId="0" xfId="0" applyNumberFormat="1" applyFont="1" applyAlignment="1">
      <alignment horizontal="centerContinuous"/>
    </xf>
    <xf numFmtId="37" fontId="16" fillId="0" borderId="16" xfId="0" applyNumberFormat="1" applyFont="1" applyBorder="1"/>
    <xf numFmtId="14" fontId="16" fillId="0" borderId="32" xfId="0" applyNumberFormat="1" applyFont="1" applyBorder="1"/>
    <xf numFmtId="37" fontId="16" fillId="0" borderId="32" xfId="0" applyNumberFormat="1" applyFont="1" applyBorder="1"/>
    <xf numFmtId="37" fontId="27" fillId="0" borderId="0" xfId="0" applyNumberFormat="1" applyFont="1"/>
    <xf numFmtId="37" fontId="28" fillId="0" borderId="0" xfId="0" applyNumberFormat="1" applyFont="1"/>
    <xf numFmtId="164" fontId="30" fillId="0" borderId="0" xfId="0" applyNumberFormat="1" applyFont="1"/>
    <xf numFmtId="164" fontId="16" fillId="0" borderId="0" xfId="0" applyNumberFormat="1" applyFont="1"/>
    <xf numFmtId="37" fontId="30" fillId="0" borderId="0" xfId="0" applyNumberFormat="1" applyFont="1"/>
    <xf numFmtId="37" fontId="16" fillId="0" borderId="33" xfId="0" applyNumberFormat="1" applyFont="1" applyBorder="1"/>
    <xf numFmtId="164" fontId="16" fillId="0" borderId="33" xfId="0" applyNumberFormat="1" applyFont="1" applyBorder="1"/>
    <xf numFmtId="164" fontId="28" fillId="0" borderId="0" xfId="0" applyNumberFormat="1" applyFont="1"/>
    <xf numFmtId="164" fontId="31" fillId="0" borderId="33" xfId="0" applyNumberFormat="1" applyFont="1" applyBorder="1"/>
    <xf numFmtId="164" fontId="30" fillId="0" borderId="33" xfId="0" applyNumberFormat="1" applyFont="1" applyBorder="1"/>
    <xf numFmtId="37" fontId="28" fillId="0" borderId="31" xfId="0" applyNumberFormat="1" applyFont="1" applyBorder="1"/>
    <xf numFmtId="164" fontId="28" fillId="0" borderId="31" xfId="0" applyNumberFormat="1" applyFont="1" applyBorder="1"/>
    <xf numFmtId="0" fontId="0" fillId="7" borderId="0" xfId="0" applyFill="1"/>
    <xf numFmtId="0" fontId="11" fillId="2" borderId="17" xfId="0" applyFont="1" applyFill="1" applyBorder="1" applyAlignment="1">
      <alignment horizontal="left"/>
    </xf>
    <xf numFmtId="179" fontId="11" fillId="2" borderId="17" xfId="0" applyNumberFormat="1" applyFont="1" applyFill="1" applyBorder="1" applyAlignment="1">
      <alignment horizontal="center"/>
    </xf>
    <xf numFmtId="175" fontId="13" fillId="2" borderId="0" xfId="0" applyNumberFormat="1" applyFont="1" applyFill="1"/>
    <xf numFmtId="175" fontId="13" fillId="2" borderId="22" xfId="0" applyNumberFormat="1" applyFont="1" applyFill="1" applyBorder="1"/>
    <xf numFmtId="9" fontId="18" fillId="2" borderId="22" xfId="0" applyNumberFormat="1" applyFont="1" applyFill="1" applyBorder="1"/>
    <xf numFmtId="9" fontId="18" fillId="2" borderId="0" xfId="0" applyNumberFormat="1" applyFont="1" applyFill="1"/>
    <xf numFmtId="172" fontId="13" fillId="2" borderId="22" xfId="0" applyNumberFormat="1" applyFont="1" applyFill="1" applyBorder="1"/>
    <xf numFmtId="172" fontId="22" fillId="2" borderId="22" xfId="0" applyNumberFormat="1" applyFont="1" applyFill="1" applyBorder="1"/>
    <xf numFmtId="172" fontId="22" fillId="2" borderId="0" xfId="0" applyNumberFormat="1" applyFont="1" applyFill="1"/>
    <xf numFmtId="184" fontId="13" fillId="2" borderId="0" xfId="0" applyNumberFormat="1" applyFont="1" applyFill="1"/>
    <xf numFmtId="184" fontId="13" fillId="2" borderId="22" xfId="0" applyNumberFormat="1" applyFont="1" applyFill="1" applyBorder="1"/>
    <xf numFmtId="175" fontId="19" fillId="2" borderId="22" xfId="0" applyNumberFormat="1" applyFont="1" applyFill="1" applyBorder="1"/>
    <xf numFmtId="175" fontId="30" fillId="0" borderId="0" xfId="0" applyNumberFormat="1" applyFont="1"/>
    <xf numFmtId="172" fontId="16" fillId="0" borderId="40" xfId="0" applyNumberFormat="1" applyFont="1" applyBorder="1"/>
    <xf numFmtId="175" fontId="16" fillId="0" borderId="40" xfId="0" applyNumberFormat="1" applyFont="1" applyBorder="1"/>
    <xf numFmtId="175" fontId="25" fillId="2" borderId="15" xfId="0" applyNumberFormat="1" applyFont="1" applyFill="1" applyBorder="1"/>
    <xf numFmtId="172" fontId="28" fillId="0" borderId="40" xfId="0" applyNumberFormat="1" applyFont="1" applyBorder="1"/>
    <xf numFmtId="175" fontId="28" fillId="0" borderId="40" xfId="0" applyNumberFormat="1" applyFont="1" applyBorder="1"/>
    <xf numFmtId="175" fontId="44" fillId="0" borderId="0" xfId="0" applyNumberFormat="1" applyFont="1"/>
    <xf numFmtId="166" fontId="16" fillId="0" borderId="0" xfId="0" applyNumberFormat="1" applyFont="1"/>
    <xf numFmtId="182" fontId="40" fillId="0" borderId="0" xfId="0" applyNumberFormat="1" applyFont="1"/>
    <xf numFmtId="182" fontId="30" fillId="0" borderId="0" xfId="0" applyNumberFormat="1" applyFont="1"/>
    <xf numFmtId="172" fontId="16" fillId="0" borderId="16" xfId="0" applyNumberFormat="1" applyFont="1" applyBorder="1" applyAlignment="1">
      <alignment horizontal="center"/>
    </xf>
    <xf numFmtId="175" fontId="40" fillId="0" borderId="16" xfId="0" applyNumberFormat="1" applyFont="1" applyBorder="1" applyAlignment="1">
      <alignment horizontal="center"/>
    </xf>
    <xf numFmtId="175" fontId="44" fillId="0" borderId="31" xfId="0" applyNumberFormat="1" applyFont="1" applyBorder="1"/>
    <xf numFmtId="172" fontId="16" fillId="0" borderId="41" xfId="0" applyNumberFormat="1" applyFont="1" applyBorder="1"/>
    <xf numFmtId="182" fontId="40" fillId="0" borderId="42" xfId="0" applyNumberFormat="1" applyFont="1" applyBorder="1"/>
    <xf numFmtId="175" fontId="40" fillId="0" borderId="42" xfId="0" applyNumberFormat="1" applyFont="1" applyBorder="1"/>
    <xf numFmtId="182" fontId="31" fillId="0" borderId="42" xfId="0" applyNumberFormat="1" applyFont="1" applyBorder="1"/>
    <xf numFmtId="9" fontId="16" fillId="2" borderId="31" xfId="0" applyNumberFormat="1" applyFont="1" applyFill="1" applyBorder="1"/>
    <xf numFmtId="172" fontId="16" fillId="0" borderId="17" xfId="0" applyNumberFormat="1" applyFont="1" applyBorder="1"/>
    <xf numFmtId="171" fontId="16" fillId="0" borderId="17" xfId="0" applyNumberFormat="1" applyFont="1" applyBorder="1"/>
    <xf numFmtId="175" fontId="16" fillId="0" borderId="17" xfId="0" applyNumberFormat="1" applyFont="1" applyBorder="1"/>
    <xf numFmtId="175" fontId="16" fillId="0" borderId="26" xfId="0" applyNumberFormat="1" applyFont="1" applyBorder="1"/>
    <xf numFmtId="188" fontId="16" fillId="0" borderId="0" xfId="0" applyNumberFormat="1" applyFont="1" applyAlignment="1">
      <alignment horizontal="center"/>
    </xf>
    <xf numFmtId="175" fontId="40" fillId="0" borderId="33" xfId="0" applyNumberFormat="1" applyFont="1" applyBorder="1"/>
    <xf numFmtId="175" fontId="40" fillId="0" borderId="37" xfId="0" applyNumberFormat="1" applyFont="1" applyBorder="1"/>
    <xf numFmtId="187" fontId="16" fillId="0" borderId="0" xfId="0" applyNumberFormat="1" applyFont="1"/>
    <xf numFmtId="172" fontId="0" fillId="2" borderId="0" xfId="0" applyNumberFormat="1" applyFill="1" applyAlignment="1">
      <alignment horizontal="centerContinuous"/>
    </xf>
    <xf numFmtId="172" fontId="0" fillId="2" borderId="31" xfId="0" applyNumberFormat="1" applyFill="1" applyBorder="1"/>
    <xf numFmtId="172" fontId="0" fillId="2" borderId="31" xfId="0" applyNumberFormat="1" applyFill="1" applyBorder="1" applyAlignment="1">
      <alignment horizontal="right"/>
    </xf>
    <xf numFmtId="172" fontId="0" fillId="2" borderId="18" xfId="0" applyNumberFormat="1" applyFill="1" applyBorder="1" applyAlignment="1">
      <alignment horizontal="centerContinuous"/>
    </xf>
    <xf numFmtId="9" fontId="0" fillId="2" borderId="30" xfId="0" applyNumberFormat="1" applyFill="1" applyBorder="1" applyAlignment="1">
      <alignment horizontal="center"/>
    </xf>
    <xf numFmtId="9" fontId="0" fillId="2" borderId="17" xfId="0" applyNumberFormat="1" applyFill="1" applyBorder="1" applyAlignment="1">
      <alignment horizontal="center"/>
    </xf>
    <xf numFmtId="9" fontId="0" fillId="2" borderId="26" xfId="0" applyNumberFormat="1" applyFill="1" applyBorder="1" applyAlignment="1">
      <alignment horizontal="center"/>
    </xf>
    <xf numFmtId="172" fontId="45" fillId="2" borderId="0" xfId="0" applyNumberFormat="1" applyFont="1" applyFill="1"/>
    <xf numFmtId="172" fontId="35" fillId="6" borderId="0" xfId="0" applyNumberFormat="1" applyFont="1" applyFill="1" applyAlignment="1">
      <alignment horizontal="centerContinuous"/>
    </xf>
    <xf numFmtId="0" fontId="16" fillId="0" borderId="0" xfId="0" applyFont="1"/>
    <xf numFmtId="0" fontId="28" fillId="0" borderId="0" xfId="0" applyFont="1"/>
    <xf numFmtId="0" fontId="28" fillId="0" borderId="0" xfId="0" applyFont="1" applyAlignment="1">
      <alignment horizontal="right"/>
    </xf>
    <xf numFmtId="0" fontId="28" fillId="8" borderId="27" xfId="0" applyFont="1" applyFill="1" applyBorder="1" applyAlignment="1">
      <alignment horizontal="center"/>
    </xf>
    <xf numFmtId="0" fontId="28" fillId="0" borderId="16" xfId="0" applyFont="1" applyBorder="1"/>
    <xf numFmtId="0" fontId="16" fillId="0" borderId="0" xfId="0" applyFont="1" applyAlignment="1">
      <alignment horizontal="center"/>
    </xf>
    <xf numFmtId="0" fontId="16" fillId="0" borderId="0" xfId="0" applyFont="1" applyAlignment="1">
      <alignment horizontal="left" indent="1"/>
    </xf>
    <xf numFmtId="0" fontId="16" fillId="0" borderId="22" xfId="0" applyFont="1" applyBorder="1"/>
    <xf numFmtId="0" fontId="31" fillId="0" borderId="0" xfId="0" applyFont="1"/>
    <xf numFmtId="185" fontId="28" fillId="0" borderId="0" xfId="0" applyNumberFormat="1" applyFont="1"/>
    <xf numFmtId="172" fontId="46" fillId="0" borderId="22" xfId="0" applyNumberFormat="1" applyFont="1" applyBorder="1" applyAlignment="1">
      <alignment horizontal="center"/>
    </xf>
    <xf numFmtId="186" fontId="46" fillId="0" borderId="0" xfId="0" applyNumberFormat="1" applyFont="1" applyAlignment="1">
      <alignment horizontal="center"/>
    </xf>
    <xf numFmtId="186" fontId="46" fillId="0" borderId="33" xfId="0" applyNumberFormat="1" applyFont="1" applyBorder="1" applyAlignment="1">
      <alignment horizontal="center"/>
    </xf>
    <xf numFmtId="172" fontId="46" fillId="0" borderId="0" xfId="0" quotePrefix="1" applyNumberFormat="1" applyFont="1" applyAlignment="1">
      <alignment horizontal="center"/>
    </xf>
    <xf numFmtId="9" fontId="16" fillId="0" borderId="16" xfId="0" applyNumberFormat="1" applyFont="1" applyBorder="1"/>
    <xf numFmtId="0" fontId="27" fillId="0" borderId="16" xfId="0" applyFont="1" applyBorder="1"/>
    <xf numFmtId="172" fontId="47" fillId="2" borderId="0" xfId="0" applyNumberFormat="1" applyFont="1" applyFill="1" applyAlignment="1">
      <alignment horizontal="center"/>
    </xf>
    <xf numFmtId="172" fontId="16" fillId="0" borderId="43" xfId="0" applyNumberFormat="1" applyFont="1" applyBorder="1"/>
    <xf numFmtId="172" fontId="28" fillId="0" borderId="44" xfId="0" applyNumberFormat="1" applyFont="1" applyBorder="1"/>
    <xf numFmtId="184" fontId="16" fillId="0" borderId="31" xfId="0" applyNumberFormat="1" applyFont="1" applyBorder="1"/>
    <xf numFmtId="172" fontId="41" fillId="0" borderId="31" xfId="0" applyNumberFormat="1" applyFont="1" applyBorder="1"/>
    <xf numFmtId="172" fontId="29" fillId="0" borderId="16" xfId="0" applyNumberFormat="1" applyFont="1" applyBorder="1"/>
    <xf numFmtId="172" fontId="29" fillId="0" borderId="31" xfId="0" applyNumberFormat="1" applyFont="1" applyBorder="1" applyAlignment="1">
      <alignment horizontal="left" indent="1"/>
    </xf>
    <xf numFmtId="172" fontId="29" fillId="0" borderId="31" xfId="0" applyNumberFormat="1" applyFont="1" applyBorder="1"/>
    <xf numFmtId="171" fontId="29" fillId="0" borderId="31" xfId="0" applyNumberFormat="1" applyFont="1" applyBorder="1"/>
    <xf numFmtId="172" fontId="41" fillId="0" borderId="0" xfId="0" applyNumberFormat="1" applyFont="1" applyAlignment="1">
      <alignment horizontal="center"/>
    </xf>
    <xf numFmtId="172" fontId="16" fillId="0" borderId="31" xfId="0" applyNumberFormat="1" applyFont="1" applyBorder="1" applyAlignment="1">
      <alignment horizontal="center"/>
    </xf>
    <xf numFmtId="185" fontId="16" fillId="0" borderId="30" xfId="0" applyNumberFormat="1" applyFont="1" applyBorder="1"/>
    <xf numFmtId="172" fontId="16" fillId="0" borderId="26" xfId="0" applyNumberFormat="1" applyFont="1" applyBorder="1"/>
    <xf numFmtId="171" fontId="16" fillId="0" borderId="0" xfId="0" applyNumberFormat="1" applyFont="1" applyAlignment="1">
      <alignment horizontal="center"/>
    </xf>
    <xf numFmtId="184" fontId="16" fillId="0" borderId="0" xfId="0" applyNumberFormat="1" applyFont="1" applyAlignment="1">
      <alignment horizontal="center"/>
    </xf>
    <xf numFmtId="184" fontId="16" fillId="0" borderId="31" xfId="0" applyNumberFormat="1" applyFont="1" applyBorder="1" applyAlignment="1">
      <alignment horizontal="center"/>
    </xf>
    <xf numFmtId="171" fontId="16" fillId="0" borderId="31" xfId="0" applyNumberFormat="1" applyFont="1" applyBorder="1" applyAlignment="1">
      <alignment horizontal="center"/>
    </xf>
    <xf numFmtId="9" fontId="31" fillId="0" borderId="0" xfId="0" applyNumberFormat="1" applyFont="1"/>
    <xf numFmtId="175" fontId="16" fillId="0" borderId="31" xfId="0" applyNumberFormat="1" applyFont="1" applyBorder="1"/>
    <xf numFmtId="172" fontId="28" fillId="0" borderId="36" xfId="0" applyNumberFormat="1" applyFont="1" applyBorder="1" applyAlignment="1">
      <alignment horizontal="center"/>
    </xf>
    <xf numFmtId="172" fontId="28" fillId="0" borderId="45" xfId="0" applyNumberFormat="1" applyFont="1" applyBorder="1" applyAlignment="1">
      <alignment horizontal="center"/>
    </xf>
    <xf numFmtId="175" fontId="16" fillId="0" borderId="36" xfId="0" applyNumberFormat="1" applyFont="1" applyBorder="1"/>
    <xf numFmtId="175" fontId="16" fillId="0" borderId="0" xfId="0" applyNumberFormat="1" applyFont="1" applyAlignment="1">
      <alignment horizontal="center"/>
    </xf>
    <xf numFmtId="175" fontId="16" fillId="0" borderId="31" xfId="0" applyNumberFormat="1" applyFont="1" applyBorder="1" applyAlignment="1">
      <alignment horizontal="center"/>
    </xf>
    <xf numFmtId="175" fontId="16" fillId="0" borderId="20" xfId="0" applyNumberFormat="1" applyFont="1" applyBorder="1"/>
    <xf numFmtId="171" fontId="29" fillId="0" borderId="22" xfId="0" applyNumberFormat="1" applyFont="1" applyBorder="1"/>
    <xf numFmtId="171" fontId="29" fillId="0" borderId="36" xfId="0" applyNumberFormat="1" applyFont="1" applyBorder="1"/>
    <xf numFmtId="9" fontId="16" fillId="0" borderId="30" xfId="0" applyNumberFormat="1" applyFont="1" applyBorder="1"/>
    <xf numFmtId="184" fontId="16" fillId="0" borderId="17" xfId="0" applyNumberFormat="1" applyFont="1" applyBorder="1" applyAlignment="1">
      <alignment horizontal="center"/>
    </xf>
    <xf numFmtId="171" fontId="16" fillId="0" borderId="17" xfId="0" applyNumberFormat="1" applyFont="1" applyBorder="1" applyAlignment="1">
      <alignment horizontal="center"/>
    </xf>
    <xf numFmtId="172" fontId="16" fillId="0" borderId="17" xfId="0" applyNumberFormat="1" applyFont="1" applyBorder="1" applyAlignment="1">
      <alignment horizontal="center"/>
    </xf>
    <xf numFmtId="175" fontId="16" fillId="0" borderId="17" xfId="0" applyNumberFormat="1" applyFont="1" applyBorder="1" applyAlignment="1">
      <alignment horizontal="center"/>
    </xf>
    <xf numFmtId="175" fontId="16" fillId="0" borderId="34" xfId="0" applyNumberFormat="1" applyFont="1" applyBorder="1" applyAlignment="1">
      <alignment horizontal="right"/>
    </xf>
    <xf numFmtId="172" fontId="16" fillId="0" borderId="26" xfId="0" applyNumberFormat="1" applyFont="1" applyBorder="1" applyAlignment="1">
      <alignment horizontal="center"/>
    </xf>
    <xf numFmtId="175" fontId="16" fillId="0" borderId="26" xfId="0" applyNumberFormat="1" applyFont="1" applyBorder="1" applyAlignment="1">
      <alignment horizontal="center"/>
    </xf>
    <xf numFmtId="175" fontId="28" fillId="0" borderId="44" xfId="0" applyNumberFormat="1" applyFont="1" applyBorder="1"/>
    <xf numFmtId="0" fontId="0" fillId="2" borderId="17" xfId="0" applyFill="1" applyBorder="1"/>
    <xf numFmtId="0" fontId="0" fillId="2" borderId="19" xfId="0" applyFill="1" applyBorder="1"/>
    <xf numFmtId="9" fontId="0" fillId="2" borderId="19" xfId="0" applyNumberFormat="1" applyFill="1" applyBorder="1"/>
    <xf numFmtId="0" fontId="14" fillId="2" borderId="0" xfId="0" applyFont="1" applyFill="1" applyAlignment="1">
      <alignment horizontal="left" indent="2"/>
    </xf>
    <xf numFmtId="0" fontId="14" fillId="2" borderId="18" xfId="0" applyFont="1" applyFill="1" applyBorder="1" applyAlignment="1">
      <alignment horizontal="left" indent="2"/>
    </xf>
    <xf numFmtId="9" fontId="9" fillId="2" borderId="0" xfId="0" applyNumberFormat="1" applyFont="1" applyFill="1"/>
    <xf numFmtId="14" fontId="0" fillId="2" borderId="0" xfId="0" applyNumberFormat="1" applyFill="1"/>
    <xf numFmtId="0" fontId="0" fillId="2" borderId="0" xfId="0" quotePrefix="1" applyFill="1"/>
    <xf numFmtId="15" fontId="0" fillId="2" borderId="0" xfId="0" applyNumberFormat="1" applyFill="1"/>
    <xf numFmtId="0" fontId="0" fillId="2" borderId="0" xfId="0" applyFill="1" applyAlignment="1">
      <alignment horizontal="centerContinuous"/>
    </xf>
    <xf numFmtId="0" fontId="0" fillId="2" borderId="0" xfId="0" applyFill="1" applyAlignment="1">
      <alignment horizontal="right"/>
    </xf>
    <xf numFmtId="0" fontId="19" fillId="2" borderId="0" xfId="0" applyFont="1" applyFill="1" applyAlignment="1">
      <alignment horizontal="right"/>
    </xf>
    <xf numFmtId="189" fontId="0" fillId="2" borderId="0" xfId="0" applyNumberFormat="1" applyFill="1"/>
    <xf numFmtId="0" fontId="0" fillId="2" borderId="15" xfId="0" applyFill="1" applyBorder="1"/>
    <xf numFmtId="0" fontId="0" fillId="2" borderId="16" xfId="0" applyFill="1" applyBorder="1"/>
    <xf numFmtId="0" fontId="0" fillId="2" borderId="18" xfId="0" applyFill="1" applyBorder="1" applyAlignment="1">
      <alignment horizontal="right"/>
    </xf>
    <xf numFmtId="0" fontId="0" fillId="2" borderId="18" xfId="0" applyFill="1" applyBorder="1" applyAlignment="1">
      <alignment horizontal="center"/>
    </xf>
    <xf numFmtId="190" fontId="0" fillId="2" borderId="0" xfId="0" applyNumberFormat="1" applyFill="1"/>
    <xf numFmtId="179" fontId="0" fillId="2" borderId="0" xfId="0" applyNumberFormat="1" applyFill="1"/>
    <xf numFmtId="39" fontId="0" fillId="2" borderId="0" xfId="0" applyNumberFormat="1" applyFill="1"/>
    <xf numFmtId="189" fontId="0" fillId="2" borderId="0" xfId="0" applyNumberFormat="1" applyFill="1" applyAlignment="1">
      <alignment horizontal="right"/>
    </xf>
    <xf numFmtId="4" fontId="0" fillId="2" borderId="0" xfId="0" applyNumberFormat="1" applyFill="1"/>
    <xf numFmtId="4" fontId="0" fillId="2" borderId="18" xfId="0" applyNumberFormat="1" applyFill="1" applyBorder="1"/>
    <xf numFmtId="189" fontId="0" fillId="2" borderId="0" xfId="0" applyNumberFormat="1" applyFill="1" applyAlignment="1">
      <alignment horizontal="center"/>
    </xf>
    <xf numFmtId="166" fontId="0" fillId="2" borderId="0" xfId="0" applyNumberFormat="1" applyFill="1"/>
    <xf numFmtId="171" fontId="0" fillId="2" borderId="0" xfId="0" applyNumberFormat="1" applyFill="1" applyAlignment="1">
      <alignment horizontal="center"/>
    </xf>
    <xf numFmtId="171" fontId="0" fillId="2" borderId="18" xfId="0" applyNumberFormat="1" applyFill="1" applyBorder="1" applyAlignment="1">
      <alignment horizontal="center"/>
    </xf>
    <xf numFmtId="166" fontId="0" fillId="2" borderId="18" xfId="0" applyNumberFormat="1" applyFill="1" applyBorder="1"/>
    <xf numFmtId="14" fontId="14" fillId="2" borderId="0" xfId="0" applyNumberFormat="1" applyFont="1" applyFill="1"/>
    <xf numFmtId="184" fontId="11" fillId="2" borderId="18" xfId="0" applyNumberFormat="1" applyFont="1" applyFill="1" applyBorder="1"/>
    <xf numFmtId="9" fontId="0" fillId="2" borderId="0" xfId="0" applyNumberFormat="1" applyFill="1" applyAlignment="1">
      <alignment horizontal="right"/>
    </xf>
    <xf numFmtId="171" fontId="16" fillId="9" borderId="0" xfId="0" applyNumberFormat="1" applyFont="1" applyFill="1"/>
    <xf numFmtId="171" fontId="31" fillId="9" borderId="0" xfId="0" applyNumberFormat="1" applyFont="1" applyFill="1"/>
    <xf numFmtId="171" fontId="30" fillId="9" borderId="0" xfId="0" applyNumberFormat="1" applyFont="1" applyFill="1"/>
    <xf numFmtId="9" fontId="30" fillId="9" borderId="0" xfId="0" applyNumberFormat="1" applyFont="1" applyFill="1"/>
    <xf numFmtId="0" fontId="16" fillId="9" borderId="0" xfId="0" applyFont="1" applyFill="1"/>
    <xf numFmtId="172" fontId="16" fillId="9" borderId="0" xfId="0" applyNumberFormat="1" applyFont="1" applyFill="1"/>
    <xf numFmtId="0" fontId="0" fillId="9" borderId="0" xfId="0" applyFill="1"/>
    <xf numFmtId="0" fontId="11" fillId="0" borderId="0" xfId="0" applyFont="1"/>
    <xf numFmtId="0" fontId="11" fillId="0" borderId="16" xfId="0" applyFont="1" applyBorder="1"/>
    <xf numFmtId="0" fontId="0" fillId="0" borderId="18" xfId="0" applyBorder="1"/>
    <xf numFmtId="0" fontId="12" fillId="0" borderId="0" xfId="0" applyFont="1"/>
    <xf numFmtId="0" fontId="19" fillId="0" borderId="0" xfId="0" applyFont="1"/>
    <xf numFmtId="0" fontId="0" fillId="0" borderId="0" xfId="0" applyAlignment="1">
      <alignment horizontal="left" indent="1"/>
    </xf>
    <xf numFmtId="0" fontId="0" fillId="0" borderId="0" xfId="0" applyAlignment="1">
      <alignment horizontal="left" indent="2"/>
    </xf>
    <xf numFmtId="178" fontId="0" fillId="2" borderId="15" xfId="0" applyNumberFormat="1" applyFill="1" applyBorder="1"/>
    <xf numFmtId="37" fontId="0" fillId="2" borderId="15" xfId="0" applyNumberFormat="1" applyFill="1" applyBorder="1"/>
    <xf numFmtId="165" fontId="0" fillId="2" borderId="0" xfId="0" applyNumberFormat="1" applyFill="1"/>
    <xf numFmtId="3" fontId="0" fillId="2" borderId="0" xfId="0" applyNumberFormat="1" applyFill="1"/>
    <xf numFmtId="191" fontId="11" fillId="2" borderId="0" xfId="0" applyNumberFormat="1" applyFont="1" applyFill="1" applyAlignment="1">
      <alignment horizontal="center"/>
    </xf>
    <xf numFmtId="191" fontId="11" fillId="2" borderId="16" xfId="0" applyNumberFormat="1" applyFont="1" applyFill="1" applyBorder="1" applyAlignment="1">
      <alignment horizontal="center"/>
    </xf>
    <xf numFmtId="184" fontId="16" fillId="0" borderId="0" xfId="0" applyNumberFormat="1" applyFont="1" applyBorder="1"/>
    <xf numFmtId="172" fontId="28" fillId="0" borderId="15" xfId="0" applyNumberFormat="1" applyFont="1" applyBorder="1"/>
    <xf numFmtId="175" fontId="28" fillId="0" borderId="15" xfId="0" applyNumberFormat="1" applyFont="1" applyBorder="1"/>
    <xf numFmtId="172" fontId="46" fillId="0" borderId="15" xfId="0" applyNumberFormat="1" applyFont="1" applyBorder="1" applyAlignment="1">
      <alignment horizontal="center"/>
    </xf>
    <xf numFmtId="9" fontId="19" fillId="2" borderId="0" xfId="0" applyNumberFormat="1" applyFont="1" applyFill="1"/>
    <xf numFmtId="9" fontId="24" fillId="2" borderId="0" xfId="0" applyNumberFormat="1" applyFont="1" applyFill="1"/>
    <xf numFmtId="172" fontId="12" fillId="2" borderId="0" xfId="0" applyNumberFormat="1" applyFont="1" applyFill="1" applyAlignment="1">
      <alignment horizontal="center"/>
    </xf>
    <xf numFmtId="192" fontId="13" fillId="2" borderId="0" xfId="0" applyNumberFormat="1" applyFont="1" applyFill="1"/>
    <xf numFmtId="172" fontId="16" fillId="0" borderId="31" xfId="0" applyNumberFormat="1" applyFont="1" applyBorder="1" applyAlignment="1">
      <alignment horizontal="left" indent="1"/>
    </xf>
    <xf numFmtId="171" fontId="31" fillId="0" borderId="31" xfId="0" applyNumberFormat="1" applyFont="1" applyBorder="1"/>
    <xf numFmtId="171" fontId="30" fillId="9" borderId="31" xfId="0" applyNumberFormat="1" applyFont="1" applyFill="1" applyBorder="1"/>
    <xf numFmtId="171" fontId="16" fillId="9" borderId="31" xfId="0" applyNumberFormat="1" applyFont="1" applyFill="1" applyBorder="1"/>
    <xf numFmtId="171" fontId="31" fillId="9" borderId="31" xfId="0" applyNumberFormat="1" applyFont="1" applyFill="1" applyBorder="1"/>
    <xf numFmtId="0" fontId="0" fillId="2" borderId="0" xfId="0" applyFill="1" applyBorder="1"/>
    <xf numFmtId="178" fontId="0" fillId="2" borderId="0" xfId="0" applyNumberFormat="1" applyFill="1" applyBorder="1"/>
    <xf numFmtId="37" fontId="0" fillId="2" borderId="0" xfId="0" applyNumberFormat="1" applyFill="1" applyBorder="1"/>
    <xf numFmtId="178" fontId="0" fillId="2" borderId="0" xfId="0" applyNumberFormat="1" applyFill="1" applyBorder="1" applyAlignment="1">
      <alignment horizontal="right"/>
    </xf>
    <xf numFmtId="0" fontId="0" fillId="2" borderId="0" xfId="0" applyFill="1" applyBorder="1" applyAlignment="1">
      <alignment horizontal="right"/>
    </xf>
    <xf numFmtId="172" fontId="0" fillId="2" borderId="0" xfId="0" applyNumberFormat="1" applyFill="1" applyBorder="1" applyAlignment="1">
      <alignment horizontal="left"/>
    </xf>
    <xf numFmtId="0" fontId="11" fillId="2" borderId="15" xfId="0" applyFont="1" applyFill="1" applyBorder="1" applyAlignment="1">
      <alignment horizontal="right"/>
    </xf>
    <xf numFmtId="165" fontId="0" fillId="2" borderId="18" xfId="0" applyNumberFormat="1" applyFill="1" applyBorder="1"/>
    <xf numFmtId="178" fontId="0" fillId="2" borderId="15" xfId="0" applyNumberFormat="1" applyFill="1" applyBorder="1" applyAlignment="1"/>
    <xf numFmtId="178" fontId="0" fillId="2" borderId="0" xfId="0" applyNumberFormat="1" applyFill="1" applyAlignment="1"/>
    <xf numFmtId="0" fontId="0" fillId="2" borderId="0" xfId="0" applyFill="1" applyAlignment="1"/>
    <xf numFmtId="178" fontId="0" fillId="2" borderId="18" xfId="0" applyNumberFormat="1" applyFill="1" applyBorder="1" applyAlignment="1"/>
    <xf numFmtId="0" fontId="11" fillId="2" borderId="0" xfId="0" applyFont="1" applyFill="1" applyBorder="1" applyAlignment="1">
      <alignment horizontal="center"/>
    </xf>
    <xf numFmtId="37" fontId="0" fillId="2" borderId="19" xfId="0" applyNumberFormat="1" applyFill="1" applyBorder="1"/>
    <xf numFmtId="164" fontId="0" fillId="2" borderId="19" xfId="0" applyNumberFormat="1" applyFill="1" applyBorder="1"/>
    <xf numFmtId="0" fontId="11" fillId="2" borderId="22" xfId="0" applyFont="1" applyFill="1" applyBorder="1"/>
    <xf numFmtId="0" fontId="0" fillId="2" borderId="15" xfId="0" applyFont="1" applyFill="1" applyBorder="1" applyAlignment="1">
      <alignment horizontal="left"/>
    </xf>
    <xf numFmtId="0" fontId="0" fillId="2" borderId="0" xfId="0" applyFont="1" applyFill="1" applyBorder="1" applyAlignment="1">
      <alignment horizontal="left"/>
    </xf>
    <xf numFmtId="0" fontId="0" fillId="2" borderId="0" xfId="0" applyFont="1" applyFill="1" applyBorder="1"/>
    <xf numFmtId="0" fontId="0" fillId="2" borderId="18" xfId="0" applyFont="1" applyFill="1" applyBorder="1"/>
    <xf numFmtId="193" fontId="0" fillId="2" borderId="0" xfId="0" applyNumberFormat="1" applyFill="1"/>
    <xf numFmtId="0" fontId="11" fillId="2" borderId="17" xfId="0" applyFont="1" applyFill="1" applyBorder="1"/>
    <xf numFmtId="0" fontId="0" fillId="2" borderId="19" xfId="0" applyFont="1" applyFill="1" applyBorder="1" applyAlignment="1">
      <alignment horizontal="left"/>
    </xf>
    <xf numFmtId="175" fontId="0" fillId="2" borderId="19" xfId="0" applyNumberFormat="1" applyFill="1" applyBorder="1"/>
    <xf numFmtId="194" fontId="0" fillId="2" borderId="0" xfId="0" applyNumberFormat="1" applyFill="1"/>
    <xf numFmtId="0" fontId="0" fillId="2" borderId="15" xfId="0" applyFont="1" applyFill="1" applyBorder="1"/>
    <xf numFmtId="0" fontId="0" fillId="2" borderId="0" xfId="0" applyFont="1" applyFill="1"/>
    <xf numFmtId="9" fontId="0" fillId="2" borderId="0" xfId="0" applyNumberFormat="1" applyFill="1" applyBorder="1"/>
    <xf numFmtId="10" fontId="14" fillId="2" borderId="0" xfId="0" applyNumberFormat="1" applyFont="1" applyFill="1"/>
    <xf numFmtId="172" fontId="0" fillId="2" borderId="0" xfId="0" applyNumberFormat="1" applyFill="1" applyBorder="1"/>
    <xf numFmtId="0" fontId="16" fillId="0" borderId="31" xfId="0" applyFont="1" applyBorder="1"/>
    <xf numFmtId="0" fontId="28" fillId="0" borderId="0" xfId="0" applyFont="1" applyAlignment="1">
      <alignment horizontal="center"/>
    </xf>
    <xf numFmtId="195" fontId="46" fillId="0" borderId="0" xfId="0" applyNumberFormat="1" applyFont="1" applyAlignment="1">
      <alignment horizontal="center"/>
    </xf>
    <xf numFmtId="195" fontId="46" fillId="0" borderId="22" xfId="0" applyNumberFormat="1" applyFont="1" applyBorder="1" applyAlignment="1">
      <alignment horizontal="center"/>
    </xf>
    <xf numFmtId="0" fontId="16" fillId="7" borderId="0" xfId="0" applyFont="1" applyFill="1"/>
    <xf numFmtId="0" fontId="28" fillId="7" borderId="0" xfId="0" applyFont="1" applyFill="1"/>
    <xf numFmtId="172" fontId="0" fillId="2" borderId="18" xfId="0" applyNumberFormat="1" applyFill="1" applyBorder="1" applyAlignment="1">
      <alignment horizontal="left"/>
    </xf>
    <xf numFmtId="178" fontId="0" fillId="2" borderId="18" xfId="0" applyNumberFormat="1" applyFill="1" applyBorder="1"/>
    <xf numFmtId="172" fontId="28" fillId="0" borderId="0" xfId="0" applyNumberFormat="1" applyFont="1" applyBorder="1" applyAlignment="1">
      <alignment horizontal="centerContinuous"/>
    </xf>
    <xf numFmtId="171" fontId="29" fillId="0" borderId="0" xfId="0" applyNumberFormat="1" applyFont="1" applyBorder="1"/>
    <xf numFmtId="172" fontId="16" fillId="0" borderId="0" xfId="0" applyNumberFormat="1" applyFont="1" applyBorder="1"/>
    <xf numFmtId="0" fontId="16" fillId="0" borderId="0" xfId="0" applyFont="1" applyBorder="1"/>
    <xf numFmtId="168" fontId="46" fillId="0" borderId="0" xfId="0" applyNumberFormat="1" applyFont="1" applyAlignment="1">
      <alignment horizontal="center"/>
    </xf>
    <xf numFmtId="168" fontId="46" fillId="0" borderId="22" xfId="0" applyNumberFormat="1" applyFont="1" applyBorder="1" applyAlignment="1">
      <alignment horizontal="center"/>
    </xf>
    <xf numFmtId="184" fontId="30" fillId="9" borderId="0" xfId="0" applyNumberFormat="1" applyFont="1" applyFill="1" applyAlignment="1">
      <alignment horizontal="center"/>
    </xf>
    <xf numFmtId="172" fontId="50" fillId="0" borderId="0" xfId="0" applyNumberFormat="1" applyFont="1" applyAlignment="1">
      <alignment horizontal="left"/>
    </xf>
    <xf numFmtId="193" fontId="0" fillId="2" borderId="18" xfId="0" applyNumberFormat="1" applyFill="1" applyBorder="1"/>
    <xf numFmtId="172" fontId="29" fillId="0" borderId="0" xfId="0" applyNumberFormat="1" applyFont="1" applyBorder="1" applyAlignment="1">
      <alignment horizontal="left" indent="1"/>
    </xf>
    <xf numFmtId="172" fontId="29" fillId="0" borderId="0" xfId="0" applyNumberFormat="1" applyFont="1" applyBorder="1"/>
    <xf numFmtId="172" fontId="28" fillId="0" borderId="0" xfId="0" applyNumberFormat="1" applyFont="1" applyBorder="1"/>
    <xf numFmtId="0" fontId="16" fillId="7" borderId="0" xfId="0" applyFont="1" applyFill="1" applyAlignment="1">
      <alignment horizontal="right"/>
    </xf>
    <xf numFmtId="0" fontId="28" fillId="10" borderId="27" xfId="0" applyNumberFormat="1" applyFont="1" applyFill="1" applyBorder="1" applyAlignment="1">
      <alignment horizontal="center"/>
    </xf>
    <xf numFmtId="0" fontId="16" fillId="7" borderId="0" xfId="0" applyNumberFormat="1" applyFont="1" applyFill="1"/>
    <xf numFmtId="0" fontId="16" fillId="9" borderId="27" xfId="0" applyFont="1" applyFill="1" applyBorder="1"/>
    <xf numFmtId="175" fontId="16" fillId="0" borderId="0" xfId="0" applyNumberFormat="1" applyFont="1" applyBorder="1"/>
    <xf numFmtId="171" fontId="16" fillId="0" borderId="0" xfId="0" applyNumberFormat="1" applyFont="1" applyBorder="1"/>
    <xf numFmtId="9" fontId="16" fillId="0" borderId="36" xfId="0" applyNumberFormat="1" applyFont="1" applyBorder="1"/>
    <xf numFmtId="0" fontId="0" fillId="0" borderId="0" xfId="0" applyBorder="1"/>
    <xf numFmtId="9" fontId="0" fillId="0" borderId="0" xfId="0" applyNumberFormat="1" applyBorder="1"/>
    <xf numFmtId="0" fontId="11" fillId="0" borderId="0" xfId="0" applyFont="1" applyBorder="1"/>
    <xf numFmtId="167" fontId="16" fillId="0" borderId="0" xfId="0" applyNumberFormat="1" applyFont="1"/>
    <xf numFmtId="172" fontId="16" fillId="0" borderId="0" xfId="0" applyNumberFormat="1" applyFont="1" applyAlignment="1">
      <alignment horizontal="right"/>
    </xf>
    <xf numFmtId="166" fontId="44" fillId="0" borderId="15" xfId="0" applyNumberFormat="1" applyFont="1" applyBorder="1"/>
    <xf numFmtId="172" fontId="30" fillId="0" borderId="0" xfId="0" applyNumberFormat="1" applyFont="1" applyBorder="1"/>
    <xf numFmtId="175" fontId="28" fillId="0" borderId="0" xfId="0" applyNumberFormat="1" applyFont="1" applyBorder="1"/>
    <xf numFmtId="171" fontId="28" fillId="0" borderId="0" xfId="0" applyNumberFormat="1" applyFont="1" applyBorder="1"/>
    <xf numFmtId="9" fontId="28" fillId="0" borderId="0" xfId="0" applyNumberFormat="1" applyFont="1" applyBorder="1"/>
    <xf numFmtId="172" fontId="28" fillId="0" borderId="0" xfId="0" applyNumberFormat="1" applyFont="1" applyBorder="1" applyAlignment="1">
      <alignment horizontal="center"/>
    </xf>
    <xf numFmtId="172" fontId="46" fillId="0" borderId="0" xfId="0" applyNumberFormat="1" applyFont="1" applyBorder="1" applyAlignment="1">
      <alignment horizontal="center"/>
    </xf>
    <xf numFmtId="166" fontId="30" fillId="0" borderId="0" xfId="0" applyNumberFormat="1" applyFont="1" applyBorder="1"/>
    <xf numFmtId="171" fontId="30" fillId="0" borderId="0" xfId="0" applyNumberFormat="1" applyFont="1" applyBorder="1"/>
    <xf numFmtId="171" fontId="31" fillId="0" borderId="0" xfId="0" applyNumberFormat="1" applyFont="1" applyBorder="1"/>
    <xf numFmtId="9" fontId="16" fillId="0" borderId="0" xfId="0" applyNumberFormat="1" applyFont="1" applyBorder="1"/>
    <xf numFmtId="172" fontId="31" fillId="0" borderId="0" xfId="0" applyNumberFormat="1" applyFont="1" applyBorder="1"/>
    <xf numFmtId="186" fontId="46" fillId="0" borderId="0" xfId="0" applyNumberFormat="1" applyFont="1" applyBorder="1" applyAlignment="1">
      <alignment horizontal="center"/>
    </xf>
    <xf numFmtId="172" fontId="46" fillId="0" borderId="0" xfId="0" quotePrefix="1" applyNumberFormat="1" applyFont="1" applyBorder="1" applyAlignment="1">
      <alignment horizontal="center"/>
    </xf>
    <xf numFmtId="166" fontId="16" fillId="0" borderId="0" xfId="0" applyNumberFormat="1" applyFont="1" applyFill="1" applyBorder="1"/>
    <xf numFmtId="9" fontId="29" fillId="0" borderId="0" xfId="0" applyNumberFormat="1" applyFont="1" applyBorder="1"/>
    <xf numFmtId="185" fontId="16" fillId="0" borderId="0" xfId="0" applyNumberFormat="1" applyFont="1" applyBorder="1"/>
    <xf numFmtId="172" fontId="46" fillId="0" borderId="0" xfId="0" applyNumberFormat="1" applyFont="1" applyBorder="1" applyAlignment="1">
      <alignment horizontal="centerContinuous"/>
    </xf>
    <xf numFmtId="166" fontId="40" fillId="0" borderId="0" xfId="0" applyNumberFormat="1" applyFont="1" applyBorder="1"/>
    <xf numFmtId="172" fontId="40" fillId="0" borderId="0" xfId="0" applyNumberFormat="1" applyFont="1" applyBorder="1"/>
    <xf numFmtId="185" fontId="28" fillId="0" borderId="15" xfId="0" applyNumberFormat="1" applyFont="1" applyBorder="1"/>
    <xf numFmtId="185" fontId="16" fillId="0" borderId="16" xfId="0" applyNumberFormat="1" applyFont="1" applyBorder="1"/>
    <xf numFmtId="185" fontId="16" fillId="0" borderId="43" xfId="0" applyNumberFormat="1" applyFont="1" applyBorder="1"/>
    <xf numFmtId="185" fontId="28" fillId="0" borderId="31" xfId="0" applyNumberFormat="1" applyFont="1" applyBorder="1"/>
    <xf numFmtId="172" fontId="29" fillId="0" borderId="46" xfId="0" applyNumberFormat="1" applyFont="1" applyBorder="1"/>
    <xf numFmtId="172" fontId="16" fillId="0" borderId="46" xfId="0" applyNumberFormat="1" applyFont="1" applyBorder="1"/>
    <xf numFmtId="172" fontId="28" fillId="0" borderId="46" xfId="0" applyNumberFormat="1" applyFont="1" applyBorder="1" applyAlignment="1">
      <alignment horizontal="centerContinuous"/>
    </xf>
    <xf numFmtId="172" fontId="16" fillId="0" borderId="46" xfId="0" applyNumberFormat="1" applyFont="1" applyBorder="1" applyAlignment="1">
      <alignment horizontal="centerContinuous"/>
    </xf>
    <xf numFmtId="172" fontId="51" fillId="0" borderId="0" xfId="0" applyNumberFormat="1" applyFont="1" applyFill="1" applyAlignment="1">
      <alignment horizontal="left"/>
    </xf>
    <xf numFmtId="172" fontId="51" fillId="0" borderId="0" xfId="0" applyNumberFormat="1" applyFont="1" applyFill="1" applyAlignment="1">
      <alignment horizontal="centerContinuous"/>
    </xf>
    <xf numFmtId="0" fontId="16" fillId="0" borderId="0" xfId="0" applyFont="1" applyFill="1" applyAlignment="1">
      <alignment horizontal="center"/>
    </xf>
    <xf numFmtId="0" fontId="16" fillId="0" borderId="0" xfId="0" applyFont="1" applyFill="1"/>
    <xf numFmtId="172" fontId="52" fillId="0" borderId="0" xfId="0" applyNumberFormat="1" applyFont="1" applyFill="1" applyAlignment="1">
      <alignment horizontal="left"/>
    </xf>
    <xf numFmtId="172" fontId="51" fillId="0" borderId="0" xfId="0" applyNumberFormat="1" applyFont="1" applyFill="1" applyAlignment="1"/>
    <xf numFmtId="0" fontId="40" fillId="11" borderId="0" xfId="0" applyNumberFormat="1" applyFont="1" applyFill="1" applyBorder="1" applyAlignment="1"/>
    <xf numFmtId="171" fontId="31" fillId="0" borderId="0" xfId="0" applyNumberFormat="1" applyFont="1" applyFill="1" applyBorder="1"/>
    <xf numFmtId="171" fontId="31" fillId="0" borderId="0" xfId="0" applyNumberFormat="1" applyFont="1" applyFill="1" applyBorder="1" applyAlignment="1"/>
    <xf numFmtId="171" fontId="31" fillId="0" borderId="22" xfId="0" applyNumberFormat="1" applyFont="1" applyFill="1" applyBorder="1" applyAlignment="1"/>
    <xf numFmtId="0" fontId="31" fillId="0" borderId="0" xfId="0" applyNumberFormat="1" applyFont="1" applyFill="1" applyBorder="1" applyAlignment="1"/>
    <xf numFmtId="0" fontId="31" fillId="0" borderId="22" xfId="0" applyNumberFormat="1" applyFont="1" applyFill="1" applyBorder="1" applyAlignment="1"/>
    <xf numFmtId="172" fontId="31" fillId="0" borderId="0" xfId="0" applyNumberFormat="1" applyFont="1" applyFill="1" applyBorder="1" applyAlignment="1"/>
    <xf numFmtId="172" fontId="31" fillId="0" borderId="22" xfId="0" applyNumberFormat="1" applyFont="1" applyFill="1" applyBorder="1" applyAlignment="1"/>
    <xf numFmtId="171" fontId="31" fillId="0" borderId="31" xfId="0" applyNumberFormat="1" applyFont="1" applyFill="1" applyBorder="1" applyAlignment="1"/>
    <xf numFmtId="171" fontId="31" fillId="0" borderId="36" xfId="0" applyNumberFormat="1" applyFont="1" applyFill="1" applyBorder="1" applyAlignment="1"/>
    <xf numFmtId="0" fontId="0" fillId="0" borderId="0" xfId="0" applyAlignment="1">
      <alignment horizontal="left" indent="3"/>
    </xf>
    <xf numFmtId="9" fontId="31" fillId="0" borderId="0" xfId="0" applyNumberFormat="1" applyFont="1" applyFill="1" applyBorder="1"/>
    <xf numFmtId="0" fontId="0" fillId="0" borderId="18" xfId="0" applyBorder="1" applyAlignment="1">
      <alignment horizontal="left" indent="3"/>
    </xf>
    <xf numFmtId="185" fontId="16" fillId="0" borderId="0" xfId="0" applyNumberFormat="1" applyFont="1" applyAlignment="1">
      <alignment horizontal="center"/>
    </xf>
    <xf numFmtId="185" fontId="16" fillId="0" borderId="17" xfId="0" applyNumberFormat="1" applyFont="1" applyBorder="1" applyAlignment="1">
      <alignment horizontal="center"/>
    </xf>
    <xf numFmtId="185" fontId="16" fillId="0" borderId="45" xfId="0" applyNumberFormat="1" applyFont="1" applyBorder="1" applyAlignment="1">
      <alignment horizontal="center"/>
    </xf>
    <xf numFmtId="172" fontId="28" fillId="0" borderId="46" xfId="0" applyNumberFormat="1" applyFont="1" applyBorder="1" applyAlignment="1">
      <alignment horizontal="center"/>
    </xf>
    <xf numFmtId="172" fontId="28" fillId="0" borderId="34" xfId="0" applyNumberFormat="1" applyFont="1" applyBorder="1" applyAlignment="1">
      <alignment horizontal="center"/>
    </xf>
    <xf numFmtId="186" fontId="28" fillId="0" borderId="47" xfId="0" applyNumberFormat="1" applyFont="1" applyBorder="1" applyAlignment="1">
      <alignment horizontal="center"/>
    </xf>
    <xf numFmtId="172" fontId="16" fillId="0" borderId="44" xfId="0" applyNumberFormat="1" applyFont="1" applyBorder="1"/>
    <xf numFmtId="172" fontId="28" fillId="0" borderId="31" xfId="0" applyNumberFormat="1" applyFont="1" applyBorder="1" applyAlignment="1">
      <alignment horizontal="centerContinuous"/>
    </xf>
    <xf numFmtId="172" fontId="28" fillId="0" borderId="36" xfId="0" applyNumberFormat="1" applyFont="1" applyBorder="1" applyAlignment="1">
      <alignment horizontal="centerContinuous"/>
    </xf>
    <xf numFmtId="0" fontId="41" fillId="0" borderId="0" xfId="0" applyFont="1" applyBorder="1"/>
    <xf numFmtId="171" fontId="28" fillId="0" borderId="48" xfId="0" applyNumberFormat="1" applyFont="1" applyBorder="1"/>
    <xf numFmtId="0" fontId="29" fillId="0" borderId="0" xfId="0" applyFont="1" applyBorder="1"/>
    <xf numFmtId="172" fontId="41" fillId="0" borderId="0" xfId="0" applyNumberFormat="1" applyFont="1" applyBorder="1"/>
    <xf numFmtId="166" fontId="31" fillId="0" borderId="0" xfId="0" applyNumberFormat="1" applyFont="1" applyBorder="1"/>
    <xf numFmtId="166" fontId="51" fillId="0" borderId="15" xfId="0" applyNumberFormat="1" applyFont="1" applyBorder="1"/>
    <xf numFmtId="172" fontId="51" fillId="0" borderId="38" xfId="0" applyNumberFormat="1" applyFont="1" applyBorder="1"/>
    <xf numFmtId="175" fontId="31" fillId="0" borderId="0" xfId="0" applyNumberFormat="1" applyFont="1" applyBorder="1"/>
    <xf numFmtId="175" fontId="51" fillId="0" borderId="38" xfId="0" applyNumberFormat="1" applyFont="1" applyBorder="1"/>
    <xf numFmtId="175" fontId="51" fillId="0" borderId="15" xfId="0" applyNumberFormat="1" applyFont="1" applyBorder="1"/>
    <xf numFmtId="185" fontId="31" fillId="0" borderId="0" xfId="0" applyNumberFormat="1" applyFont="1" applyBorder="1"/>
    <xf numFmtId="184" fontId="31" fillId="0" borderId="0" xfId="0" applyNumberFormat="1" applyFont="1" applyBorder="1"/>
    <xf numFmtId="185" fontId="31" fillId="0" borderId="31" xfId="0" applyNumberFormat="1" applyFont="1" applyBorder="1"/>
    <xf numFmtId="172" fontId="29" fillId="0" borderId="0" xfId="0" applyNumberFormat="1" applyFont="1" applyBorder="1" applyAlignment="1">
      <alignment horizontal="center"/>
    </xf>
    <xf numFmtId="172" fontId="0" fillId="2" borderId="0" xfId="0" applyNumberFormat="1" applyFont="1" applyFill="1" applyBorder="1" applyAlignment="1">
      <alignment horizontal="right"/>
    </xf>
    <xf numFmtId="184" fontId="0" fillId="2" borderId="0" xfId="0" applyNumberFormat="1" applyFont="1" applyFill="1" applyBorder="1" applyAlignment="1">
      <alignment horizontal="right"/>
    </xf>
    <xf numFmtId="171" fontId="0" fillId="2" borderId="0" xfId="0" applyNumberFormat="1" applyFont="1" applyFill="1" applyBorder="1" applyAlignment="1">
      <alignment horizontal="right"/>
    </xf>
    <xf numFmtId="10" fontId="0" fillId="2" borderId="0" xfId="0" applyNumberFormat="1" applyFont="1" applyFill="1" applyBorder="1" applyAlignment="1">
      <alignment horizontal="right"/>
    </xf>
    <xf numFmtId="185" fontId="0" fillId="2" borderId="0" xfId="0" applyNumberFormat="1" applyFill="1" applyBorder="1" applyAlignment="1">
      <alignment horizontal="center"/>
    </xf>
    <xf numFmtId="172" fontId="10" fillId="2" borderId="0" xfId="1" applyNumberFormat="1" applyFill="1"/>
    <xf numFmtId="182" fontId="16" fillId="0" borderId="0" xfId="0" applyNumberFormat="1" applyFont="1" applyBorder="1"/>
    <xf numFmtId="172" fontId="28" fillId="8" borderId="18" xfId="0" applyNumberFormat="1" applyFont="1" applyFill="1" applyBorder="1"/>
    <xf numFmtId="171" fontId="57" fillId="0" borderId="0" xfId="5" applyNumberFormat="1" applyFont="1"/>
    <xf numFmtId="172" fontId="16" fillId="12" borderId="0" xfId="0" applyNumberFormat="1" applyFont="1" applyFill="1" applyAlignment="1">
      <alignment horizontal="center"/>
    </xf>
    <xf numFmtId="172" fontId="16" fillId="12" borderId="18" xfId="0" applyNumberFormat="1" applyFont="1" applyFill="1" applyBorder="1" applyAlignment="1">
      <alignment horizontal="center"/>
    </xf>
    <xf numFmtId="171" fontId="16" fillId="12" borderId="0" xfId="4" applyNumberFormat="1" applyFont="1" applyFill="1"/>
    <xf numFmtId="171" fontId="58" fillId="12" borderId="0" xfId="4" applyNumberFormat="1" applyFont="1" applyFill="1"/>
    <xf numFmtId="172" fontId="55" fillId="0" borderId="0" xfId="0" applyNumberFormat="1" applyFont="1" applyBorder="1"/>
    <xf numFmtId="172" fontId="55" fillId="0" borderId="0" xfId="0" applyNumberFormat="1" applyFont="1"/>
    <xf numFmtId="184" fontId="55" fillId="0" borderId="0" xfId="0" applyNumberFormat="1" applyFont="1"/>
    <xf numFmtId="184" fontId="55" fillId="0" borderId="0" xfId="0" applyNumberFormat="1" applyFont="1" applyBorder="1"/>
    <xf numFmtId="172" fontId="60" fillId="0" borderId="0" xfId="0" applyNumberFormat="1" applyFont="1" applyAlignment="1">
      <alignment horizontal="center"/>
    </xf>
    <xf numFmtId="169" fontId="29" fillId="0" borderId="0" xfId="3" applyFont="1"/>
    <xf numFmtId="0" fontId="61" fillId="0" borderId="49" xfId="6" applyFont="1" applyBorder="1" applyAlignment="1"/>
    <xf numFmtId="0" fontId="62" fillId="0" borderId="49" xfId="6" applyFont="1" applyBorder="1" applyAlignment="1"/>
    <xf numFmtId="0" fontId="58" fillId="0" borderId="0" xfId="7" applyFont="1"/>
    <xf numFmtId="0" fontId="56" fillId="0" borderId="0" xfId="8"/>
    <xf numFmtId="0" fontId="58" fillId="0" borderId="50" xfId="7" applyFont="1" applyBorder="1"/>
    <xf numFmtId="0" fontId="57" fillId="0" borderId="0" xfId="7" applyFont="1" applyAlignment="1">
      <alignment vertical="center"/>
    </xf>
    <xf numFmtId="0" fontId="63" fillId="13" borderId="0" xfId="7" applyFont="1" applyFill="1" applyAlignment="1">
      <alignment horizontal="center" vertical="center" wrapText="1"/>
    </xf>
    <xf numFmtId="0" fontId="57" fillId="0" borderId="50" xfId="7" applyFont="1" applyBorder="1" applyAlignment="1">
      <alignment vertical="center"/>
    </xf>
    <xf numFmtId="0" fontId="57" fillId="0" borderId="16" xfId="7" applyFont="1" applyBorder="1"/>
    <xf numFmtId="0" fontId="58" fillId="0" borderId="0" xfId="7" applyFont="1" applyAlignment="1">
      <alignment vertical="center"/>
    </xf>
    <xf numFmtId="0" fontId="58" fillId="0" borderId="50" xfId="7" applyFont="1" applyBorder="1" applyAlignment="1">
      <alignment vertical="center"/>
    </xf>
    <xf numFmtId="0" fontId="66" fillId="15" borderId="0" xfId="7" applyFont="1" applyFill="1"/>
    <xf numFmtId="0" fontId="67" fillId="15" borderId="0" xfId="7" applyFont="1" applyFill="1"/>
    <xf numFmtId="9" fontId="68" fillId="15" borderId="0" xfId="7" applyNumberFormat="1" applyFont="1" applyFill="1"/>
    <xf numFmtId="0" fontId="67" fillId="15" borderId="50" xfId="7" applyFont="1" applyFill="1" applyBorder="1"/>
    <xf numFmtId="0" fontId="67" fillId="15" borderId="0" xfId="7" applyFont="1" applyFill="1" applyAlignment="1">
      <alignment vertical="center"/>
    </xf>
    <xf numFmtId="0" fontId="67" fillId="0" borderId="0" xfId="7" applyFont="1"/>
    <xf numFmtId="9" fontId="58" fillId="0" borderId="0" xfId="7" applyNumberFormat="1" applyFont="1"/>
    <xf numFmtId="9" fontId="69" fillId="7" borderId="0" xfId="7" applyNumberFormat="1" applyFont="1" applyFill="1"/>
    <xf numFmtId="0" fontId="70" fillId="0" borderId="0" xfId="7" applyFont="1" applyAlignment="1">
      <alignment vertical="center"/>
    </xf>
    <xf numFmtId="9" fontId="71" fillId="15" borderId="0" xfId="5" applyFont="1" applyFill="1"/>
    <xf numFmtId="0" fontId="70" fillId="0" borderId="0" xfId="7" applyFont="1"/>
    <xf numFmtId="0" fontId="66" fillId="0" borderId="0" xfId="7" applyFont="1"/>
    <xf numFmtId="171" fontId="72" fillId="0" borderId="0" xfId="7" applyNumberFormat="1" applyFont="1"/>
    <xf numFmtId="171" fontId="67" fillId="0" borderId="50" xfId="7" applyNumberFormat="1" applyFont="1" applyBorder="1"/>
    <xf numFmtId="171" fontId="67" fillId="0" borderId="0" xfId="7" applyNumberFormat="1" applyFont="1"/>
    <xf numFmtId="171" fontId="68" fillId="0" borderId="0" xfId="7" applyNumberFormat="1" applyFont="1"/>
    <xf numFmtId="0" fontId="59" fillId="0" borderId="0" xfId="7" applyFont="1"/>
    <xf numFmtId="9" fontId="69" fillId="0" borderId="16" xfId="7" applyNumberFormat="1" applyFont="1" applyBorder="1"/>
    <xf numFmtId="0" fontId="67" fillId="0" borderId="50" xfId="7" applyFont="1" applyBorder="1"/>
    <xf numFmtId="9" fontId="71" fillId="0" borderId="16" xfId="7" applyNumberFormat="1" applyFont="1" applyBorder="1"/>
    <xf numFmtId="171" fontId="68" fillId="15" borderId="0" xfId="5" applyNumberFormat="1" applyFont="1" applyFill="1"/>
    <xf numFmtId="0" fontId="57" fillId="0" borderId="0" xfId="7" applyFont="1"/>
    <xf numFmtId="171" fontId="69" fillId="0" borderId="0" xfId="7" applyNumberFormat="1" applyFont="1"/>
    <xf numFmtId="171" fontId="71" fillId="0" borderId="0" xfId="7" applyNumberFormat="1" applyFont="1"/>
    <xf numFmtId="197" fontId="71" fillId="0" borderId="0" xfId="7" applyNumberFormat="1" applyFont="1"/>
    <xf numFmtId="0" fontId="67" fillId="0" borderId="0" xfId="7" applyFont="1" applyAlignment="1">
      <alignment vertical="center"/>
    </xf>
    <xf numFmtId="0" fontId="67" fillId="0" borderId="50" xfId="7" applyFont="1" applyBorder="1" applyAlignment="1">
      <alignment vertical="center"/>
    </xf>
    <xf numFmtId="10" fontId="69" fillId="0" borderId="0" xfId="7" applyNumberFormat="1" applyFont="1"/>
    <xf numFmtId="10" fontId="71" fillId="0" borderId="0" xfId="7" applyNumberFormat="1" applyFont="1"/>
    <xf numFmtId="0" fontId="66" fillId="15" borderId="0" xfId="7" applyFont="1" applyFill="1" applyAlignment="1">
      <alignment vertical="center"/>
    </xf>
    <xf numFmtId="171" fontId="68" fillId="15" borderId="0" xfId="7" applyNumberFormat="1" applyFont="1" applyFill="1" applyAlignment="1">
      <alignment vertical="center"/>
    </xf>
    <xf numFmtId="0" fontId="67" fillId="15" borderId="50" xfId="7" applyFont="1" applyFill="1" applyBorder="1" applyAlignment="1">
      <alignment vertical="center"/>
    </xf>
    <xf numFmtId="0" fontId="66" fillId="0" borderId="0" xfId="7" applyFont="1" applyAlignment="1">
      <alignment vertical="center"/>
    </xf>
    <xf numFmtId="171" fontId="66" fillId="0" borderId="0" xfId="7" applyNumberFormat="1" applyFont="1" applyAlignment="1">
      <alignment vertical="center"/>
    </xf>
    <xf numFmtId="0" fontId="73" fillId="0" borderId="0" xfId="7" applyFont="1"/>
    <xf numFmtId="197" fontId="74" fillId="0" borderId="0" xfId="7" applyNumberFormat="1" applyFont="1"/>
    <xf numFmtId="197" fontId="67" fillId="0" borderId="0" xfId="7" applyNumberFormat="1" applyFont="1"/>
    <xf numFmtId="0" fontId="59" fillId="0" borderId="0" xfId="7" applyFont="1" applyAlignment="1">
      <alignment vertical="center"/>
    </xf>
    <xf numFmtId="9" fontId="67" fillId="0" borderId="0" xfId="5" applyFont="1"/>
    <xf numFmtId="0" fontId="75" fillId="0" borderId="0" xfId="7" applyFont="1" applyAlignment="1">
      <alignment vertical="center"/>
    </xf>
    <xf numFmtId="0" fontId="76" fillId="0" borderId="0" xfId="7" applyFont="1" applyAlignment="1">
      <alignment vertical="center"/>
    </xf>
    <xf numFmtId="171" fontId="58" fillId="0" borderId="0" xfId="7" applyNumberFormat="1" applyFont="1"/>
    <xf numFmtId="197" fontId="66" fillId="0" borderId="0" xfId="7" applyNumberFormat="1" applyFont="1"/>
    <xf numFmtId="0" fontId="75" fillId="0" borderId="50" xfId="7" applyFont="1" applyBorder="1" applyAlignment="1">
      <alignment vertical="center"/>
    </xf>
    <xf numFmtId="0" fontId="78" fillId="13" borderId="0" xfId="7" applyFont="1" applyFill="1" applyAlignment="1">
      <alignment horizontal="centerContinuous" vertical="center"/>
    </xf>
    <xf numFmtId="0" fontId="64" fillId="15" borderId="0" xfId="7" applyFont="1" applyFill="1" applyAlignment="1">
      <alignment vertical="center"/>
    </xf>
    <xf numFmtId="0" fontId="64" fillId="15" borderId="50" xfId="7" applyFont="1" applyFill="1" applyBorder="1" applyAlignment="1">
      <alignment vertical="center"/>
    </xf>
    <xf numFmtId="0" fontId="58" fillId="15" borderId="0" xfId="7" applyFont="1" applyFill="1"/>
    <xf numFmtId="171" fontId="28" fillId="0" borderId="0" xfId="4" applyNumberFormat="1" applyFont="1"/>
    <xf numFmtId="10" fontId="61" fillId="15" borderId="0" xfId="7" applyNumberFormat="1" applyFont="1" applyFill="1" applyAlignment="1">
      <alignment vertical="center"/>
    </xf>
    <xf numFmtId="0" fontId="62" fillId="0" borderId="49" xfId="6" quotePrefix="1" applyFont="1" applyBorder="1" applyAlignment="1">
      <alignment horizontal="right"/>
    </xf>
    <xf numFmtId="0" fontId="80" fillId="0" borderId="0" xfId="6" applyFont="1" applyAlignment="1"/>
    <xf numFmtId="0" fontId="13" fillId="0" borderId="0" xfId="8" applyFont="1"/>
    <xf numFmtId="0" fontId="57" fillId="0" borderId="0" xfId="6" applyFont="1" applyAlignment="1"/>
    <xf numFmtId="0" fontId="81" fillId="0" borderId="0" xfId="6" applyFont="1" applyAlignment="1"/>
    <xf numFmtId="0" fontId="75" fillId="0" borderId="51" xfId="9" applyFont="1" applyBorder="1" applyAlignment="1">
      <alignment horizontal="centerContinuous"/>
    </xf>
    <xf numFmtId="0" fontId="75" fillId="0" borderId="52" xfId="9" applyFont="1" applyBorder="1" applyAlignment="1">
      <alignment horizontal="centerContinuous"/>
    </xf>
    <xf numFmtId="0" fontId="66" fillId="16" borderId="53" xfId="9" applyFont="1" applyFill="1" applyBorder="1" applyAlignment="1">
      <alignment horizontal="centerContinuous"/>
    </xf>
    <xf numFmtId="0" fontId="66" fillId="16" borderId="54" xfId="9" applyFont="1" applyFill="1" applyBorder="1" applyAlignment="1">
      <alignment horizontal="centerContinuous"/>
    </xf>
    <xf numFmtId="0" fontId="66" fillId="16" borderId="55" xfId="9" applyFont="1" applyFill="1" applyBorder="1" applyAlignment="1">
      <alignment horizontal="centerContinuous"/>
    </xf>
    <xf numFmtId="0" fontId="64" fillId="0" borderId="16" xfId="6" applyFont="1" applyBorder="1" applyAlignment="1"/>
    <xf numFmtId="0" fontId="83" fillId="0" borderId="0" xfId="6" applyFont="1" applyAlignment="1">
      <alignment horizontal="center"/>
    </xf>
    <xf numFmtId="0" fontId="64" fillId="0" borderId="0" xfId="6" applyFont="1" applyAlignment="1"/>
    <xf numFmtId="198" fontId="57" fillId="0" borderId="0" xfId="6" applyNumberFormat="1" applyFont="1" applyAlignment="1"/>
    <xf numFmtId="9" fontId="57" fillId="0" borderId="0" xfId="5" applyFont="1"/>
    <xf numFmtId="0" fontId="57" fillId="0" borderId="0" xfId="6" applyFont="1" applyAlignment="1">
      <alignment horizontal="left" indent="1"/>
    </xf>
    <xf numFmtId="0" fontId="84" fillId="0" borderId="0" xfId="6" applyFont="1" applyAlignment="1"/>
    <xf numFmtId="198" fontId="64" fillId="0" borderId="15" xfId="6" applyNumberFormat="1" applyFont="1" applyBorder="1" applyAlignment="1"/>
    <xf numFmtId="199" fontId="57" fillId="0" borderId="0" xfId="6" applyNumberFormat="1" applyFont="1" applyAlignment="1"/>
    <xf numFmtId="199" fontId="64" fillId="0" borderId="16" xfId="6" applyNumberFormat="1" applyFont="1" applyBorder="1" applyAlignment="1"/>
    <xf numFmtId="198" fontId="64" fillId="0" borderId="16" xfId="6" applyNumberFormat="1" applyFont="1" applyBorder="1" applyAlignment="1"/>
    <xf numFmtId="164" fontId="85" fillId="0" borderId="0" xfId="6" applyNumberFormat="1" applyFont="1" applyAlignment="1"/>
    <xf numFmtId="0" fontId="85" fillId="0" borderId="0" xfId="6" applyFont="1" applyAlignment="1"/>
    <xf numFmtId="169" fontId="57" fillId="0" borderId="0" xfId="10" applyFont="1" applyAlignment="1"/>
    <xf numFmtId="199" fontId="64" fillId="0" borderId="0" xfId="6" applyNumberFormat="1" applyFont="1" applyAlignment="1"/>
    <xf numFmtId="201" fontId="57" fillId="0" borderId="0" xfId="11" applyNumberFormat="1" applyFont="1"/>
    <xf numFmtId="201" fontId="57" fillId="0" borderId="16" xfId="11" applyNumberFormat="1" applyFont="1" applyBorder="1"/>
    <xf numFmtId="202" fontId="57" fillId="0" borderId="0" xfId="11" applyNumberFormat="1" applyFont="1"/>
    <xf numFmtId="0" fontId="64" fillId="0" borderId="31" xfId="6" applyFont="1" applyBorder="1" applyAlignment="1"/>
    <xf numFmtId="0" fontId="57" fillId="0" borderId="31" xfId="6" applyFont="1" applyBorder="1" applyAlignment="1"/>
    <xf numFmtId="0" fontId="64" fillId="15" borderId="0" xfId="6" applyFont="1" applyFill="1" applyAlignment="1">
      <alignment horizontal="centerContinuous"/>
    </xf>
    <xf numFmtId="0" fontId="57" fillId="15" borderId="0" xfId="6" applyFont="1" applyFill="1" applyAlignment="1">
      <alignment horizontal="centerContinuous"/>
    </xf>
    <xf numFmtId="9" fontId="83" fillId="0" borderId="0" xfId="5" applyFont="1"/>
    <xf numFmtId="0" fontId="64" fillId="0" borderId="0" xfId="6" applyFont="1" applyAlignment="1">
      <alignment horizontal="center"/>
    </xf>
    <xf numFmtId="199" fontId="86" fillId="0" borderId="0" xfId="6" applyNumberFormat="1" applyFont="1" applyAlignment="1"/>
    <xf numFmtId="171" fontId="87" fillId="0" borderId="16" xfId="5" applyNumberFormat="1" applyFont="1" applyBorder="1" applyAlignment="1">
      <alignment horizontal="center"/>
    </xf>
    <xf numFmtId="171" fontId="88" fillId="0" borderId="16" xfId="5" applyNumberFormat="1" applyFont="1" applyBorder="1" applyAlignment="1">
      <alignment horizontal="center"/>
    </xf>
    <xf numFmtId="0" fontId="64" fillId="15" borderId="0" xfId="6" applyFont="1" applyFill="1" applyAlignment="1">
      <alignment horizontal="center"/>
    </xf>
    <xf numFmtId="203" fontId="87" fillId="0" borderId="22" xfId="11" applyNumberFormat="1" applyFont="1" applyBorder="1" applyAlignment="1">
      <alignment horizontal="center"/>
    </xf>
    <xf numFmtId="204" fontId="57" fillId="0" borderId="0" xfId="6" applyNumberFormat="1" applyFont="1" applyAlignment="1">
      <alignment horizontal="center"/>
    </xf>
    <xf numFmtId="204" fontId="64" fillId="0" borderId="0" xfId="6" applyNumberFormat="1" applyFont="1" applyAlignment="1">
      <alignment horizontal="center"/>
    </xf>
    <xf numFmtId="2" fontId="58" fillId="0" borderId="0" xfId="6" applyNumberFormat="1" applyFont="1" applyAlignment="1">
      <alignment horizontal="center"/>
    </xf>
    <xf numFmtId="205" fontId="57" fillId="0" borderId="0" xfId="10" applyNumberFormat="1" applyFont="1" applyAlignment="1"/>
    <xf numFmtId="203" fontId="57" fillId="0" borderId="0" xfId="6" applyNumberFormat="1" applyFont="1" applyAlignment="1">
      <alignment horizontal="center"/>
    </xf>
    <xf numFmtId="3" fontId="57" fillId="0" borderId="0" xfId="6" applyNumberFormat="1" applyFont="1" applyAlignment="1"/>
    <xf numFmtId="166" fontId="64" fillId="0" borderId="0" xfId="6" applyNumberFormat="1" applyFont="1" applyAlignment="1"/>
    <xf numFmtId="203" fontId="86" fillId="0" borderId="0" xfId="6" applyNumberFormat="1" applyFont="1" applyAlignment="1">
      <alignment horizontal="center"/>
    </xf>
    <xf numFmtId="0" fontId="83" fillId="0" borderId="0" xfId="6" applyFont="1" applyAlignment="1"/>
    <xf numFmtId="203" fontId="57" fillId="0" borderId="0" xfId="11" applyNumberFormat="1" applyFont="1"/>
    <xf numFmtId="0" fontId="57" fillId="0" borderId="16" xfId="6" applyFont="1" applyBorder="1" applyAlignment="1"/>
    <xf numFmtId="171" fontId="87" fillId="0" borderId="0" xfId="5" applyNumberFormat="1" applyFont="1"/>
    <xf numFmtId="203" fontId="57" fillId="0" borderId="0" xfId="11" applyNumberFormat="1" applyFont="1" applyAlignment="1">
      <alignment horizontal="center"/>
    </xf>
    <xf numFmtId="203" fontId="87" fillId="0" borderId="0" xfId="11" applyNumberFormat="1" applyFont="1"/>
    <xf numFmtId="0" fontId="57" fillId="0" borderId="0" xfId="6" applyFont="1" applyAlignment="1">
      <alignment horizontal="left" indent="2"/>
    </xf>
    <xf numFmtId="203" fontId="64" fillId="0" borderId="0" xfId="11" applyNumberFormat="1" applyFont="1" applyAlignment="1">
      <alignment horizontal="center"/>
    </xf>
    <xf numFmtId="194" fontId="57" fillId="0" borderId="0" xfId="6" applyNumberFormat="1" applyFont="1" applyAlignment="1"/>
    <xf numFmtId="198" fontId="87" fillId="0" borderId="0" xfId="6" applyNumberFormat="1" applyFont="1" applyAlignment="1"/>
    <xf numFmtId="171" fontId="57" fillId="0" borderId="0" xfId="5" applyNumberFormat="1" applyFont="1" applyAlignment="1">
      <alignment horizontal="center"/>
    </xf>
    <xf numFmtId="198" fontId="87" fillId="0" borderId="16" xfId="6" applyNumberFormat="1" applyFont="1" applyBorder="1" applyAlignment="1"/>
    <xf numFmtId="171" fontId="64" fillId="0" borderId="0" xfId="5" applyNumberFormat="1" applyFont="1" applyAlignment="1">
      <alignment horizontal="center"/>
    </xf>
    <xf numFmtId="0" fontId="58" fillId="0" borderId="0" xfId="6" applyFont="1" applyAlignment="1"/>
    <xf numFmtId="206" fontId="89" fillId="0" borderId="0" xfId="11" applyNumberFormat="1" applyFont="1" applyAlignment="1">
      <alignment horizontal="right"/>
    </xf>
    <xf numFmtId="9" fontId="90" fillId="0" borderId="0" xfId="5" applyFont="1"/>
    <xf numFmtId="171" fontId="90" fillId="0" borderId="0" xfId="5" applyNumberFormat="1" applyFont="1"/>
    <xf numFmtId="169" fontId="57" fillId="0" borderId="0" xfId="10" applyFont="1"/>
    <xf numFmtId="199" fontId="87" fillId="0" borderId="0" xfId="6" applyNumberFormat="1" applyFont="1" applyAlignment="1"/>
    <xf numFmtId="198" fontId="64" fillId="0" borderId="0" xfId="6" applyNumberFormat="1" applyFont="1" applyBorder="1" applyAlignment="1"/>
    <xf numFmtId="199" fontId="57" fillId="0" borderId="0" xfId="6" applyNumberFormat="1" applyFont="1" applyBorder="1" applyAlignment="1"/>
    <xf numFmtId="9" fontId="57" fillId="0" borderId="0" xfId="5" applyFont="1" applyAlignment="1">
      <alignment horizontal="right"/>
    </xf>
    <xf numFmtId="172" fontId="0" fillId="12" borderId="0" xfId="0" applyNumberFormat="1" applyFill="1"/>
    <xf numFmtId="172" fontId="11" fillId="12" borderId="0" xfId="0" applyNumberFormat="1" applyFont="1" applyFill="1"/>
    <xf numFmtId="207" fontId="0" fillId="2" borderId="0" xfId="0" applyNumberFormat="1" applyFill="1" applyAlignment="1">
      <alignment horizontal="right"/>
    </xf>
    <xf numFmtId="207" fontId="0" fillId="2" borderId="18" xfId="0" applyNumberFormat="1" applyFill="1" applyBorder="1" applyAlignment="1">
      <alignment horizontal="right"/>
    </xf>
    <xf numFmtId="207" fontId="0" fillId="12" borderId="0" xfId="0" applyNumberFormat="1" applyFill="1" applyAlignment="1">
      <alignment horizontal="right"/>
    </xf>
    <xf numFmtId="172" fontId="20" fillId="2" borderId="0" xfId="0" applyNumberFormat="1" applyFont="1" applyFill="1"/>
    <xf numFmtId="172" fontId="0" fillId="2" borderId="31" xfId="0" applyNumberFormat="1" applyFill="1" applyBorder="1" applyAlignment="1">
      <alignment horizontal="left" indent="1"/>
    </xf>
    <xf numFmtId="207" fontId="0" fillId="2" borderId="31" xfId="0" applyNumberFormat="1" applyFill="1" applyBorder="1" applyAlignment="1">
      <alignment horizontal="right"/>
    </xf>
    <xf numFmtId="9" fontId="85" fillId="0" borderId="0" xfId="4" applyFont="1" applyAlignment="1"/>
    <xf numFmtId="9" fontId="57" fillId="0" borderId="0" xfId="4" applyFont="1" applyAlignment="1">
      <alignment horizontal="center"/>
    </xf>
    <xf numFmtId="9" fontId="64" fillId="0" borderId="0" xfId="4" applyFont="1" applyAlignment="1">
      <alignment horizontal="center"/>
    </xf>
    <xf numFmtId="207" fontId="11" fillId="2" borderId="0" xfId="0" applyNumberFormat="1" applyFont="1" applyFill="1" applyAlignment="1">
      <alignment horizontal="right"/>
    </xf>
    <xf numFmtId="207" fontId="11" fillId="12" borderId="0" xfId="0" applyNumberFormat="1" applyFont="1" applyFill="1" applyAlignment="1">
      <alignment horizontal="right"/>
    </xf>
    <xf numFmtId="9" fontId="11" fillId="12" borderId="0" xfId="4" applyFont="1" applyFill="1"/>
    <xf numFmtId="0" fontId="58" fillId="0" borderId="0" xfId="8" applyFont="1"/>
    <xf numFmtId="0" fontId="64" fillId="0" borderId="31" xfId="8" applyFont="1" applyBorder="1"/>
    <xf numFmtId="0" fontId="58" fillId="0" borderId="31" xfId="8" applyFont="1" applyBorder="1"/>
    <xf numFmtId="0" fontId="75" fillId="0" borderId="0" xfId="8" applyFont="1"/>
    <xf numFmtId="0" fontId="66" fillId="0" borderId="16" xfId="8" applyFont="1" applyBorder="1" applyAlignment="1">
      <alignment horizontal="centerContinuous"/>
    </xf>
    <xf numFmtId="0" fontId="58" fillId="0" borderId="16" xfId="8" applyFont="1" applyBorder="1" applyAlignment="1">
      <alignment horizontal="centerContinuous"/>
    </xf>
    <xf numFmtId="0" fontId="66" fillId="0" borderId="0" xfId="8" applyFont="1"/>
    <xf numFmtId="0" fontId="66" fillId="0" borderId="0" xfId="8" applyFont="1" applyAlignment="1">
      <alignment horizontal="center"/>
    </xf>
    <xf numFmtId="0" fontId="67" fillId="0" borderId="0" xfId="8" applyFont="1"/>
    <xf numFmtId="0" fontId="75" fillId="0" borderId="0" xfId="8" applyFont="1" applyAlignment="1">
      <alignment horizontal="right"/>
    </xf>
    <xf numFmtId="0" fontId="73" fillId="0" borderId="0" xfId="8" applyFont="1" applyAlignment="1">
      <alignment horizontal="center"/>
    </xf>
    <xf numFmtId="208" fontId="74" fillId="0" borderId="0" xfId="8" applyNumberFormat="1" applyFont="1" applyAlignment="1">
      <alignment horizontal="center"/>
    </xf>
    <xf numFmtId="208" fontId="58" fillId="0" borderId="0" xfId="8" applyNumberFormat="1" applyFont="1"/>
    <xf numFmtId="208" fontId="67" fillId="0" borderId="0" xfId="12" applyNumberFormat="1" applyFont="1" applyAlignment="1">
      <alignment horizontal="center"/>
    </xf>
    <xf numFmtId="208" fontId="89" fillId="0" borderId="0" xfId="8" applyNumberFormat="1" applyFont="1"/>
    <xf numFmtId="0" fontId="73" fillId="0" borderId="0" xfId="8" applyFont="1"/>
    <xf numFmtId="0" fontId="79" fillId="0" borderId="0" xfId="8" applyFont="1" applyAlignment="1">
      <alignment horizontal="center"/>
    </xf>
    <xf numFmtId="199" fontId="58" fillId="0" borderId="0" xfId="8" applyNumberFormat="1" applyFont="1" applyAlignment="1">
      <alignment horizontal="center"/>
    </xf>
    <xf numFmtId="203" fontId="75" fillId="0" borderId="0" xfId="8" applyNumberFormat="1" applyFont="1" applyAlignment="1">
      <alignment horizontal="center"/>
    </xf>
    <xf numFmtId="198" fontId="58" fillId="0" borderId="0" xfId="8" applyNumberFormat="1" applyFont="1" applyAlignment="1">
      <alignment horizontal="center"/>
    </xf>
    <xf numFmtId="198" fontId="75" fillId="0" borderId="0" xfId="8" applyNumberFormat="1" applyFont="1" applyAlignment="1">
      <alignment horizontal="center"/>
    </xf>
    <xf numFmtId="205" fontId="58" fillId="0" borderId="0" xfId="13" applyNumberFormat="1" applyFont="1"/>
    <xf numFmtId="204" fontId="75" fillId="0" borderId="0" xfId="8" applyNumberFormat="1" applyFont="1" applyAlignment="1">
      <alignment horizontal="center"/>
    </xf>
    <xf numFmtId="0" fontId="58" fillId="0" borderId="0" xfId="8" applyFont="1" applyAlignment="1">
      <alignment horizontal="left" indent="1"/>
    </xf>
    <xf numFmtId="169" fontId="75" fillId="0" borderId="0" xfId="10" applyFont="1"/>
    <xf numFmtId="169" fontId="58" fillId="0" borderId="0" xfId="10" applyFont="1"/>
    <xf numFmtId="203" fontId="91" fillId="0" borderId="0" xfId="8" applyNumberFormat="1" applyFont="1" applyAlignment="1">
      <alignment horizontal="center"/>
    </xf>
    <xf numFmtId="0" fontId="92" fillId="0" borderId="0" xfId="8" applyFont="1"/>
    <xf numFmtId="9" fontId="93" fillId="0" borderId="0" xfId="4" applyFont="1" applyAlignment="1">
      <alignment horizontal="center"/>
    </xf>
    <xf numFmtId="166" fontId="75" fillId="0" borderId="0" xfId="8" applyNumberFormat="1" applyFont="1"/>
    <xf numFmtId="0" fontId="75" fillId="0" borderId="0" xfId="8" applyFont="1" applyAlignment="1">
      <alignment horizontal="center"/>
    </xf>
    <xf numFmtId="0" fontId="67" fillId="0" borderId="0" xfId="8" applyFont="1" applyFill="1"/>
    <xf numFmtId="208" fontId="74" fillId="0" borderId="0" xfId="12" applyNumberFormat="1" applyFont="1" applyFill="1" applyAlignment="1">
      <alignment horizontal="center"/>
    </xf>
    <xf numFmtId="0" fontId="58" fillId="0" borderId="0" xfId="8" applyFont="1" applyFill="1"/>
    <xf numFmtId="208" fontId="58" fillId="0" borderId="0" xfId="8" applyNumberFormat="1" applyFont="1" applyFill="1"/>
    <xf numFmtId="166" fontId="75" fillId="0" borderId="0" xfId="8" applyNumberFormat="1" applyFont="1" applyFill="1"/>
    <xf numFmtId="208" fontId="67" fillId="0" borderId="0" xfId="12" applyNumberFormat="1" applyFont="1" applyFill="1" applyAlignment="1">
      <alignment horizontal="center"/>
    </xf>
    <xf numFmtId="0" fontId="94" fillId="0" borderId="0" xfId="0" applyFont="1"/>
    <xf numFmtId="0" fontId="55" fillId="0" borderId="0" xfId="0" applyFont="1"/>
    <xf numFmtId="9" fontId="11" fillId="2" borderId="0" xfId="0" applyNumberFormat="1" applyFont="1" applyFill="1"/>
    <xf numFmtId="171" fontId="57" fillId="0" borderId="0" xfId="4" applyNumberFormat="1" applyFont="1" applyAlignment="1"/>
    <xf numFmtId="165" fontId="48" fillId="0" borderId="0" xfId="0" applyNumberFormat="1" applyFont="1"/>
    <xf numFmtId="0" fontId="48" fillId="0" borderId="0" xfId="0" applyFont="1"/>
    <xf numFmtId="199" fontId="57" fillId="0" borderId="0" xfId="8" applyNumberFormat="1" applyFont="1"/>
    <xf numFmtId="0" fontId="96" fillId="0" borderId="0" xfId="0" applyFont="1"/>
    <xf numFmtId="0" fontId="11" fillId="0" borderId="31" xfId="14" applyFont="1" applyBorder="1"/>
    <xf numFmtId="0" fontId="48" fillId="0" borderId="31" xfId="14" applyFont="1" applyBorder="1"/>
    <xf numFmtId="0" fontId="4" fillId="0" borderId="0" xfId="14"/>
    <xf numFmtId="0" fontId="95" fillId="8" borderId="31" xfId="14" applyFont="1" applyFill="1" applyBorder="1"/>
    <xf numFmtId="0" fontId="4" fillId="8" borderId="31" xfId="14" applyFill="1" applyBorder="1"/>
    <xf numFmtId="0" fontId="4" fillId="0" borderId="16" xfId="14" applyBorder="1" applyAlignment="1">
      <alignment horizontal="centerContinuous"/>
    </xf>
    <xf numFmtId="0" fontId="97" fillId="0" borderId="0" xfId="14" applyFont="1"/>
    <xf numFmtId="0" fontId="4" fillId="0" borderId="16" xfId="14" applyBorder="1"/>
    <xf numFmtId="209" fontId="4" fillId="0" borderId="0" xfId="14" applyNumberFormat="1"/>
    <xf numFmtId="0" fontId="4" fillId="0" borderId="0" xfId="14" quotePrefix="1"/>
    <xf numFmtId="9" fontId="4" fillId="0" borderId="0" xfId="14" applyNumberFormat="1"/>
    <xf numFmtId="210" fontId="0" fillId="0" borderId="0" xfId="15" applyNumberFormat="1" applyFont="1"/>
    <xf numFmtId="209" fontId="4" fillId="0" borderId="16" xfId="14" applyNumberFormat="1" applyBorder="1"/>
    <xf numFmtId="0" fontId="95" fillId="0" borderId="0" xfId="14" applyFont="1"/>
    <xf numFmtId="209" fontId="95" fillId="0" borderId="0" xfId="14" applyNumberFormat="1" applyFont="1"/>
    <xf numFmtId="0" fontId="95" fillId="17" borderId="0" xfId="14" applyFont="1" applyFill="1"/>
    <xf numFmtId="9" fontId="95" fillId="17" borderId="0" xfId="14" applyNumberFormat="1" applyFont="1" applyFill="1"/>
    <xf numFmtId="172" fontId="28" fillId="18" borderId="0" xfId="0" applyNumberFormat="1" applyFont="1" applyFill="1" applyBorder="1"/>
    <xf numFmtId="196" fontId="28" fillId="18" borderId="0" xfId="0" applyNumberFormat="1" applyFont="1" applyFill="1" applyBorder="1"/>
    <xf numFmtId="9" fontId="28" fillId="18" borderId="0" xfId="0" applyNumberFormat="1" applyFont="1" applyFill="1" applyBorder="1"/>
    <xf numFmtId="9" fontId="16" fillId="18" borderId="22" xfId="0" applyNumberFormat="1" applyFont="1" applyFill="1" applyBorder="1"/>
    <xf numFmtId="172" fontId="16" fillId="18" borderId="0" xfId="0" applyNumberFormat="1" applyFont="1" applyFill="1" applyBorder="1"/>
    <xf numFmtId="0" fontId="57" fillId="0" borderId="0" xfId="6" applyFont="1" applyFill="1" applyAlignment="1"/>
    <xf numFmtId="166" fontId="85" fillId="0" borderId="0" xfId="6" applyNumberFormat="1" applyFont="1" applyAlignment="1"/>
    <xf numFmtId="199" fontId="64" fillId="0" borderId="0" xfId="8" applyNumberFormat="1" applyFont="1"/>
    <xf numFmtId="198" fontId="64" fillId="0" borderId="0" xfId="6" applyNumberFormat="1" applyFont="1" applyAlignment="1"/>
    <xf numFmtId="172" fontId="28" fillId="18" borderId="47" xfId="0" applyNumberFormat="1" applyFont="1" applyFill="1" applyBorder="1" applyAlignment="1">
      <alignment horizontal="center"/>
    </xf>
    <xf numFmtId="171" fontId="16" fillId="18" borderId="0" xfId="4" applyNumberFormat="1" applyFont="1" applyFill="1"/>
    <xf numFmtId="171" fontId="16" fillId="18" borderId="31" xfId="4" applyNumberFormat="1" applyFont="1" applyFill="1" applyBorder="1"/>
    <xf numFmtId="171" fontId="16" fillId="18" borderId="0" xfId="0" applyNumberFormat="1" applyFont="1" applyFill="1" applyAlignment="1">
      <alignment horizontal="center"/>
    </xf>
    <xf numFmtId="172" fontId="27" fillId="0" borderId="0" xfId="0" applyNumberFormat="1" applyFont="1" applyBorder="1" applyAlignment="1">
      <alignment horizontal="center"/>
    </xf>
    <xf numFmtId="186" fontId="27" fillId="0" borderId="0" xfId="0" applyNumberFormat="1" applyFont="1" applyBorder="1" applyAlignment="1">
      <alignment horizontal="center"/>
    </xf>
    <xf numFmtId="172" fontId="27" fillId="18" borderId="0" xfId="0" applyNumberFormat="1" applyFont="1" applyFill="1" applyBorder="1" applyAlignment="1">
      <alignment horizontal="center"/>
    </xf>
    <xf numFmtId="172" fontId="28" fillId="18" borderId="0" xfId="0" applyNumberFormat="1" applyFont="1" applyFill="1" applyAlignment="1">
      <alignment horizontal="center"/>
    </xf>
    <xf numFmtId="172" fontId="28" fillId="0" borderId="18" xfId="0" applyNumberFormat="1" applyFont="1" applyBorder="1" applyAlignment="1">
      <alignment horizontal="centerContinuous"/>
    </xf>
    <xf numFmtId="175" fontId="16" fillId="0" borderId="0" xfId="0" applyNumberFormat="1" applyFont="1" applyBorder="1" applyAlignment="1">
      <alignment horizontal="center"/>
    </xf>
    <xf numFmtId="171" fontId="16" fillId="18" borderId="0" xfId="0" applyNumberFormat="1" applyFont="1" applyFill="1" applyBorder="1" applyAlignment="1">
      <alignment horizontal="center"/>
    </xf>
    <xf numFmtId="171" fontId="16" fillId="0" borderId="0" xfId="4" applyNumberFormat="1" applyFont="1" applyAlignment="1">
      <alignment horizontal="center"/>
    </xf>
    <xf numFmtId="185" fontId="16" fillId="0" borderId="18" xfId="0" applyNumberFormat="1" applyFont="1" applyBorder="1"/>
    <xf numFmtId="172" fontId="28" fillId="0" borderId="18" xfId="0" applyNumberFormat="1" applyFont="1" applyBorder="1"/>
    <xf numFmtId="184" fontId="98" fillId="9" borderId="0" xfId="0" applyNumberFormat="1" applyFont="1" applyFill="1"/>
    <xf numFmtId="186" fontId="99" fillId="0" borderId="0" xfId="0" applyNumberFormat="1" applyFont="1" applyFill="1" applyAlignment="1">
      <alignment horizontal="center"/>
    </xf>
    <xf numFmtId="172" fontId="16" fillId="0" borderId="38" xfId="0" applyNumberFormat="1" applyFont="1" applyBorder="1"/>
    <xf numFmtId="172" fontId="37" fillId="6" borderId="0" xfId="0" applyNumberFormat="1" applyFont="1" applyFill="1" applyBorder="1" applyAlignment="1">
      <alignment horizontal="centerContinuous"/>
    </xf>
    <xf numFmtId="175" fontId="28" fillId="18" borderId="0" xfId="0" applyNumberFormat="1" applyFont="1" applyFill="1" applyBorder="1"/>
    <xf numFmtId="172" fontId="16" fillId="0" borderId="0" xfId="0" applyNumberFormat="1" applyFont="1" applyBorder="1" applyAlignment="1">
      <alignment horizontal="center"/>
    </xf>
    <xf numFmtId="171" fontId="16" fillId="0" borderId="0" xfId="0" applyNumberFormat="1" applyFont="1" applyBorder="1" applyAlignment="1">
      <alignment horizontal="center"/>
    </xf>
    <xf numFmtId="172" fontId="20" fillId="18" borderId="0" xfId="0" applyNumberFormat="1" applyFont="1" applyFill="1"/>
    <xf numFmtId="172" fontId="0" fillId="18" borderId="0" xfId="0" applyNumberFormat="1" applyFill="1"/>
    <xf numFmtId="172" fontId="11" fillId="18" borderId="0" xfId="0" applyNumberFormat="1" applyFont="1" applyFill="1"/>
    <xf numFmtId="207" fontId="11" fillId="18" borderId="0" xfId="0" applyNumberFormat="1" applyFont="1" applyFill="1" applyAlignment="1">
      <alignment horizontal="right"/>
    </xf>
    <xf numFmtId="9" fontId="11" fillId="18" borderId="0" xfId="4" applyFont="1" applyFill="1"/>
    <xf numFmtId="0" fontId="11" fillId="2" borderId="18" xfId="0" applyFont="1" applyFill="1" applyBorder="1" applyAlignment="1">
      <alignment horizontal="right"/>
    </xf>
    <xf numFmtId="189" fontId="11" fillId="2" borderId="18" xfId="0" applyNumberFormat="1" applyFont="1" applyFill="1" applyBorder="1"/>
    <xf numFmtId="0" fontId="11" fillId="2" borderId="18" xfId="0" applyFont="1" applyFill="1" applyBorder="1" applyAlignment="1">
      <alignment horizontal="center"/>
    </xf>
    <xf numFmtId="0" fontId="11" fillId="0" borderId="0" xfId="0" applyFont="1" applyAlignment="1">
      <alignment horizontal="center"/>
    </xf>
    <xf numFmtId="0" fontId="11" fillId="2" borderId="18" xfId="0" applyFont="1" applyFill="1" applyBorder="1" applyAlignment="1">
      <alignment horizontal="centerContinuous"/>
    </xf>
    <xf numFmtId="172" fontId="34" fillId="0" borderId="0" xfId="0" applyNumberFormat="1" applyFont="1" applyBorder="1" applyAlignment="1">
      <alignment horizontal="center"/>
    </xf>
    <xf numFmtId="203" fontId="0" fillId="2" borderId="0" xfId="0" applyNumberFormat="1" applyFill="1"/>
    <xf numFmtId="203" fontId="0" fillId="0" borderId="0" xfId="0" applyNumberFormat="1"/>
    <xf numFmtId="196" fontId="0" fillId="2" borderId="0" xfId="0" applyNumberFormat="1" applyFill="1"/>
    <xf numFmtId="196" fontId="0" fillId="0" borderId="0" xfId="0" applyNumberFormat="1"/>
    <xf numFmtId="196" fontId="11" fillId="0" borderId="0" xfId="0" applyNumberFormat="1" applyFont="1"/>
    <xf numFmtId="172" fontId="11" fillId="18" borderId="0" xfId="0" applyNumberFormat="1" applyFont="1" applyFill="1" applyAlignment="1">
      <alignment horizontal="left"/>
    </xf>
    <xf numFmtId="0" fontId="0" fillId="18" borderId="0" xfId="0" applyFill="1"/>
    <xf numFmtId="196" fontId="11" fillId="18" borderId="0" xfId="0" applyNumberFormat="1" applyFont="1" applyFill="1"/>
    <xf numFmtId="203" fontId="11" fillId="18" borderId="0" xfId="0" applyNumberFormat="1" applyFont="1" applyFill="1"/>
    <xf numFmtId="172" fontId="38" fillId="6" borderId="0" xfId="0" applyNumberFormat="1" applyFont="1" applyFill="1" applyBorder="1" applyAlignment="1">
      <alignment horizontal="centerContinuous"/>
    </xf>
    <xf numFmtId="172" fontId="100" fillId="0" borderId="0" xfId="0" applyNumberFormat="1" applyFont="1"/>
    <xf numFmtId="9" fontId="31" fillId="0" borderId="0" xfId="0" applyNumberFormat="1" applyFont="1" applyBorder="1"/>
    <xf numFmtId="9" fontId="30" fillId="0" borderId="16" xfId="0" applyNumberFormat="1" applyFont="1" applyBorder="1"/>
    <xf numFmtId="172" fontId="16" fillId="6" borderId="0" xfId="0" applyNumberFormat="1" applyFont="1" applyFill="1" applyBorder="1" applyAlignment="1">
      <alignment horizontal="centerContinuous"/>
    </xf>
    <xf numFmtId="164" fontId="0" fillId="2" borderId="0" xfId="0" applyNumberFormat="1" applyFont="1" applyFill="1" applyBorder="1" applyAlignment="1">
      <alignment horizontal="right"/>
    </xf>
    <xf numFmtId="172" fontId="20" fillId="2" borderId="15" xfId="0" applyNumberFormat="1" applyFont="1" applyFill="1" applyBorder="1" applyAlignment="1">
      <alignment horizontal="centerContinuous"/>
    </xf>
    <xf numFmtId="171" fontId="14" fillId="2" borderId="0" xfId="0" applyNumberFormat="1" applyFont="1" applyFill="1" applyAlignment="1">
      <alignment horizontal="center"/>
    </xf>
    <xf numFmtId="37" fontId="11" fillId="2" borderId="0" xfId="0" applyNumberFormat="1" applyFont="1" applyFill="1"/>
    <xf numFmtId="37" fontId="11" fillId="18" borderId="0" xfId="0" applyNumberFormat="1" applyFont="1" applyFill="1"/>
    <xf numFmtId="37" fontId="0" fillId="18" borderId="0" xfId="0" applyNumberFormat="1" applyFill="1"/>
    <xf numFmtId="9" fontId="0" fillId="2" borderId="0" xfId="4" applyFont="1" applyFill="1"/>
    <xf numFmtId="37" fontId="45" fillId="2" borderId="0" xfId="0" applyNumberFormat="1" applyFont="1" applyFill="1"/>
    <xf numFmtId="171" fontId="101" fillId="2" borderId="0" xfId="0" applyNumberFormat="1" applyFont="1" applyFill="1"/>
    <xf numFmtId="0" fontId="11" fillId="2" borderId="0" xfId="0" applyFont="1" applyFill="1" applyAlignment="1">
      <alignment horizontal="right"/>
    </xf>
    <xf numFmtId="172" fontId="16" fillId="0" borderId="0" xfId="0" applyNumberFormat="1" applyFont="1" applyBorder="1" applyAlignment="1">
      <alignment horizontal="left" indent="1"/>
    </xf>
    <xf numFmtId="10" fontId="30" fillId="0" borderId="0" xfId="0" applyNumberFormat="1" applyFont="1" applyBorder="1"/>
    <xf numFmtId="175" fontId="44" fillId="0" borderId="0" xfId="0" applyNumberFormat="1" applyFont="1" applyBorder="1"/>
    <xf numFmtId="172" fontId="27" fillId="0" borderId="0" xfId="0" applyNumberFormat="1" applyFont="1" applyBorder="1" applyAlignment="1">
      <alignment horizontal="centerContinuous"/>
    </xf>
    <xf numFmtId="171" fontId="44" fillId="0" borderId="0" xfId="0" applyNumberFormat="1" applyFont="1" applyBorder="1"/>
    <xf numFmtId="184" fontId="16" fillId="0" borderId="0" xfId="0" applyNumberFormat="1" applyFont="1" applyBorder="1" applyAlignment="1">
      <alignment horizontal="center"/>
    </xf>
    <xf numFmtId="9" fontId="58" fillId="12" borderId="0" xfId="8" applyNumberFormat="1" applyFont="1" applyFill="1" applyAlignment="1">
      <alignment horizontal="center"/>
    </xf>
    <xf numFmtId="204" fontId="93" fillId="0" borderId="0" xfId="8" applyNumberFormat="1" applyFont="1" applyAlignment="1">
      <alignment horizontal="center"/>
    </xf>
    <xf numFmtId="0" fontId="75" fillId="0" borderId="18" xfId="8" applyFont="1" applyBorder="1" applyAlignment="1">
      <alignment horizontal="centerContinuous"/>
    </xf>
    <xf numFmtId="0" fontId="66" fillId="0" borderId="18" xfId="8" applyFont="1" applyBorder="1" applyAlignment="1">
      <alignment horizontal="centerContinuous"/>
    </xf>
    <xf numFmtId="0" fontId="3" fillId="0" borderId="0" xfId="14" applyFont="1"/>
    <xf numFmtId="0" fontId="3" fillId="0" borderId="0" xfId="14" quotePrefix="1" applyFont="1"/>
    <xf numFmtId="0" fontId="2" fillId="0" borderId="0" xfId="14" applyFont="1"/>
    <xf numFmtId="209" fontId="102" fillId="0" borderId="0" xfId="14" applyNumberFormat="1" applyFont="1"/>
    <xf numFmtId="210" fontId="103" fillId="0" borderId="0" xfId="15" applyNumberFormat="1" applyFont="1"/>
    <xf numFmtId="209" fontId="104" fillId="0" borderId="0" xfId="14" applyNumberFormat="1" applyFont="1"/>
    <xf numFmtId="0" fontId="97" fillId="0" borderId="0" xfId="14" applyFont="1" applyAlignment="1">
      <alignment horizontal="center"/>
    </xf>
    <xf numFmtId="0" fontId="97" fillId="0" borderId="56" xfId="14" applyFont="1" applyBorder="1" applyAlignment="1">
      <alignment horizontal="center"/>
    </xf>
    <xf numFmtId="0" fontId="4" fillId="0" borderId="57" xfId="14" applyBorder="1"/>
    <xf numFmtId="210" fontId="103" fillId="0" borderId="57" xfId="15" applyNumberFormat="1" applyFont="1" applyBorder="1"/>
    <xf numFmtId="209" fontId="104" fillId="0" borderId="58" xfId="14" applyNumberFormat="1" applyFont="1" applyBorder="1"/>
    <xf numFmtId="210" fontId="22" fillId="0" borderId="0" xfId="15" applyNumberFormat="1" applyFont="1"/>
    <xf numFmtId="210" fontId="22" fillId="0" borderId="57" xfId="15" applyNumberFormat="1" applyFont="1" applyBorder="1"/>
    <xf numFmtId="209" fontId="105" fillId="0" borderId="0" xfId="14" applyNumberFormat="1" applyFont="1"/>
    <xf numFmtId="209" fontId="105" fillId="0" borderId="58" xfId="14" applyNumberFormat="1" applyFont="1" applyBorder="1"/>
    <xf numFmtId="0" fontId="65" fillId="14" borderId="0" xfId="7" applyFont="1" applyFill="1" applyAlignment="1">
      <alignment horizontal="center" vertical="center" wrapText="1"/>
    </xf>
    <xf numFmtId="0" fontId="56" fillId="0" borderId="0" xfId="6" applyAlignment="1">
      <alignment horizontal="center" vertical="center" wrapText="1"/>
    </xf>
    <xf numFmtId="0" fontId="56" fillId="0" borderId="0" xfId="6" applyAlignment="1">
      <alignment vertical="center" wrapText="1"/>
    </xf>
    <xf numFmtId="0" fontId="1" fillId="0" borderId="0" xfId="14" applyFont="1"/>
    <xf numFmtId="1" fontId="4" fillId="0" borderId="0" xfId="14" applyNumberFormat="1"/>
  </cellXfs>
  <cellStyles count="16">
    <cellStyle name="Hipervínculo" xfId="1" builtinId="8"/>
    <cellStyle name="Millares" xfId="3" builtinId="3"/>
    <cellStyle name="Millares 2" xfId="10" xr:uid="{0A2A7253-5BC8-483C-9452-77C53E53E011}"/>
    <cellStyle name="Millares 3" xfId="11" xr:uid="{09E0B6FD-E0BF-42B8-A07B-730767C1F9A2}"/>
    <cellStyle name="Millares 4" xfId="13" xr:uid="{ED3A816B-3761-4E2E-BE07-9DA94C9A5008}"/>
    <cellStyle name="Millares 5" xfId="15" xr:uid="{A4C23A0F-7B15-4832-89F8-F80409F487AD}"/>
    <cellStyle name="Moneda 2" xfId="12" xr:uid="{262CDD83-DEA9-47FA-9EEF-149C75935524}"/>
    <cellStyle name="Normal" xfId="0" builtinId="0"/>
    <cellStyle name="Normal 2" xfId="2" xr:uid="{00000000-0005-0000-0000-000002000000}"/>
    <cellStyle name="Normal 2 2" xfId="8" xr:uid="{40706D78-891A-4BE1-BA9F-6B88EFF07B53}"/>
    <cellStyle name="Normal 2 3" xfId="6" xr:uid="{2E8CF2B5-6AEF-4760-A468-CEF483709B8D}"/>
    <cellStyle name="Normal 3" xfId="14" xr:uid="{C1ECC4B9-ACF4-4282-8CFC-6B0544EE774D}"/>
    <cellStyle name="Normal_Beta_empresas privadas_30 jun-1 jul 2011" xfId="7" xr:uid="{02C479B7-6D61-4B08-AAE3-B01DA766C45D}"/>
    <cellStyle name="Normal_Roche-Genentech_analisis" xfId="9" xr:uid="{3741EE6F-7EC6-48C6-9D76-B749480F7430}"/>
    <cellStyle name="Porcentaje" xfId="4" builtinId="5"/>
    <cellStyle name="Porcentaje 2" xfId="5" xr:uid="{040E99AA-D54E-4C4A-A148-2F6F128D6857}"/>
  </cellStyles>
  <dxfs count="0"/>
  <tableStyles count="0" defaultTableStyle="TableStyleMedium2" defaultPivotStyle="PivotStyleLight16"/>
  <colors>
    <mruColors>
      <color rgb="FF333399"/>
      <color rgb="FFAACCFF"/>
      <color rgb="FFDD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351623239524082"/>
          <c:y val="4.2124673975109203E-2"/>
          <c:w val="0.78058346019050462"/>
          <c:h val="0.79304277527053413"/>
        </c:manualLayout>
      </c:layout>
      <c:barChart>
        <c:barDir val="bar"/>
        <c:grouping val="stacked"/>
        <c:varyColors val="0"/>
        <c:ser>
          <c:idx val="1"/>
          <c:order val="0"/>
          <c:spPr>
            <a:noFill/>
            <a:ln w="25400">
              <a:noFill/>
            </a:ln>
          </c:spPr>
          <c:invertIfNegative val="0"/>
          <c:cat>
            <c:strRef>
              <c:f>'Valuation Chart'!$B$6:$B$10</c:f>
              <c:strCache>
                <c:ptCount val="5"/>
                <c:pt idx="0">
                  <c:v>DCF - Base Case</c:v>
                </c:pt>
                <c:pt idx="1">
                  <c:v>APV - Base Case</c:v>
                </c:pt>
                <c:pt idx="2">
                  <c:v>Stock Price + Control Premium</c:v>
                </c:pt>
                <c:pt idx="3">
                  <c:v>Public Comps</c:v>
                </c:pt>
                <c:pt idx="4">
                  <c:v>M&amp;A Comps</c:v>
                </c:pt>
              </c:strCache>
            </c:strRef>
          </c:cat>
          <c:val>
            <c:numRef>
              <c:f>'Valuation Chart'!$D$6:$D$10</c:f>
              <c:numCache>
                <c:formatCode>"$"\ #,##0;"$"\ \-#,##0</c:formatCode>
                <c:ptCount val="5"/>
                <c:pt idx="0">
                  <c:v>5013.9816382556774</c:v>
                </c:pt>
                <c:pt idx="1">
                  <c:v>4927.0539125766709</c:v>
                </c:pt>
                <c:pt idx="2">
                  <c:v>4680.1217076923076</c:v>
                </c:pt>
                <c:pt idx="3">
                  <c:v>6207.0185499999989</c:v>
                </c:pt>
                <c:pt idx="4">
                  <c:v>3625.4185500000012</c:v>
                </c:pt>
              </c:numCache>
            </c:numRef>
          </c:val>
          <c:extLst>
            <c:ext xmlns:c16="http://schemas.microsoft.com/office/drawing/2014/chart" uri="{C3380CC4-5D6E-409C-BE32-E72D297353CC}">
              <c16:uniqueId val="{00000000-6A21-45D9-9A40-418A4ED76872}"/>
            </c:ext>
          </c:extLst>
        </c:ser>
        <c:ser>
          <c:idx val="2"/>
          <c:order val="1"/>
          <c:spPr>
            <a:solidFill>
              <a:srgbClr val="000000"/>
            </a:solidFill>
            <a:ln w="12700">
              <a:solidFill>
                <a:srgbClr val="000000"/>
              </a:solidFill>
              <a:prstDash val="solid"/>
            </a:ln>
          </c:spPr>
          <c:invertIfNegative val="0"/>
          <c:cat>
            <c:strRef>
              <c:f>'Valuation Chart'!$B$6:$B$10</c:f>
              <c:strCache>
                <c:ptCount val="5"/>
                <c:pt idx="0">
                  <c:v>DCF - Base Case</c:v>
                </c:pt>
                <c:pt idx="1">
                  <c:v>APV - Base Case</c:v>
                </c:pt>
                <c:pt idx="2">
                  <c:v>Stock Price + Control Premium</c:v>
                </c:pt>
                <c:pt idx="3">
                  <c:v>Public Comps</c:v>
                </c:pt>
                <c:pt idx="4">
                  <c:v>M&amp;A Comps</c:v>
                </c:pt>
              </c:strCache>
            </c:strRef>
          </c:cat>
          <c:val>
            <c:numRef>
              <c:f>'Valuation Chart'!$M$6:$M$10</c:f>
              <c:numCache>
                <c:formatCode>"$"\ #,##0;"$"\ \-#,##0</c:formatCode>
                <c:ptCount val="5"/>
                <c:pt idx="0">
                  <c:v>958.9984019656813</c:v>
                </c:pt>
                <c:pt idx="1">
                  <c:v>1160.3005713757739</c:v>
                </c:pt>
                <c:pt idx="2">
                  <c:v>2368.7957107190023</c:v>
                </c:pt>
                <c:pt idx="3">
                  <c:v>4409</c:v>
                </c:pt>
                <c:pt idx="4">
                  <c:v>4838.2800000000034</c:v>
                </c:pt>
              </c:numCache>
            </c:numRef>
          </c:val>
          <c:extLst>
            <c:ext xmlns:c16="http://schemas.microsoft.com/office/drawing/2014/chart" uri="{C3380CC4-5D6E-409C-BE32-E72D297353CC}">
              <c16:uniqueId val="{00000001-6A21-45D9-9A40-418A4ED76872}"/>
            </c:ext>
          </c:extLst>
        </c:ser>
        <c:dLbls>
          <c:showLegendKey val="0"/>
          <c:showVal val="0"/>
          <c:showCatName val="0"/>
          <c:showSerName val="0"/>
          <c:showPercent val="0"/>
          <c:showBubbleSize val="0"/>
        </c:dLbls>
        <c:gapWidth val="150"/>
        <c:overlap val="100"/>
        <c:axId val="1480590576"/>
        <c:axId val="1"/>
      </c:barChart>
      <c:catAx>
        <c:axId val="148059057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50"/>
            </a:pPr>
            <a:endParaRPr lang="es-AR"/>
          </a:p>
        </c:txPr>
        <c:crossAx val="1"/>
        <c:crosses val="autoZero"/>
        <c:auto val="1"/>
        <c:lblAlgn val="ctr"/>
        <c:lblOffset val="100"/>
        <c:tickLblSkip val="1"/>
        <c:tickMarkSkip val="1"/>
        <c:noMultiLvlLbl val="0"/>
      </c:catAx>
      <c:valAx>
        <c:axId val="1"/>
        <c:scaling>
          <c:orientation val="minMax"/>
          <c:max val="12500"/>
          <c:min val="2000"/>
        </c:scaling>
        <c:delete val="0"/>
        <c:axPos val="b"/>
        <c:majorGridlines>
          <c:spPr>
            <a:ln w="3175">
              <a:solidFill>
                <a:srgbClr val="000000"/>
              </a:solidFill>
              <a:prstDash val="sysDash"/>
            </a:ln>
          </c:spPr>
        </c:majorGridlines>
        <c:numFmt formatCode="\$\ #,##0;\$\ \-#,##0" sourceLinked="0"/>
        <c:majorTickMark val="out"/>
        <c:minorTickMark val="none"/>
        <c:tickLblPos val="nextTo"/>
        <c:spPr>
          <a:ln w="3175">
            <a:solidFill>
              <a:srgbClr val="000000"/>
            </a:solidFill>
            <a:prstDash val="solid"/>
          </a:ln>
        </c:spPr>
        <c:txPr>
          <a:bodyPr rot="2640000" vert="horz"/>
          <a:lstStyle/>
          <a:p>
            <a:pPr>
              <a:defRPr/>
            </a:pPr>
            <a:endParaRPr lang="es-AR"/>
          </a:p>
        </c:txPr>
        <c:crossAx val="1480590576"/>
        <c:crosses val="autoZero"/>
        <c:crossBetween val="between"/>
        <c:majorUnit val="500"/>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mn-lt"/>
          <a:ea typeface="Arial"/>
          <a:cs typeface="Arial"/>
        </a:defRPr>
      </a:pPr>
      <a:endParaRPr lang="es-AR"/>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709771855441143E-2"/>
          <c:y val="3.9173921970113143E-2"/>
          <c:w val="0.87614492899925966"/>
          <c:h val="0.79674720147161093"/>
        </c:manualLayout>
      </c:layout>
      <c:lineChart>
        <c:grouping val="standard"/>
        <c:varyColors val="0"/>
        <c:ser>
          <c:idx val="0"/>
          <c:order val="0"/>
          <c:tx>
            <c:strRef>
              <c:f>Exhibits!$EH$28</c:f>
              <c:strCache>
                <c:ptCount val="1"/>
                <c:pt idx="0">
                  <c:v>PNRA</c:v>
                </c:pt>
              </c:strCache>
            </c:strRef>
          </c:tx>
          <c:spPr>
            <a:ln w="12700" cap="rnd">
              <a:solidFill>
                <a:schemeClr val="accent1"/>
              </a:solidFill>
              <a:round/>
            </a:ln>
            <a:effectLst/>
          </c:spPr>
          <c:marker>
            <c:symbol val="none"/>
          </c:marker>
          <c:cat>
            <c:numRef>
              <c:f>Exhibits!$EE$102:$EE$859</c:f>
              <c:numCache>
                <c:formatCode>m/d/yyyy</c:formatCode>
                <c:ptCount val="758"/>
                <c:pt idx="0">
                  <c:v>42825</c:v>
                </c:pt>
                <c:pt idx="1">
                  <c:v>42824</c:v>
                </c:pt>
                <c:pt idx="2">
                  <c:v>42823</c:v>
                </c:pt>
                <c:pt idx="3">
                  <c:v>42822</c:v>
                </c:pt>
                <c:pt idx="4">
                  <c:v>42821</c:v>
                </c:pt>
                <c:pt idx="5">
                  <c:v>42818</c:v>
                </c:pt>
                <c:pt idx="6">
                  <c:v>42817</c:v>
                </c:pt>
                <c:pt idx="7">
                  <c:v>42816</c:v>
                </c:pt>
                <c:pt idx="8">
                  <c:v>42815</c:v>
                </c:pt>
                <c:pt idx="9">
                  <c:v>42814</c:v>
                </c:pt>
                <c:pt idx="10">
                  <c:v>42811</c:v>
                </c:pt>
                <c:pt idx="11">
                  <c:v>42810</c:v>
                </c:pt>
                <c:pt idx="12">
                  <c:v>42809</c:v>
                </c:pt>
                <c:pt idx="13">
                  <c:v>42808</c:v>
                </c:pt>
                <c:pt idx="14">
                  <c:v>42807</c:v>
                </c:pt>
                <c:pt idx="15">
                  <c:v>42804</c:v>
                </c:pt>
                <c:pt idx="16">
                  <c:v>42803</c:v>
                </c:pt>
                <c:pt idx="17">
                  <c:v>42802</c:v>
                </c:pt>
                <c:pt idx="18">
                  <c:v>42801</c:v>
                </c:pt>
                <c:pt idx="19">
                  <c:v>42800</c:v>
                </c:pt>
                <c:pt idx="20">
                  <c:v>42797</c:v>
                </c:pt>
                <c:pt idx="21">
                  <c:v>42796</c:v>
                </c:pt>
                <c:pt idx="22">
                  <c:v>42795</c:v>
                </c:pt>
                <c:pt idx="23">
                  <c:v>42794</c:v>
                </c:pt>
                <c:pt idx="24">
                  <c:v>42793</c:v>
                </c:pt>
                <c:pt idx="25">
                  <c:v>42790</c:v>
                </c:pt>
                <c:pt idx="26">
                  <c:v>42789</c:v>
                </c:pt>
                <c:pt idx="27">
                  <c:v>42788</c:v>
                </c:pt>
                <c:pt idx="28">
                  <c:v>42787</c:v>
                </c:pt>
                <c:pt idx="29">
                  <c:v>42783</c:v>
                </c:pt>
                <c:pt idx="30">
                  <c:v>42782</c:v>
                </c:pt>
                <c:pt idx="31">
                  <c:v>42781</c:v>
                </c:pt>
                <c:pt idx="32">
                  <c:v>42780</c:v>
                </c:pt>
                <c:pt idx="33">
                  <c:v>42779</c:v>
                </c:pt>
                <c:pt idx="34">
                  <c:v>42776</c:v>
                </c:pt>
                <c:pt idx="35">
                  <c:v>42775</c:v>
                </c:pt>
                <c:pt idx="36">
                  <c:v>42774</c:v>
                </c:pt>
                <c:pt idx="37">
                  <c:v>42773</c:v>
                </c:pt>
                <c:pt idx="38">
                  <c:v>42772</c:v>
                </c:pt>
                <c:pt idx="39">
                  <c:v>42769</c:v>
                </c:pt>
                <c:pt idx="40">
                  <c:v>42768</c:v>
                </c:pt>
                <c:pt idx="41">
                  <c:v>42767</c:v>
                </c:pt>
                <c:pt idx="42">
                  <c:v>42766</c:v>
                </c:pt>
                <c:pt idx="43">
                  <c:v>42765</c:v>
                </c:pt>
                <c:pt idx="44">
                  <c:v>42762</c:v>
                </c:pt>
                <c:pt idx="45">
                  <c:v>42761</c:v>
                </c:pt>
                <c:pt idx="46">
                  <c:v>42760</c:v>
                </c:pt>
                <c:pt idx="47">
                  <c:v>42759</c:v>
                </c:pt>
                <c:pt idx="48">
                  <c:v>42758</c:v>
                </c:pt>
                <c:pt idx="49">
                  <c:v>42755</c:v>
                </c:pt>
                <c:pt idx="50">
                  <c:v>42754</c:v>
                </c:pt>
                <c:pt idx="51">
                  <c:v>42753</c:v>
                </c:pt>
                <c:pt idx="52">
                  <c:v>42752</c:v>
                </c:pt>
                <c:pt idx="53">
                  <c:v>42748</c:v>
                </c:pt>
                <c:pt idx="54">
                  <c:v>42747</c:v>
                </c:pt>
                <c:pt idx="55">
                  <c:v>42746</c:v>
                </c:pt>
                <c:pt idx="56">
                  <c:v>42745</c:v>
                </c:pt>
                <c:pt idx="57">
                  <c:v>42744</c:v>
                </c:pt>
                <c:pt idx="58">
                  <c:v>42741</c:v>
                </c:pt>
                <c:pt idx="59">
                  <c:v>42740</c:v>
                </c:pt>
                <c:pt idx="60">
                  <c:v>42739</c:v>
                </c:pt>
                <c:pt idx="61">
                  <c:v>42738</c:v>
                </c:pt>
                <c:pt idx="62">
                  <c:v>42734</c:v>
                </c:pt>
                <c:pt idx="63">
                  <c:v>42733</c:v>
                </c:pt>
                <c:pt idx="64">
                  <c:v>42732</c:v>
                </c:pt>
                <c:pt idx="65">
                  <c:v>42731</c:v>
                </c:pt>
                <c:pt idx="66">
                  <c:v>42727</c:v>
                </c:pt>
                <c:pt idx="67">
                  <c:v>42726</c:v>
                </c:pt>
                <c:pt idx="68">
                  <c:v>42725</c:v>
                </c:pt>
                <c:pt idx="69">
                  <c:v>42724</c:v>
                </c:pt>
                <c:pt idx="70">
                  <c:v>42723</c:v>
                </c:pt>
                <c:pt idx="71">
                  <c:v>42720</c:v>
                </c:pt>
                <c:pt idx="72">
                  <c:v>42719</c:v>
                </c:pt>
                <c:pt idx="73">
                  <c:v>42718</c:v>
                </c:pt>
                <c:pt idx="74">
                  <c:v>42717</c:v>
                </c:pt>
                <c:pt idx="75">
                  <c:v>42716</c:v>
                </c:pt>
                <c:pt idx="76">
                  <c:v>42713</c:v>
                </c:pt>
                <c:pt idx="77">
                  <c:v>42712</c:v>
                </c:pt>
                <c:pt idx="78">
                  <c:v>42711</c:v>
                </c:pt>
                <c:pt idx="79">
                  <c:v>42710</c:v>
                </c:pt>
                <c:pt idx="80">
                  <c:v>42709</c:v>
                </c:pt>
                <c:pt idx="81">
                  <c:v>42706</c:v>
                </c:pt>
                <c:pt idx="82">
                  <c:v>42705</c:v>
                </c:pt>
                <c:pt idx="83">
                  <c:v>42704</c:v>
                </c:pt>
                <c:pt idx="84">
                  <c:v>42703</c:v>
                </c:pt>
                <c:pt idx="85">
                  <c:v>42702</c:v>
                </c:pt>
                <c:pt idx="86">
                  <c:v>42699</c:v>
                </c:pt>
                <c:pt idx="87">
                  <c:v>42697</c:v>
                </c:pt>
                <c:pt idx="88">
                  <c:v>42696</c:v>
                </c:pt>
                <c:pt idx="89">
                  <c:v>42695</c:v>
                </c:pt>
                <c:pt idx="90">
                  <c:v>42692</c:v>
                </c:pt>
                <c:pt idx="91">
                  <c:v>42691</c:v>
                </c:pt>
                <c:pt idx="92">
                  <c:v>42690</c:v>
                </c:pt>
                <c:pt idx="93">
                  <c:v>42689</c:v>
                </c:pt>
                <c:pt idx="94">
                  <c:v>42688</c:v>
                </c:pt>
                <c:pt idx="95">
                  <c:v>42685</c:v>
                </c:pt>
                <c:pt idx="96">
                  <c:v>42684</c:v>
                </c:pt>
                <c:pt idx="97">
                  <c:v>42683</c:v>
                </c:pt>
                <c:pt idx="98">
                  <c:v>42682</c:v>
                </c:pt>
                <c:pt idx="99">
                  <c:v>42681</c:v>
                </c:pt>
                <c:pt idx="100">
                  <c:v>42678</c:v>
                </c:pt>
                <c:pt idx="101">
                  <c:v>42677</c:v>
                </c:pt>
                <c:pt idx="102">
                  <c:v>42676</c:v>
                </c:pt>
                <c:pt idx="103">
                  <c:v>42675</c:v>
                </c:pt>
                <c:pt idx="104">
                  <c:v>42674</c:v>
                </c:pt>
                <c:pt idx="105">
                  <c:v>42671</c:v>
                </c:pt>
                <c:pt idx="106">
                  <c:v>42670</c:v>
                </c:pt>
                <c:pt idx="107">
                  <c:v>42669</c:v>
                </c:pt>
                <c:pt idx="108">
                  <c:v>42668</c:v>
                </c:pt>
                <c:pt idx="109">
                  <c:v>42667</c:v>
                </c:pt>
                <c:pt idx="110">
                  <c:v>42664</c:v>
                </c:pt>
                <c:pt idx="111">
                  <c:v>42663</c:v>
                </c:pt>
                <c:pt idx="112">
                  <c:v>42662</c:v>
                </c:pt>
                <c:pt idx="113">
                  <c:v>42661</c:v>
                </c:pt>
                <c:pt idx="114">
                  <c:v>42660</c:v>
                </c:pt>
                <c:pt idx="115">
                  <c:v>42657</c:v>
                </c:pt>
                <c:pt idx="116">
                  <c:v>42656</c:v>
                </c:pt>
                <c:pt idx="117">
                  <c:v>42655</c:v>
                </c:pt>
                <c:pt idx="118">
                  <c:v>42654</c:v>
                </c:pt>
                <c:pt idx="119">
                  <c:v>42653</c:v>
                </c:pt>
                <c:pt idx="120">
                  <c:v>42650</c:v>
                </c:pt>
                <c:pt idx="121">
                  <c:v>42649</c:v>
                </c:pt>
                <c:pt idx="122">
                  <c:v>42648</c:v>
                </c:pt>
                <c:pt idx="123">
                  <c:v>42647</c:v>
                </c:pt>
                <c:pt idx="124">
                  <c:v>42646</c:v>
                </c:pt>
                <c:pt idx="125">
                  <c:v>42643</c:v>
                </c:pt>
                <c:pt idx="126">
                  <c:v>42642</c:v>
                </c:pt>
                <c:pt idx="127">
                  <c:v>42641</c:v>
                </c:pt>
                <c:pt idx="128">
                  <c:v>42640</c:v>
                </c:pt>
                <c:pt idx="129">
                  <c:v>42639</c:v>
                </c:pt>
                <c:pt idx="130">
                  <c:v>42636</c:v>
                </c:pt>
                <c:pt idx="131">
                  <c:v>42635</c:v>
                </c:pt>
                <c:pt idx="132">
                  <c:v>42634</c:v>
                </c:pt>
                <c:pt idx="133">
                  <c:v>42633</c:v>
                </c:pt>
                <c:pt idx="134">
                  <c:v>42632</c:v>
                </c:pt>
                <c:pt idx="135">
                  <c:v>42629</c:v>
                </c:pt>
                <c:pt idx="136">
                  <c:v>42628</c:v>
                </c:pt>
                <c:pt idx="137">
                  <c:v>42627</c:v>
                </c:pt>
                <c:pt idx="138">
                  <c:v>42626</c:v>
                </c:pt>
                <c:pt idx="139">
                  <c:v>42625</c:v>
                </c:pt>
                <c:pt idx="140">
                  <c:v>42622</c:v>
                </c:pt>
                <c:pt idx="141">
                  <c:v>42621</c:v>
                </c:pt>
                <c:pt idx="142">
                  <c:v>42620</c:v>
                </c:pt>
                <c:pt idx="143">
                  <c:v>42619</c:v>
                </c:pt>
                <c:pt idx="144">
                  <c:v>42615</c:v>
                </c:pt>
                <c:pt idx="145">
                  <c:v>42614</c:v>
                </c:pt>
                <c:pt idx="146">
                  <c:v>42613</c:v>
                </c:pt>
                <c:pt idx="147">
                  <c:v>42612</c:v>
                </c:pt>
                <c:pt idx="148">
                  <c:v>42611</c:v>
                </c:pt>
                <c:pt idx="149">
                  <c:v>42608</c:v>
                </c:pt>
                <c:pt idx="150">
                  <c:v>42607</c:v>
                </c:pt>
                <c:pt idx="151">
                  <c:v>42606</c:v>
                </c:pt>
                <c:pt idx="152">
                  <c:v>42605</c:v>
                </c:pt>
                <c:pt idx="153">
                  <c:v>42604</c:v>
                </c:pt>
                <c:pt idx="154">
                  <c:v>42601</c:v>
                </c:pt>
                <c:pt idx="155">
                  <c:v>42600</c:v>
                </c:pt>
                <c:pt idx="156">
                  <c:v>42599</c:v>
                </c:pt>
                <c:pt idx="157">
                  <c:v>42598</c:v>
                </c:pt>
                <c:pt idx="158">
                  <c:v>42597</c:v>
                </c:pt>
                <c:pt idx="159">
                  <c:v>42594</c:v>
                </c:pt>
                <c:pt idx="160">
                  <c:v>42593</c:v>
                </c:pt>
                <c:pt idx="161">
                  <c:v>42592</c:v>
                </c:pt>
                <c:pt idx="162">
                  <c:v>42591</c:v>
                </c:pt>
                <c:pt idx="163">
                  <c:v>42590</c:v>
                </c:pt>
                <c:pt idx="164">
                  <c:v>42587</c:v>
                </c:pt>
                <c:pt idx="165">
                  <c:v>42586</c:v>
                </c:pt>
                <c:pt idx="166">
                  <c:v>42585</c:v>
                </c:pt>
                <c:pt idx="167">
                  <c:v>42584</c:v>
                </c:pt>
                <c:pt idx="168">
                  <c:v>42583</c:v>
                </c:pt>
                <c:pt idx="169">
                  <c:v>42580</c:v>
                </c:pt>
                <c:pt idx="170">
                  <c:v>42579</c:v>
                </c:pt>
                <c:pt idx="171">
                  <c:v>42578</c:v>
                </c:pt>
                <c:pt idx="172">
                  <c:v>42577</c:v>
                </c:pt>
                <c:pt idx="173">
                  <c:v>42576</c:v>
                </c:pt>
                <c:pt idx="174">
                  <c:v>42573</c:v>
                </c:pt>
                <c:pt idx="175">
                  <c:v>42572</c:v>
                </c:pt>
                <c:pt idx="176">
                  <c:v>42571</c:v>
                </c:pt>
                <c:pt idx="177">
                  <c:v>42570</c:v>
                </c:pt>
                <c:pt idx="178">
                  <c:v>42569</c:v>
                </c:pt>
                <c:pt idx="179">
                  <c:v>42566</c:v>
                </c:pt>
                <c:pt idx="180">
                  <c:v>42565</c:v>
                </c:pt>
                <c:pt idx="181">
                  <c:v>42564</c:v>
                </c:pt>
                <c:pt idx="182">
                  <c:v>42563</c:v>
                </c:pt>
                <c:pt idx="183">
                  <c:v>42562</c:v>
                </c:pt>
                <c:pt idx="184">
                  <c:v>42559</c:v>
                </c:pt>
                <c:pt idx="185">
                  <c:v>42558</c:v>
                </c:pt>
                <c:pt idx="186">
                  <c:v>42557</c:v>
                </c:pt>
                <c:pt idx="187">
                  <c:v>42556</c:v>
                </c:pt>
                <c:pt idx="188">
                  <c:v>42552</c:v>
                </c:pt>
                <c:pt idx="189">
                  <c:v>42551</c:v>
                </c:pt>
                <c:pt idx="190">
                  <c:v>42550</c:v>
                </c:pt>
                <c:pt idx="191">
                  <c:v>42549</c:v>
                </c:pt>
                <c:pt idx="192">
                  <c:v>42548</c:v>
                </c:pt>
                <c:pt idx="193">
                  <c:v>42545</c:v>
                </c:pt>
                <c:pt idx="194">
                  <c:v>42544</c:v>
                </c:pt>
                <c:pt idx="195">
                  <c:v>42543</c:v>
                </c:pt>
                <c:pt idx="196">
                  <c:v>42542</c:v>
                </c:pt>
                <c:pt idx="197">
                  <c:v>42541</c:v>
                </c:pt>
                <c:pt idx="198">
                  <c:v>42538</c:v>
                </c:pt>
                <c:pt idx="199">
                  <c:v>42537</c:v>
                </c:pt>
                <c:pt idx="200">
                  <c:v>42536</c:v>
                </c:pt>
                <c:pt idx="201">
                  <c:v>42535</c:v>
                </c:pt>
                <c:pt idx="202">
                  <c:v>42534</c:v>
                </c:pt>
                <c:pt idx="203">
                  <c:v>42531</c:v>
                </c:pt>
                <c:pt idx="204">
                  <c:v>42530</c:v>
                </c:pt>
                <c:pt idx="205">
                  <c:v>42529</c:v>
                </c:pt>
                <c:pt idx="206">
                  <c:v>42528</c:v>
                </c:pt>
                <c:pt idx="207">
                  <c:v>42527</c:v>
                </c:pt>
                <c:pt idx="208">
                  <c:v>42524</c:v>
                </c:pt>
                <c:pt idx="209">
                  <c:v>42523</c:v>
                </c:pt>
                <c:pt idx="210">
                  <c:v>42522</c:v>
                </c:pt>
                <c:pt idx="211">
                  <c:v>42521</c:v>
                </c:pt>
                <c:pt idx="212">
                  <c:v>42517</c:v>
                </c:pt>
                <c:pt idx="213">
                  <c:v>42516</c:v>
                </c:pt>
                <c:pt idx="214">
                  <c:v>42515</c:v>
                </c:pt>
                <c:pt idx="215">
                  <c:v>42514</c:v>
                </c:pt>
                <c:pt idx="216">
                  <c:v>42513</c:v>
                </c:pt>
                <c:pt idx="217">
                  <c:v>42510</c:v>
                </c:pt>
                <c:pt idx="218">
                  <c:v>42509</c:v>
                </c:pt>
                <c:pt idx="219">
                  <c:v>42508</c:v>
                </c:pt>
                <c:pt idx="220">
                  <c:v>42507</c:v>
                </c:pt>
                <c:pt idx="221">
                  <c:v>42506</c:v>
                </c:pt>
                <c:pt idx="222">
                  <c:v>42503</c:v>
                </c:pt>
                <c:pt idx="223">
                  <c:v>42502</c:v>
                </c:pt>
                <c:pt idx="224">
                  <c:v>42501</c:v>
                </c:pt>
                <c:pt idx="225">
                  <c:v>42500</c:v>
                </c:pt>
                <c:pt idx="226">
                  <c:v>42499</c:v>
                </c:pt>
                <c:pt idx="227">
                  <c:v>42496</c:v>
                </c:pt>
                <c:pt idx="228">
                  <c:v>42495</c:v>
                </c:pt>
                <c:pt idx="229">
                  <c:v>42494</c:v>
                </c:pt>
                <c:pt idx="230">
                  <c:v>42493</c:v>
                </c:pt>
                <c:pt idx="231">
                  <c:v>42492</c:v>
                </c:pt>
                <c:pt idx="232">
                  <c:v>42489</c:v>
                </c:pt>
                <c:pt idx="233">
                  <c:v>42488</c:v>
                </c:pt>
                <c:pt idx="234">
                  <c:v>42487</c:v>
                </c:pt>
                <c:pt idx="235">
                  <c:v>42486</c:v>
                </c:pt>
                <c:pt idx="236">
                  <c:v>42485</c:v>
                </c:pt>
                <c:pt idx="237">
                  <c:v>42482</c:v>
                </c:pt>
                <c:pt idx="238">
                  <c:v>42481</c:v>
                </c:pt>
                <c:pt idx="239">
                  <c:v>42480</c:v>
                </c:pt>
                <c:pt idx="240">
                  <c:v>42479</c:v>
                </c:pt>
                <c:pt idx="241">
                  <c:v>42478</c:v>
                </c:pt>
                <c:pt idx="242">
                  <c:v>42475</c:v>
                </c:pt>
                <c:pt idx="243">
                  <c:v>42474</c:v>
                </c:pt>
                <c:pt idx="244">
                  <c:v>42473</c:v>
                </c:pt>
                <c:pt idx="245">
                  <c:v>42472</c:v>
                </c:pt>
                <c:pt idx="246">
                  <c:v>42471</c:v>
                </c:pt>
                <c:pt idx="247">
                  <c:v>42468</c:v>
                </c:pt>
                <c:pt idx="248">
                  <c:v>42467</c:v>
                </c:pt>
                <c:pt idx="249">
                  <c:v>42466</c:v>
                </c:pt>
                <c:pt idx="250">
                  <c:v>42465</c:v>
                </c:pt>
                <c:pt idx="251">
                  <c:v>42464</c:v>
                </c:pt>
                <c:pt idx="252">
                  <c:v>42461</c:v>
                </c:pt>
                <c:pt idx="253">
                  <c:v>42460</c:v>
                </c:pt>
                <c:pt idx="254">
                  <c:v>42459</c:v>
                </c:pt>
                <c:pt idx="255">
                  <c:v>42458</c:v>
                </c:pt>
                <c:pt idx="256">
                  <c:v>42457</c:v>
                </c:pt>
                <c:pt idx="257">
                  <c:v>42453</c:v>
                </c:pt>
                <c:pt idx="258">
                  <c:v>42452</c:v>
                </c:pt>
                <c:pt idx="259">
                  <c:v>42451</c:v>
                </c:pt>
                <c:pt idx="260">
                  <c:v>42450</c:v>
                </c:pt>
                <c:pt idx="261">
                  <c:v>42447</c:v>
                </c:pt>
                <c:pt idx="262">
                  <c:v>42446</c:v>
                </c:pt>
                <c:pt idx="263">
                  <c:v>42445</c:v>
                </c:pt>
                <c:pt idx="264">
                  <c:v>42444</c:v>
                </c:pt>
                <c:pt idx="265">
                  <c:v>42443</c:v>
                </c:pt>
                <c:pt idx="266">
                  <c:v>42440</c:v>
                </c:pt>
                <c:pt idx="267">
                  <c:v>42439</c:v>
                </c:pt>
                <c:pt idx="268">
                  <c:v>42438</c:v>
                </c:pt>
                <c:pt idx="269">
                  <c:v>42437</c:v>
                </c:pt>
                <c:pt idx="270">
                  <c:v>42436</c:v>
                </c:pt>
                <c:pt idx="271">
                  <c:v>42433</c:v>
                </c:pt>
                <c:pt idx="272">
                  <c:v>42432</c:v>
                </c:pt>
                <c:pt idx="273">
                  <c:v>42431</c:v>
                </c:pt>
                <c:pt idx="274">
                  <c:v>42430</c:v>
                </c:pt>
                <c:pt idx="275">
                  <c:v>42429</c:v>
                </c:pt>
                <c:pt idx="276">
                  <c:v>42426</c:v>
                </c:pt>
                <c:pt idx="277">
                  <c:v>42425</c:v>
                </c:pt>
                <c:pt idx="278">
                  <c:v>42424</c:v>
                </c:pt>
                <c:pt idx="279">
                  <c:v>42423</c:v>
                </c:pt>
                <c:pt idx="280">
                  <c:v>42422</c:v>
                </c:pt>
                <c:pt idx="281">
                  <c:v>42419</c:v>
                </c:pt>
                <c:pt idx="282">
                  <c:v>42418</c:v>
                </c:pt>
                <c:pt idx="283">
                  <c:v>42417</c:v>
                </c:pt>
                <c:pt idx="284">
                  <c:v>42416</c:v>
                </c:pt>
                <c:pt idx="285">
                  <c:v>42412</c:v>
                </c:pt>
                <c:pt idx="286">
                  <c:v>42411</c:v>
                </c:pt>
                <c:pt idx="287">
                  <c:v>42410</c:v>
                </c:pt>
                <c:pt idx="288">
                  <c:v>42409</c:v>
                </c:pt>
                <c:pt idx="289">
                  <c:v>42408</c:v>
                </c:pt>
                <c:pt idx="290">
                  <c:v>42405</c:v>
                </c:pt>
                <c:pt idx="291">
                  <c:v>42404</c:v>
                </c:pt>
                <c:pt idx="292">
                  <c:v>42403</c:v>
                </c:pt>
                <c:pt idx="293">
                  <c:v>42402</c:v>
                </c:pt>
                <c:pt idx="294">
                  <c:v>42401</c:v>
                </c:pt>
                <c:pt idx="295">
                  <c:v>42398</c:v>
                </c:pt>
                <c:pt idx="296">
                  <c:v>42397</c:v>
                </c:pt>
                <c:pt idx="297">
                  <c:v>42396</c:v>
                </c:pt>
                <c:pt idx="298">
                  <c:v>42395</c:v>
                </c:pt>
                <c:pt idx="299">
                  <c:v>42394</c:v>
                </c:pt>
                <c:pt idx="300">
                  <c:v>42391</c:v>
                </c:pt>
                <c:pt idx="301">
                  <c:v>42390</c:v>
                </c:pt>
                <c:pt idx="302">
                  <c:v>42389</c:v>
                </c:pt>
                <c:pt idx="303">
                  <c:v>42388</c:v>
                </c:pt>
                <c:pt idx="304">
                  <c:v>42384</c:v>
                </c:pt>
                <c:pt idx="305">
                  <c:v>42383</c:v>
                </c:pt>
                <c:pt idx="306">
                  <c:v>42382</c:v>
                </c:pt>
                <c:pt idx="307">
                  <c:v>42381</c:v>
                </c:pt>
                <c:pt idx="308">
                  <c:v>42380</c:v>
                </c:pt>
                <c:pt idx="309">
                  <c:v>42377</c:v>
                </c:pt>
                <c:pt idx="310">
                  <c:v>42376</c:v>
                </c:pt>
                <c:pt idx="311">
                  <c:v>42375</c:v>
                </c:pt>
                <c:pt idx="312">
                  <c:v>42374</c:v>
                </c:pt>
                <c:pt idx="313">
                  <c:v>42373</c:v>
                </c:pt>
                <c:pt idx="314">
                  <c:v>42369</c:v>
                </c:pt>
                <c:pt idx="315">
                  <c:v>42368</c:v>
                </c:pt>
                <c:pt idx="316">
                  <c:v>42367</c:v>
                </c:pt>
                <c:pt idx="317">
                  <c:v>42366</c:v>
                </c:pt>
                <c:pt idx="318">
                  <c:v>42362</c:v>
                </c:pt>
                <c:pt idx="319">
                  <c:v>42361</c:v>
                </c:pt>
                <c:pt idx="320">
                  <c:v>42360</c:v>
                </c:pt>
                <c:pt idx="321">
                  <c:v>42359</c:v>
                </c:pt>
                <c:pt idx="322">
                  <c:v>42356</c:v>
                </c:pt>
                <c:pt idx="323">
                  <c:v>42355</c:v>
                </c:pt>
                <c:pt idx="324">
                  <c:v>42354</c:v>
                </c:pt>
                <c:pt idx="325">
                  <c:v>42353</c:v>
                </c:pt>
                <c:pt idx="326">
                  <c:v>42352</c:v>
                </c:pt>
                <c:pt idx="327">
                  <c:v>42349</c:v>
                </c:pt>
                <c:pt idx="328">
                  <c:v>42348</c:v>
                </c:pt>
                <c:pt idx="329">
                  <c:v>42347</c:v>
                </c:pt>
                <c:pt idx="330">
                  <c:v>42346</c:v>
                </c:pt>
                <c:pt idx="331">
                  <c:v>42345</c:v>
                </c:pt>
                <c:pt idx="332">
                  <c:v>42342</c:v>
                </c:pt>
                <c:pt idx="333">
                  <c:v>42341</c:v>
                </c:pt>
                <c:pt idx="334">
                  <c:v>42340</c:v>
                </c:pt>
                <c:pt idx="335">
                  <c:v>42339</c:v>
                </c:pt>
                <c:pt idx="336">
                  <c:v>42338</c:v>
                </c:pt>
                <c:pt idx="337">
                  <c:v>42335</c:v>
                </c:pt>
                <c:pt idx="338">
                  <c:v>42333</c:v>
                </c:pt>
                <c:pt idx="339">
                  <c:v>42332</c:v>
                </c:pt>
                <c:pt idx="340">
                  <c:v>42331</c:v>
                </c:pt>
                <c:pt idx="341">
                  <c:v>42328</c:v>
                </c:pt>
                <c:pt idx="342">
                  <c:v>42327</c:v>
                </c:pt>
                <c:pt idx="343">
                  <c:v>42326</c:v>
                </c:pt>
                <c:pt idx="344">
                  <c:v>42325</c:v>
                </c:pt>
                <c:pt idx="345">
                  <c:v>42324</c:v>
                </c:pt>
                <c:pt idx="346">
                  <c:v>42321</c:v>
                </c:pt>
                <c:pt idx="347">
                  <c:v>42320</c:v>
                </c:pt>
                <c:pt idx="348">
                  <c:v>42319</c:v>
                </c:pt>
                <c:pt idx="349">
                  <c:v>42318</c:v>
                </c:pt>
                <c:pt idx="350">
                  <c:v>42317</c:v>
                </c:pt>
                <c:pt idx="351">
                  <c:v>42314</c:v>
                </c:pt>
                <c:pt idx="352">
                  <c:v>42313</c:v>
                </c:pt>
                <c:pt idx="353">
                  <c:v>42312</c:v>
                </c:pt>
                <c:pt idx="354">
                  <c:v>42311</c:v>
                </c:pt>
                <c:pt idx="355">
                  <c:v>42310</c:v>
                </c:pt>
                <c:pt idx="356">
                  <c:v>42307</c:v>
                </c:pt>
                <c:pt idx="357">
                  <c:v>42306</c:v>
                </c:pt>
                <c:pt idx="358">
                  <c:v>42305</c:v>
                </c:pt>
                <c:pt idx="359">
                  <c:v>42304</c:v>
                </c:pt>
                <c:pt idx="360">
                  <c:v>42303</c:v>
                </c:pt>
                <c:pt idx="361">
                  <c:v>42300</c:v>
                </c:pt>
                <c:pt idx="362">
                  <c:v>42299</c:v>
                </c:pt>
                <c:pt idx="363">
                  <c:v>42298</c:v>
                </c:pt>
                <c:pt idx="364">
                  <c:v>42297</c:v>
                </c:pt>
                <c:pt idx="365">
                  <c:v>42296</c:v>
                </c:pt>
                <c:pt idx="366">
                  <c:v>42293</c:v>
                </c:pt>
                <c:pt idx="367">
                  <c:v>42292</c:v>
                </c:pt>
                <c:pt idx="368">
                  <c:v>42291</c:v>
                </c:pt>
                <c:pt idx="369">
                  <c:v>42290</c:v>
                </c:pt>
                <c:pt idx="370">
                  <c:v>42289</c:v>
                </c:pt>
                <c:pt idx="371">
                  <c:v>42286</c:v>
                </c:pt>
                <c:pt idx="372">
                  <c:v>42285</c:v>
                </c:pt>
                <c:pt idx="373">
                  <c:v>42284</c:v>
                </c:pt>
                <c:pt idx="374">
                  <c:v>42283</c:v>
                </c:pt>
                <c:pt idx="375">
                  <c:v>42282</c:v>
                </c:pt>
                <c:pt idx="376">
                  <c:v>42279</c:v>
                </c:pt>
                <c:pt idx="377">
                  <c:v>42278</c:v>
                </c:pt>
                <c:pt idx="378">
                  <c:v>42277</c:v>
                </c:pt>
                <c:pt idx="379">
                  <c:v>42276</c:v>
                </c:pt>
                <c:pt idx="380">
                  <c:v>42275</c:v>
                </c:pt>
                <c:pt idx="381">
                  <c:v>42272</c:v>
                </c:pt>
                <c:pt idx="382">
                  <c:v>42271</c:v>
                </c:pt>
                <c:pt idx="383">
                  <c:v>42270</c:v>
                </c:pt>
                <c:pt idx="384">
                  <c:v>42269</c:v>
                </c:pt>
                <c:pt idx="385">
                  <c:v>42268</c:v>
                </c:pt>
                <c:pt idx="386">
                  <c:v>42265</c:v>
                </c:pt>
                <c:pt idx="387">
                  <c:v>42264</c:v>
                </c:pt>
                <c:pt idx="388">
                  <c:v>42263</c:v>
                </c:pt>
                <c:pt idx="389">
                  <c:v>42262</c:v>
                </c:pt>
                <c:pt idx="390">
                  <c:v>42261</c:v>
                </c:pt>
                <c:pt idx="391">
                  <c:v>42258</c:v>
                </c:pt>
                <c:pt idx="392">
                  <c:v>42257</c:v>
                </c:pt>
                <c:pt idx="393">
                  <c:v>42256</c:v>
                </c:pt>
                <c:pt idx="394">
                  <c:v>42255</c:v>
                </c:pt>
                <c:pt idx="395">
                  <c:v>42251</c:v>
                </c:pt>
                <c:pt idx="396">
                  <c:v>42250</c:v>
                </c:pt>
                <c:pt idx="397">
                  <c:v>42249</c:v>
                </c:pt>
                <c:pt idx="398">
                  <c:v>42248</c:v>
                </c:pt>
                <c:pt idx="399">
                  <c:v>42247</c:v>
                </c:pt>
                <c:pt idx="400">
                  <c:v>42244</c:v>
                </c:pt>
                <c:pt idx="401">
                  <c:v>42243</c:v>
                </c:pt>
                <c:pt idx="402">
                  <c:v>42242</c:v>
                </c:pt>
                <c:pt idx="403">
                  <c:v>42241</c:v>
                </c:pt>
                <c:pt idx="404">
                  <c:v>42240</c:v>
                </c:pt>
                <c:pt idx="405">
                  <c:v>42237</c:v>
                </c:pt>
                <c:pt idx="406">
                  <c:v>42236</c:v>
                </c:pt>
                <c:pt idx="407">
                  <c:v>42235</c:v>
                </c:pt>
                <c:pt idx="408">
                  <c:v>42234</c:v>
                </c:pt>
                <c:pt idx="409">
                  <c:v>42233</c:v>
                </c:pt>
                <c:pt idx="410">
                  <c:v>42230</c:v>
                </c:pt>
                <c:pt idx="411">
                  <c:v>42229</c:v>
                </c:pt>
                <c:pt idx="412">
                  <c:v>42228</c:v>
                </c:pt>
                <c:pt idx="413">
                  <c:v>42227</c:v>
                </c:pt>
                <c:pt idx="414">
                  <c:v>42226</c:v>
                </c:pt>
                <c:pt idx="415">
                  <c:v>42223</c:v>
                </c:pt>
                <c:pt idx="416">
                  <c:v>42222</c:v>
                </c:pt>
                <c:pt idx="417">
                  <c:v>42221</c:v>
                </c:pt>
                <c:pt idx="418">
                  <c:v>42220</c:v>
                </c:pt>
                <c:pt idx="419">
                  <c:v>42219</c:v>
                </c:pt>
                <c:pt idx="420">
                  <c:v>42216</c:v>
                </c:pt>
                <c:pt idx="421">
                  <c:v>42215</c:v>
                </c:pt>
                <c:pt idx="422">
                  <c:v>42214</c:v>
                </c:pt>
                <c:pt idx="423">
                  <c:v>42213</c:v>
                </c:pt>
                <c:pt idx="424">
                  <c:v>42212</c:v>
                </c:pt>
                <c:pt idx="425">
                  <c:v>42209</c:v>
                </c:pt>
                <c:pt idx="426">
                  <c:v>42208</c:v>
                </c:pt>
                <c:pt idx="427">
                  <c:v>42207</c:v>
                </c:pt>
                <c:pt idx="428">
                  <c:v>42206</c:v>
                </c:pt>
                <c:pt idx="429">
                  <c:v>42205</c:v>
                </c:pt>
                <c:pt idx="430">
                  <c:v>42202</c:v>
                </c:pt>
                <c:pt idx="431">
                  <c:v>42201</c:v>
                </c:pt>
                <c:pt idx="432">
                  <c:v>42200</c:v>
                </c:pt>
                <c:pt idx="433">
                  <c:v>42199</c:v>
                </c:pt>
                <c:pt idx="434">
                  <c:v>42198</c:v>
                </c:pt>
                <c:pt idx="435">
                  <c:v>42195</c:v>
                </c:pt>
                <c:pt idx="436">
                  <c:v>42194</c:v>
                </c:pt>
                <c:pt idx="437">
                  <c:v>42193</c:v>
                </c:pt>
                <c:pt idx="438">
                  <c:v>42192</c:v>
                </c:pt>
                <c:pt idx="439">
                  <c:v>42191</c:v>
                </c:pt>
                <c:pt idx="440">
                  <c:v>42187</c:v>
                </c:pt>
                <c:pt idx="441">
                  <c:v>42186</c:v>
                </c:pt>
                <c:pt idx="442">
                  <c:v>42185</c:v>
                </c:pt>
                <c:pt idx="443">
                  <c:v>42184</c:v>
                </c:pt>
                <c:pt idx="444">
                  <c:v>42181</c:v>
                </c:pt>
                <c:pt idx="445">
                  <c:v>42180</c:v>
                </c:pt>
                <c:pt idx="446">
                  <c:v>42179</c:v>
                </c:pt>
                <c:pt idx="447">
                  <c:v>42178</c:v>
                </c:pt>
                <c:pt idx="448">
                  <c:v>42177</c:v>
                </c:pt>
                <c:pt idx="449">
                  <c:v>42174</c:v>
                </c:pt>
                <c:pt idx="450">
                  <c:v>42173</c:v>
                </c:pt>
                <c:pt idx="451">
                  <c:v>42172</c:v>
                </c:pt>
                <c:pt idx="452">
                  <c:v>42171</c:v>
                </c:pt>
                <c:pt idx="453">
                  <c:v>42170</c:v>
                </c:pt>
                <c:pt idx="454">
                  <c:v>42167</c:v>
                </c:pt>
                <c:pt idx="455">
                  <c:v>42166</c:v>
                </c:pt>
                <c:pt idx="456">
                  <c:v>42165</c:v>
                </c:pt>
                <c:pt idx="457">
                  <c:v>42164</c:v>
                </c:pt>
                <c:pt idx="458">
                  <c:v>42163</c:v>
                </c:pt>
                <c:pt idx="459">
                  <c:v>42160</c:v>
                </c:pt>
                <c:pt idx="460">
                  <c:v>42159</c:v>
                </c:pt>
                <c:pt idx="461">
                  <c:v>42158</c:v>
                </c:pt>
                <c:pt idx="462">
                  <c:v>42157</c:v>
                </c:pt>
                <c:pt idx="463">
                  <c:v>42156</c:v>
                </c:pt>
                <c:pt idx="464">
                  <c:v>42153</c:v>
                </c:pt>
                <c:pt idx="465">
                  <c:v>42152</c:v>
                </c:pt>
                <c:pt idx="466">
                  <c:v>42151</c:v>
                </c:pt>
                <c:pt idx="467">
                  <c:v>42150</c:v>
                </c:pt>
                <c:pt idx="468">
                  <c:v>42146</c:v>
                </c:pt>
                <c:pt idx="469">
                  <c:v>42145</c:v>
                </c:pt>
                <c:pt idx="470">
                  <c:v>42144</c:v>
                </c:pt>
                <c:pt idx="471">
                  <c:v>42143</c:v>
                </c:pt>
                <c:pt idx="472">
                  <c:v>42142</c:v>
                </c:pt>
                <c:pt idx="473">
                  <c:v>42139</c:v>
                </c:pt>
                <c:pt idx="474">
                  <c:v>42138</c:v>
                </c:pt>
                <c:pt idx="475">
                  <c:v>42137</c:v>
                </c:pt>
                <c:pt idx="476">
                  <c:v>42136</c:v>
                </c:pt>
                <c:pt idx="477">
                  <c:v>42135</c:v>
                </c:pt>
                <c:pt idx="478">
                  <c:v>42132</c:v>
                </c:pt>
                <c:pt idx="479">
                  <c:v>42131</c:v>
                </c:pt>
                <c:pt idx="480">
                  <c:v>42130</c:v>
                </c:pt>
                <c:pt idx="481">
                  <c:v>42129</c:v>
                </c:pt>
                <c:pt idx="482">
                  <c:v>42128</c:v>
                </c:pt>
                <c:pt idx="483">
                  <c:v>42125</c:v>
                </c:pt>
                <c:pt idx="484">
                  <c:v>42124</c:v>
                </c:pt>
                <c:pt idx="485">
                  <c:v>42123</c:v>
                </c:pt>
                <c:pt idx="486">
                  <c:v>42122</c:v>
                </c:pt>
                <c:pt idx="487">
                  <c:v>42121</c:v>
                </c:pt>
                <c:pt idx="488">
                  <c:v>42118</c:v>
                </c:pt>
                <c:pt idx="489">
                  <c:v>42117</c:v>
                </c:pt>
                <c:pt idx="490">
                  <c:v>42116</c:v>
                </c:pt>
                <c:pt idx="491">
                  <c:v>42115</c:v>
                </c:pt>
                <c:pt idx="492">
                  <c:v>42114</c:v>
                </c:pt>
                <c:pt idx="493">
                  <c:v>42111</c:v>
                </c:pt>
                <c:pt idx="494">
                  <c:v>42110</c:v>
                </c:pt>
                <c:pt idx="495">
                  <c:v>42109</c:v>
                </c:pt>
                <c:pt idx="496">
                  <c:v>42108</c:v>
                </c:pt>
                <c:pt idx="497">
                  <c:v>42107</c:v>
                </c:pt>
                <c:pt idx="498">
                  <c:v>42104</c:v>
                </c:pt>
                <c:pt idx="499">
                  <c:v>42103</c:v>
                </c:pt>
                <c:pt idx="500">
                  <c:v>42102</c:v>
                </c:pt>
                <c:pt idx="501">
                  <c:v>42101</c:v>
                </c:pt>
                <c:pt idx="502">
                  <c:v>42100</c:v>
                </c:pt>
                <c:pt idx="503">
                  <c:v>42096</c:v>
                </c:pt>
                <c:pt idx="504">
                  <c:v>42095</c:v>
                </c:pt>
                <c:pt idx="505">
                  <c:v>42094</c:v>
                </c:pt>
                <c:pt idx="506">
                  <c:v>42093</c:v>
                </c:pt>
                <c:pt idx="507">
                  <c:v>42090</c:v>
                </c:pt>
                <c:pt idx="508">
                  <c:v>42089</c:v>
                </c:pt>
                <c:pt idx="509">
                  <c:v>42088</c:v>
                </c:pt>
                <c:pt idx="510">
                  <c:v>42087</c:v>
                </c:pt>
                <c:pt idx="511">
                  <c:v>42086</c:v>
                </c:pt>
                <c:pt idx="512">
                  <c:v>42083</c:v>
                </c:pt>
                <c:pt idx="513">
                  <c:v>42082</c:v>
                </c:pt>
                <c:pt idx="514">
                  <c:v>42081</c:v>
                </c:pt>
                <c:pt idx="515">
                  <c:v>42080</c:v>
                </c:pt>
                <c:pt idx="516">
                  <c:v>42079</c:v>
                </c:pt>
                <c:pt idx="517">
                  <c:v>42076</c:v>
                </c:pt>
                <c:pt idx="518">
                  <c:v>42075</c:v>
                </c:pt>
                <c:pt idx="519">
                  <c:v>42074</c:v>
                </c:pt>
                <c:pt idx="520">
                  <c:v>42073</c:v>
                </c:pt>
                <c:pt idx="521">
                  <c:v>42072</c:v>
                </c:pt>
                <c:pt idx="522">
                  <c:v>42069</c:v>
                </c:pt>
                <c:pt idx="523">
                  <c:v>42068</c:v>
                </c:pt>
                <c:pt idx="524">
                  <c:v>42067</c:v>
                </c:pt>
                <c:pt idx="525">
                  <c:v>42066</c:v>
                </c:pt>
                <c:pt idx="526">
                  <c:v>42065</c:v>
                </c:pt>
                <c:pt idx="527">
                  <c:v>42062</c:v>
                </c:pt>
                <c:pt idx="528">
                  <c:v>42061</c:v>
                </c:pt>
                <c:pt idx="529">
                  <c:v>42060</c:v>
                </c:pt>
                <c:pt idx="530">
                  <c:v>42059</c:v>
                </c:pt>
                <c:pt idx="531">
                  <c:v>42058</c:v>
                </c:pt>
                <c:pt idx="532">
                  <c:v>42055</c:v>
                </c:pt>
                <c:pt idx="533">
                  <c:v>42054</c:v>
                </c:pt>
                <c:pt idx="534">
                  <c:v>42053</c:v>
                </c:pt>
                <c:pt idx="535">
                  <c:v>42052</c:v>
                </c:pt>
                <c:pt idx="536">
                  <c:v>42048</c:v>
                </c:pt>
                <c:pt idx="537">
                  <c:v>42047</c:v>
                </c:pt>
                <c:pt idx="538">
                  <c:v>42046</c:v>
                </c:pt>
                <c:pt idx="539">
                  <c:v>42045</c:v>
                </c:pt>
                <c:pt idx="540">
                  <c:v>42044</c:v>
                </c:pt>
                <c:pt idx="541">
                  <c:v>42041</c:v>
                </c:pt>
                <c:pt idx="542">
                  <c:v>42040</c:v>
                </c:pt>
                <c:pt idx="543">
                  <c:v>42039</c:v>
                </c:pt>
                <c:pt idx="544">
                  <c:v>42038</c:v>
                </c:pt>
                <c:pt idx="545">
                  <c:v>42037</c:v>
                </c:pt>
                <c:pt idx="546">
                  <c:v>42034</c:v>
                </c:pt>
                <c:pt idx="547">
                  <c:v>42033</c:v>
                </c:pt>
                <c:pt idx="548">
                  <c:v>42032</c:v>
                </c:pt>
                <c:pt idx="549">
                  <c:v>42031</c:v>
                </c:pt>
                <c:pt idx="550">
                  <c:v>42030</c:v>
                </c:pt>
                <c:pt idx="551">
                  <c:v>42027</c:v>
                </c:pt>
                <c:pt idx="552">
                  <c:v>42026</c:v>
                </c:pt>
                <c:pt idx="553">
                  <c:v>42025</c:v>
                </c:pt>
                <c:pt idx="554">
                  <c:v>42024</c:v>
                </c:pt>
                <c:pt idx="555">
                  <c:v>42020</c:v>
                </c:pt>
                <c:pt idx="556">
                  <c:v>42019</c:v>
                </c:pt>
                <c:pt idx="557">
                  <c:v>42018</c:v>
                </c:pt>
                <c:pt idx="558">
                  <c:v>42017</c:v>
                </c:pt>
                <c:pt idx="559">
                  <c:v>42016</c:v>
                </c:pt>
                <c:pt idx="560">
                  <c:v>42013</c:v>
                </c:pt>
                <c:pt idx="561">
                  <c:v>42012</c:v>
                </c:pt>
                <c:pt idx="562">
                  <c:v>42011</c:v>
                </c:pt>
                <c:pt idx="563">
                  <c:v>42010</c:v>
                </c:pt>
                <c:pt idx="564">
                  <c:v>42009</c:v>
                </c:pt>
                <c:pt idx="565">
                  <c:v>42006</c:v>
                </c:pt>
                <c:pt idx="566">
                  <c:v>42004</c:v>
                </c:pt>
                <c:pt idx="567">
                  <c:v>42003</c:v>
                </c:pt>
                <c:pt idx="568">
                  <c:v>42002</c:v>
                </c:pt>
                <c:pt idx="569">
                  <c:v>41999</c:v>
                </c:pt>
                <c:pt idx="570">
                  <c:v>41997</c:v>
                </c:pt>
                <c:pt idx="571">
                  <c:v>41996</c:v>
                </c:pt>
                <c:pt idx="572">
                  <c:v>41995</c:v>
                </c:pt>
                <c:pt idx="573">
                  <c:v>41992</c:v>
                </c:pt>
                <c:pt idx="574">
                  <c:v>41991</c:v>
                </c:pt>
                <c:pt idx="575">
                  <c:v>41990</c:v>
                </c:pt>
                <c:pt idx="576">
                  <c:v>41989</c:v>
                </c:pt>
                <c:pt idx="577">
                  <c:v>41988</c:v>
                </c:pt>
                <c:pt idx="578">
                  <c:v>41985</c:v>
                </c:pt>
                <c:pt idx="579">
                  <c:v>41984</c:v>
                </c:pt>
                <c:pt idx="580">
                  <c:v>41983</c:v>
                </c:pt>
                <c:pt idx="581">
                  <c:v>41982</c:v>
                </c:pt>
                <c:pt idx="582">
                  <c:v>41981</c:v>
                </c:pt>
                <c:pt idx="583">
                  <c:v>41978</c:v>
                </c:pt>
                <c:pt idx="584">
                  <c:v>41977</c:v>
                </c:pt>
                <c:pt idx="585">
                  <c:v>41976</c:v>
                </c:pt>
                <c:pt idx="586">
                  <c:v>41975</c:v>
                </c:pt>
                <c:pt idx="587">
                  <c:v>41974</c:v>
                </c:pt>
                <c:pt idx="588">
                  <c:v>41971</c:v>
                </c:pt>
                <c:pt idx="589">
                  <c:v>41969</c:v>
                </c:pt>
                <c:pt idx="590">
                  <c:v>41968</c:v>
                </c:pt>
                <c:pt idx="591">
                  <c:v>41967</c:v>
                </c:pt>
                <c:pt idx="592">
                  <c:v>41964</c:v>
                </c:pt>
                <c:pt idx="593">
                  <c:v>41963</c:v>
                </c:pt>
                <c:pt idx="594">
                  <c:v>41962</c:v>
                </c:pt>
                <c:pt idx="595">
                  <c:v>41961</c:v>
                </c:pt>
                <c:pt idx="596">
                  <c:v>41960</c:v>
                </c:pt>
                <c:pt idx="597">
                  <c:v>41957</c:v>
                </c:pt>
                <c:pt idx="598">
                  <c:v>41956</c:v>
                </c:pt>
                <c:pt idx="599">
                  <c:v>41955</c:v>
                </c:pt>
                <c:pt idx="600">
                  <c:v>41954</c:v>
                </c:pt>
                <c:pt idx="601">
                  <c:v>41953</c:v>
                </c:pt>
                <c:pt idx="602">
                  <c:v>41950</c:v>
                </c:pt>
                <c:pt idx="603">
                  <c:v>41949</c:v>
                </c:pt>
                <c:pt idx="604">
                  <c:v>41948</c:v>
                </c:pt>
                <c:pt idx="605">
                  <c:v>41947</c:v>
                </c:pt>
                <c:pt idx="606">
                  <c:v>41946</c:v>
                </c:pt>
                <c:pt idx="607">
                  <c:v>41943</c:v>
                </c:pt>
                <c:pt idx="608">
                  <c:v>41942</c:v>
                </c:pt>
                <c:pt idx="609">
                  <c:v>41941</c:v>
                </c:pt>
                <c:pt idx="610">
                  <c:v>41940</c:v>
                </c:pt>
                <c:pt idx="611">
                  <c:v>41939</c:v>
                </c:pt>
                <c:pt idx="612">
                  <c:v>41936</c:v>
                </c:pt>
                <c:pt idx="613">
                  <c:v>41935</c:v>
                </c:pt>
                <c:pt idx="614">
                  <c:v>41934</c:v>
                </c:pt>
                <c:pt idx="615">
                  <c:v>41933</c:v>
                </c:pt>
                <c:pt idx="616">
                  <c:v>41932</c:v>
                </c:pt>
                <c:pt idx="617">
                  <c:v>41929</c:v>
                </c:pt>
                <c:pt idx="618">
                  <c:v>41928</c:v>
                </c:pt>
                <c:pt idx="619">
                  <c:v>41927</c:v>
                </c:pt>
                <c:pt idx="620">
                  <c:v>41926</c:v>
                </c:pt>
                <c:pt idx="621">
                  <c:v>41925</c:v>
                </c:pt>
                <c:pt idx="622">
                  <c:v>41922</c:v>
                </c:pt>
                <c:pt idx="623">
                  <c:v>41921</c:v>
                </c:pt>
                <c:pt idx="624">
                  <c:v>41920</c:v>
                </c:pt>
                <c:pt idx="625">
                  <c:v>41919</c:v>
                </c:pt>
                <c:pt idx="626">
                  <c:v>41918</c:v>
                </c:pt>
                <c:pt idx="627">
                  <c:v>41915</c:v>
                </c:pt>
                <c:pt idx="628">
                  <c:v>41914</c:v>
                </c:pt>
                <c:pt idx="629">
                  <c:v>41913</c:v>
                </c:pt>
                <c:pt idx="630">
                  <c:v>41912</c:v>
                </c:pt>
                <c:pt idx="631">
                  <c:v>41911</c:v>
                </c:pt>
                <c:pt idx="632">
                  <c:v>41908</c:v>
                </c:pt>
                <c:pt idx="633">
                  <c:v>41907</c:v>
                </c:pt>
                <c:pt idx="634">
                  <c:v>41906</c:v>
                </c:pt>
                <c:pt idx="635">
                  <c:v>41905</c:v>
                </c:pt>
                <c:pt idx="636">
                  <c:v>41904</c:v>
                </c:pt>
                <c:pt idx="637">
                  <c:v>41901</c:v>
                </c:pt>
                <c:pt idx="638">
                  <c:v>41900</c:v>
                </c:pt>
                <c:pt idx="639">
                  <c:v>41899</c:v>
                </c:pt>
                <c:pt idx="640">
                  <c:v>41898</c:v>
                </c:pt>
                <c:pt idx="641">
                  <c:v>41897</c:v>
                </c:pt>
                <c:pt idx="642">
                  <c:v>41894</c:v>
                </c:pt>
                <c:pt idx="643">
                  <c:v>41893</c:v>
                </c:pt>
                <c:pt idx="644">
                  <c:v>41892</c:v>
                </c:pt>
                <c:pt idx="645">
                  <c:v>41891</c:v>
                </c:pt>
                <c:pt idx="646">
                  <c:v>41890</c:v>
                </c:pt>
                <c:pt idx="647">
                  <c:v>41887</c:v>
                </c:pt>
                <c:pt idx="648">
                  <c:v>41886</c:v>
                </c:pt>
                <c:pt idx="649">
                  <c:v>41885</c:v>
                </c:pt>
                <c:pt idx="650">
                  <c:v>41884</c:v>
                </c:pt>
                <c:pt idx="651">
                  <c:v>41880</c:v>
                </c:pt>
                <c:pt idx="652">
                  <c:v>41879</c:v>
                </c:pt>
                <c:pt idx="653">
                  <c:v>41878</c:v>
                </c:pt>
                <c:pt idx="654">
                  <c:v>41877</c:v>
                </c:pt>
                <c:pt idx="655">
                  <c:v>41876</c:v>
                </c:pt>
                <c:pt idx="656">
                  <c:v>41873</c:v>
                </c:pt>
                <c:pt idx="657">
                  <c:v>41872</c:v>
                </c:pt>
                <c:pt idx="658">
                  <c:v>41871</c:v>
                </c:pt>
                <c:pt idx="659">
                  <c:v>41870</c:v>
                </c:pt>
                <c:pt idx="660">
                  <c:v>41869</c:v>
                </c:pt>
                <c:pt idx="661">
                  <c:v>41866</c:v>
                </c:pt>
                <c:pt idx="662">
                  <c:v>41865</c:v>
                </c:pt>
                <c:pt idx="663">
                  <c:v>41864</c:v>
                </c:pt>
                <c:pt idx="664">
                  <c:v>41863</c:v>
                </c:pt>
                <c:pt idx="665">
                  <c:v>41862</c:v>
                </c:pt>
                <c:pt idx="666">
                  <c:v>41859</c:v>
                </c:pt>
                <c:pt idx="667">
                  <c:v>41858</c:v>
                </c:pt>
                <c:pt idx="668">
                  <c:v>41857</c:v>
                </c:pt>
                <c:pt idx="669">
                  <c:v>41856</c:v>
                </c:pt>
                <c:pt idx="670">
                  <c:v>41855</c:v>
                </c:pt>
                <c:pt idx="671">
                  <c:v>41852</c:v>
                </c:pt>
                <c:pt idx="672">
                  <c:v>41851</c:v>
                </c:pt>
                <c:pt idx="673">
                  <c:v>41850</c:v>
                </c:pt>
                <c:pt idx="674">
                  <c:v>41849</c:v>
                </c:pt>
                <c:pt idx="675">
                  <c:v>41848</c:v>
                </c:pt>
                <c:pt idx="676">
                  <c:v>41845</c:v>
                </c:pt>
                <c:pt idx="677">
                  <c:v>41844</c:v>
                </c:pt>
                <c:pt idx="678">
                  <c:v>41843</c:v>
                </c:pt>
                <c:pt idx="679">
                  <c:v>41842</c:v>
                </c:pt>
                <c:pt idx="680">
                  <c:v>41841</c:v>
                </c:pt>
                <c:pt idx="681">
                  <c:v>41838</c:v>
                </c:pt>
                <c:pt idx="682">
                  <c:v>41837</c:v>
                </c:pt>
                <c:pt idx="683">
                  <c:v>41836</c:v>
                </c:pt>
                <c:pt idx="684">
                  <c:v>41835</c:v>
                </c:pt>
                <c:pt idx="685">
                  <c:v>41834</c:v>
                </c:pt>
                <c:pt idx="686">
                  <c:v>41831</c:v>
                </c:pt>
                <c:pt idx="687">
                  <c:v>41830</c:v>
                </c:pt>
                <c:pt idx="688">
                  <c:v>41829</c:v>
                </c:pt>
                <c:pt idx="689">
                  <c:v>41828</c:v>
                </c:pt>
                <c:pt idx="690">
                  <c:v>41827</c:v>
                </c:pt>
                <c:pt idx="691">
                  <c:v>41823</c:v>
                </c:pt>
                <c:pt idx="692">
                  <c:v>41822</c:v>
                </c:pt>
                <c:pt idx="693">
                  <c:v>41821</c:v>
                </c:pt>
                <c:pt idx="694">
                  <c:v>41820</c:v>
                </c:pt>
                <c:pt idx="695">
                  <c:v>41817</c:v>
                </c:pt>
                <c:pt idx="696">
                  <c:v>41816</c:v>
                </c:pt>
                <c:pt idx="697">
                  <c:v>41815</c:v>
                </c:pt>
                <c:pt idx="698">
                  <c:v>41814</c:v>
                </c:pt>
                <c:pt idx="699">
                  <c:v>41813</c:v>
                </c:pt>
                <c:pt idx="700">
                  <c:v>41810</c:v>
                </c:pt>
                <c:pt idx="701">
                  <c:v>41809</c:v>
                </c:pt>
                <c:pt idx="702">
                  <c:v>41808</c:v>
                </c:pt>
                <c:pt idx="703">
                  <c:v>41807</c:v>
                </c:pt>
                <c:pt idx="704">
                  <c:v>41806</c:v>
                </c:pt>
                <c:pt idx="705">
                  <c:v>41803</c:v>
                </c:pt>
                <c:pt idx="706">
                  <c:v>41802</c:v>
                </c:pt>
                <c:pt idx="707">
                  <c:v>41801</c:v>
                </c:pt>
                <c:pt idx="708">
                  <c:v>41800</c:v>
                </c:pt>
                <c:pt idx="709">
                  <c:v>41799</c:v>
                </c:pt>
                <c:pt idx="710">
                  <c:v>41796</c:v>
                </c:pt>
                <c:pt idx="711">
                  <c:v>41795</c:v>
                </c:pt>
                <c:pt idx="712">
                  <c:v>41794</c:v>
                </c:pt>
                <c:pt idx="713">
                  <c:v>41793</c:v>
                </c:pt>
                <c:pt idx="714">
                  <c:v>41792</c:v>
                </c:pt>
                <c:pt idx="715">
                  <c:v>41789</c:v>
                </c:pt>
                <c:pt idx="716">
                  <c:v>41788</c:v>
                </c:pt>
                <c:pt idx="717">
                  <c:v>41787</c:v>
                </c:pt>
                <c:pt idx="718">
                  <c:v>41786</c:v>
                </c:pt>
                <c:pt idx="719">
                  <c:v>41782</c:v>
                </c:pt>
                <c:pt idx="720">
                  <c:v>41781</c:v>
                </c:pt>
                <c:pt idx="721">
                  <c:v>41780</c:v>
                </c:pt>
                <c:pt idx="722">
                  <c:v>41779</c:v>
                </c:pt>
                <c:pt idx="723">
                  <c:v>41778</c:v>
                </c:pt>
                <c:pt idx="724">
                  <c:v>41775</c:v>
                </c:pt>
                <c:pt idx="725">
                  <c:v>41774</c:v>
                </c:pt>
                <c:pt idx="726">
                  <c:v>41773</c:v>
                </c:pt>
                <c:pt idx="727">
                  <c:v>41772</c:v>
                </c:pt>
                <c:pt idx="728">
                  <c:v>41771</c:v>
                </c:pt>
                <c:pt idx="729">
                  <c:v>41768</c:v>
                </c:pt>
                <c:pt idx="730">
                  <c:v>41767</c:v>
                </c:pt>
                <c:pt idx="731">
                  <c:v>41766</c:v>
                </c:pt>
                <c:pt idx="732">
                  <c:v>41765</c:v>
                </c:pt>
                <c:pt idx="733">
                  <c:v>41764</c:v>
                </c:pt>
                <c:pt idx="734">
                  <c:v>41761</c:v>
                </c:pt>
                <c:pt idx="735">
                  <c:v>41760</c:v>
                </c:pt>
                <c:pt idx="736">
                  <c:v>41759</c:v>
                </c:pt>
                <c:pt idx="737">
                  <c:v>41758</c:v>
                </c:pt>
                <c:pt idx="738">
                  <c:v>41757</c:v>
                </c:pt>
                <c:pt idx="739">
                  <c:v>41754</c:v>
                </c:pt>
                <c:pt idx="740">
                  <c:v>41753</c:v>
                </c:pt>
                <c:pt idx="741">
                  <c:v>41752</c:v>
                </c:pt>
                <c:pt idx="742">
                  <c:v>41751</c:v>
                </c:pt>
                <c:pt idx="743">
                  <c:v>41750</c:v>
                </c:pt>
                <c:pt idx="744">
                  <c:v>41746</c:v>
                </c:pt>
                <c:pt idx="745">
                  <c:v>41745</c:v>
                </c:pt>
                <c:pt idx="746">
                  <c:v>41744</c:v>
                </c:pt>
                <c:pt idx="747">
                  <c:v>41743</c:v>
                </c:pt>
                <c:pt idx="748">
                  <c:v>41740</c:v>
                </c:pt>
                <c:pt idx="749">
                  <c:v>41739</c:v>
                </c:pt>
                <c:pt idx="750">
                  <c:v>41738</c:v>
                </c:pt>
                <c:pt idx="751">
                  <c:v>41737</c:v>
                </c:pt>
                <c:pt idx="752">
                  <c:v>41736</c:v>
                </c:pt>
                <c:pt idx="753">
                  <c:v>41733</c:v>
                </c:pt>
                <c:pt idx="754">
                  <c:v>41732</c:v>
                </c:pt>
                <c:pt idx="755">
                  <c:v>41731</c:v>
                </c:pt>
                <c:pt idx="756">
                  <c:v>41730</c:v>
                </c:pt>
                <c:pt idx="757">
                  <c:v>41729</c:v>
                </c:pt>
              </c:numCache>
            </c:numRef>
          </c:cat>
          <c:val>
            <c:numRef>
              <c:f>Exhibits!$EH$102:$EH$859</c:f>
              <c:numCache>
                <c:formatCode>0%</c:formatCode>
                <c:ptCount val="758"/>
                <c:pt idx="0">
                  <c:v>1.4731629375739137</c:v>
                </c:pt>
                <c:pt idx="1">
                  <c:v>1.4480308177853054</c:v>
                </c:pt>
                <c:pt idx="2">
                  <c:v>1.4472080627312387</c:v>
                </c:pt>
                <c:pt idx="3">
                  <c:v>1.4539403661129564</c:v>
                </c:pt>
                <c:pt idx="4">
                  <c:v>1.4392913887774117</c:v>
                </c:pt>
                <c:pt idx="5">
                  <c:v>1.4241398736258966</c:v>
                </c:pt>
                <c:pt idx="6">
                  <c:v>1.41196850069503</c:v>
                </c:pt>
                <c:pt idx="7">
                  <c:v>1.406050857957406</c:v>
                </c:pt>
                <c:pt idx="8">
                  <c:v>1.3883576237504867</c:v>
                </c:pt>
                <c:pt idx="9">
                  <c:v>1.3793051951012263</c:v>
                </c:pt>
                <c:pt idx="10">
                  <c:v>1.3783823375988142</c:v>
                </c:pt>
                <c:pt idx="11">
                  <c:v>1.3670982413870465</c:v>
                </c:pt>
                <c:pt idx="12">
                  <c:v>1.370311907926858</c:v>
                </c:pt>
                <c:pt idx="13">
                  <c:v>1.3608356625689377</c:v>
                </c:pt>
                <c:pt idx="14">
                  <c:v>1.3616886501579684</c:v>
                </c:pt>
                <c:pt idx="15">
                  <c:v>1.3635617079247726</c:v>
                </c:pt>
                <c:pt idx="16">
                  <c:v>1.3675895210342444</c:v>
                </c:pt>
                <c:pt idx="17">
                  <c:v>1.3586491095186521</c:v>
                </c:pt>
                <c:pt idx="18">
                  <c:v>1.3439342905239477</c:v>
                </c:pt>
                <c:pt idx="19">
                  <c:v>1.3426303962263122</c:v>
                </c:pt>
                <c:pt idx="20">
                  <c:v>1.3380897046440556</c:v>
                </c:pt>
                <c:pt idx="21">
                  <c:v>1.3428261579530549</c:v>
                </c:pt>
                <c:pt idx="22">
                  <c:v>1.3493020030508402</c:v>
                </c:pt>
                <c:pt idx="23">
                  <c:v>1.3457058158757971</c:v>
                </c:pt>
                <c:pt idx="24">
                  <c:v>1.3461821919530566</c:v>
                </c:pt>
                <c:pt idx="25">
                  <c:v>1.3482566117637658</c:v>
                </c:pt>
                <c:pt idx="26">
                  <c:v>1.3375992629976596</c:v>
                </c:pt>
                <c:pt idx="27">
                  <c:v>1.3359367526069696</c:v>
                </c:pt>
                <c:pt idx="28">
                  <c:v>1.3511457142614289</c:v>
                </c:pt>
                <c:pt idx="29">
                  <c:v>1.3482073338275857</c:v>
                </c:pt>
                <c:pt idx="30">
                  <c:v>1.3432568387780808</c:v>
                </c:pt>
                <c:pt idx="31">
                  <c:v>1.3508845052292766</c:v>
                </c:pt>
                <c:pt idx="32">
                  <c:v>1.3551754299235483</c:v>
                </c:pt>
                <c:pt idx="33">
                  <c:v>1.3526373588575584</c:v>
                </c:pt>
                <c:pt idx="34">
                  <c:v>1.355853344449943</c:v>
                </c:pt>
                <c:pt idx="35">
                  <c:v>1.3470723080281073</c:v>
                </c:pt>
                <c:pt idx="36">
                  <c:v>1.3544574518666646</c:v>
                </c:pt>
                <c:pt idx="37">
                  <c:v>1.2675110757990862</c:v>
                </c:pt>
                <c:pt idx="38">
                  <c:v>1.2731264461350802</c:v>
                </c:pt>
                <c:pt idx="39">
                  <c:v>1.2622900244997657</c:v>
                </c:pt>
                <c:pt idx="40">
                  <c:v>1.2530579442043392</c:v>
                </c:pt>
                <c:pt idx="41">
                  <c:v>1.2408376921316886</c:v>
                </c:pt>
                <c:pt idx="42">
                  <c:v>1.2427031852915471</c:v>
                </c:pt>
                <c:pt idx="43">
                  <c:v>1.2496855630999355</c:v>
                </c:pt>
                <c:pt idx="44">
                  <c:v>1.2463495291677047</c:v>
                </c:pt>
                <c:pt idx="45">
                  <c:v>1.2471590529772285</c:v>
                </c:pt>
                <c:pt idx="46">
                  <c:v>1.2576198954991398</c:v>
                </c:pt>
                <c:pt idx="47">
                  <c:v>1.2638479451362272</c:v>
                </c:pt>
                <c:pt idx="48">
                  <c:v>1.2754650885223235</c:v>
                </c:pt>
                <c:pt idx="49">
                  <c:v>1.2781883749289702</c:v>
                </c:pt>
                <c:pt idx="50">
                  <c:v>1.2683063071529015</c:v>
                </c:pt>
                <c:pt idx="51">
                  <c:v>1.2618319932894251</c:v>
                </c:pt>
                <c:pt idx="52">
                  <c:v>1.2540782227821203</c:v>
                </c:pt>
                <c:pt idx="53">
                  <c:v>1.2626560797240909</c:v>
                </c:pt>
                <c:pt idx="54">
                  <c:v>1.2649009585941684</c:v>
                </c:pt>
                <c:pt idx="55">
                  <c:v>1.2697413197595786</c:v>
                </c:pt>
                <c:pt idx="56">
                  <c:v>1.2658633587260786</c:v>
                </c:pt>
                <c:pt idx="57">
                  <c:v>1.2583314658672544</c:v>
                </c:pt>
                <c:pt idx="58">
                  <c:v>1.2374751056385072</c:v>
                </c:pt>
                <c:pt idx="59">
                  <c:v>1.2395851137908114</c:v>
                </c:pt>
                <c:pt idx="60">
                  <c:v>1.2340882238732647</c:v>
                </c:pt>
                <c:pt idx="61">
                  <c:v>1.2152230801739281</c:v>
                </c:pt>
                <c:pt idx="62">
                  <c:v>1.2227319787062798</c:v>
                </c:pt>
                <c:pt idx="63">
                  <c:v>1.2363904214514345</c:v>
                </c:pt>
                <c:pt idx="64">
                  <c:v>1.2370152412149642</c:v>
                </c:pt>
                <c:pt idx="65">
                  <c:v>1.2481369142187666</c:v>
                </c:pt>
                <c:pt idx="66">
                  <c:v>1.2443201203256369</c:v>
                </c:pt>
                <c:pt idx="67">
                  <c:v>1.2496352304243461</c:v>
                </c:pt>
                <c:pt idx="68">
                  <c:v>1.2497301340971183</c:v>
                </c:pt>
                <c:pt idx="69">
                  <c:v>1.2472565350104472</c:v>
                </c:pt>
                <c:pt idx="70">
                  <c:v>1.256213729051556</c:v>
                </c:pt>
                <c:pt idx="71">
                  <c:v>1.2566378372462688</c:v>
                </c:pt>
                <c:pt idx="72">
                  <c:v>1.2558361017246691</c:v>
                </c:pt>
                <c:pt idx="73">
                  <c:v>1.2476580872705041</c:v>
                </c:pt>
                <c:pt idx="74">
                  <c:v>1.2594979669923609</c:v>
                </c:pt>
                <c:pt idx="75">
                  <c:v>1.2474681063105104</c:v>
                </c:pt>
                <c:pt idx="76">
                  <c:v>1.2627785286346982</c:v>
                </c:pt>
                <c:pt idx="77">
                  <c:v>1.2718719683674624</c:v>
                </c:pt>
                <c:pt idx="78">
                  <c:v>1.2737705560034893</c:v>
                </c:pt>
                <c:pt idx="79">
                  <c:v>1.2694453769503782</c:v>
                </c:pt>
                <c:pt idx="80">
                  <c:v>1.2623731086725456</c:v>
                </c:pt>
                <c:pt idx="81">
                  <c:v>1.2631219269437115</c:v>
                </c:pt>
                <c:pt idx="82">
                  <c:v>1.2632155204670397</c:v>
                </c:pt>
                <c:pt idx="83">
                  <c:v>1.2557665553074526</c:v>
                </c:pt>
                <c:pt idx="84">
                  <c:v>1.254492008479658</c:v>
                </c:pt>
                <c:pt idx="85">
                  <c:v>1.2561414735816891</c:v>
                </c:pt>
                <c:pt idx="86">
                  <c:v>1.2790278246592357</c:v>
                </c:pt>
                <c:pt idx="87">
                  <c:v>1.2824238778946648</c:v>
                </c:pt>
                <c:pt idx="88">
                  <c:v>1.2698303558908541</c:v>
                </c:pt>
                <c:pt idx="89">
                  <c:v>1.2587416935782103</c:v>
                </c:pt>
                <c:pt idx="90">
                  <c:v>1.2427012104541353</c:v>
                </c:pt>
                <c:pt idx="91">
                  <c:v>1.2476888600836242</c:v>
                </c:pt>
                <c:pt idx="92">
                  <c:v>1.2304874685103733</c:v>
                </c:pt>
                <c:pt idx="93">
                  <c:v>1.2391098099550943</c:v>
                </c:pt>
                <c:pt idx="94">
                  <c:v>1.2420709332715525</c:v>
                </c:pt>
                <c:pt idx="95">
                  <c:v>1.2061516773839611</c:v>
                </c:pt>
                <c:pt idx="96">
                  <c:v>1.1784402826618376</c:v>
                </c:pt>
                <c:pt idx="97">
                  <c:v>1.1781859850318916</c:v>
                </c:pt>
                <c:pt idx="98">
                  <c:v>1.1338902552677106</c:v>
                </c:pt>
                <c:pt idx="99">
                  <c:v>1.1430993275194603</c:v>
                </c:pt>
                <c:pt idx="100">
                  <c:v>1.1254812489074866</c:v>
                </c:pt>
                <c:pt idx="101">
                  <c:v>1.1473240020372335</c:v>
                </c:pt>
                <c:pt idx="102">
                  <c:v>1.1565616376176995</c:v>
                </c:pt>
                <c:pt idx="103">
                  <c:v>1.1551584570751363</c:v>
                </c:pt>
                <c:pt idx="104">
                  <c:v>1.1464564231057508</c:v>
                </c:pt>
                <c:pt idx="105">
                  <c:v>1.1644735136030224</c:v>
                </c:pt>
                <c:pt idx="106">
                  <c:v>1.138921829514753</c:v>
                </c:pt>
                <c:pt idx="107">
                  <c:v>1.1477649041837918</c:v>
                </c:pt>
                <c:pt idx="108">
                  <c:v>1.1654972232627392</c:v>
                </c:pt>
                <c:pt idx="109">
                  <c:v>1.1859382664608058</c:v>
                </c:pt>
                <c:pt idx="110">
                  <c:v>1.1769979027505548</c:v>
                </c:pt>
                <c:pt idx="111">
                  <c:v>1.1691134055152486</c:v>
                </c:pt>
                <c:pt idx="112">
                  <c:v>1.1743084752921662</c:v>
                </c:pt>
                <c:pt idx="113">
                  <c:v>1.1528215599391669</c:v>
                </c:pt>
                <c:pt idx="114">
                  <c:v>1.1474865528781282</c:v>
                </c:pt>
                <c:pt idx="115">
                  <c:v>1.1481138070728907</c:v>
                </c:pt>
                <c:pt idx="116">
                  <c:v>1.1455459420692222</c:v>
                </c:pt>
                <c:pt idx="117">
                  <c:v>1.1434979454300374</c:v>
                </c:pt>
                <c:pt idx="118">
                  <c:v>1.1348110446408006</c:v>
                </c:pt>
                <c:pt idx="119">
                  <c:v>1.1552541515779666</c:v>
                </c:pt>
                <c:pt idx="120">
                  <c:v>1.1370271862356167</c:v>
                </c:pt>
                <c:pt idx="121">
                  <c:v>1.1414978115972114</c:v>
                </c:pt>
                <c:pt idx="122">
                  <c:v>1.1522678428146931</c:v>
                </c:pt>
                <c:pt idx="123">
                  <c:v>1.1547072469772508</c:v>
                </c:pt>
                <c:pt idx="124">
                  <c:v>1.150433074446628</c:v>
                </c:pt>
                <c:pt idx="125">
                  <c:v>1.1651721870185261</c:v>
                </c:pt>
                <c:pt idx="126">
                  <c:v>1.152587683638391</c:v>
                </c:pt>
                <c:pt idx="127">
                  <c:v>1.1519632690270891</c:v>
                </c:pt>
                <c:pt idx="128">
                  <c:v>1.1588362988446694</c:v>
                </c:pt>
                <c:pt idx="129">
                  <c:v>1.1684580809215412</c:v>
                </c:pt>
                <c:pt idx="130">
                  <c:v>1.1866974538488853</c:v>
                </c:pt>
                <c:pt idx="131">
                  <c:v>1.1832689976625386</c:v>
                </c:pt>
                <c:pt idx="132">
                  <c:v>1.1799302684031294</c:v>
                </c:pt>
                <c:pt idx="133">
                  <c:v>1.1794241443014997</c:v>
                </c:pt>
                <c:pt idx="134">
                  <c:v>1.1968301518606801</c:v>
                </c:pt>
                <c:pt idx="135">
                  <c:v>1.1920330301337163</c:v>
                </c:pt>
                <c:pt idx="136">
                  <c:v>1.2127807302707294</c:v>
                </c:pt>
                <c:pt idx="137">
                  <c:v>1.2077150734566833</c:v>
                </c:pt>
                <c:pt idx="138">
                  <c:v>1.2297908718406769</c:v>
                </c:pt>
                <c:pt idx="139">
                  <c:v>1.2409199501247064</c:v>
                </c:pt>
                <c:pt idx="140">
                  <c:v>1.2296656215367878</c:v>
                </c:pt>
                <c:pt idx="141">
                  <c:v>1.2443561721954932</c:v>
                </c:pt>
                <c:pt idx="142">
                  <c:v>1.2691724760912368</c:v>
                </c:pt>
                <c:pt idx="143">
                  <c:v>1.2686638761282261</c:v>
                </c:pt>
                <c:pt idx="144">
                  <c:v>1.2731746006058104</c:v>
                </c:pt>
                <c:pt idx="145">
                  <c:v>1.2654284157178286</c:v>
                </c:pt>
                <c:pt idx="146">
                  <c:v>1.2726123899292032</c:v>
                </c:pt>
                <c:pt idx="147">
                  <c:v>1.275184619041325</c:v>
                </c:pt>
                <c:pt idx="148">
                  <c:v>1.28685158835311</c:v>
                </c:pt>
                <c:pt idx="149">
                  <c:v>1.2737905140337575</c:v>
                </c:pt>
                <c:pt idx="150">
                  <c:v>1.2782772826446906</c:v>
                </c:pt>
                <c:pt idx="151">
                  <c:v>1.2666052122417264</c:v>
                </c:pt>
                <c:pt idx="152">
                  <c:v>1.2761928080029998</c:v>
                </c:pt>
                <c:pt idx="153">
                  <c:v>1.2781157968771355</c:v>
                </c:pt>
                <c:pt idx="154">
                  <c:v>1.2672859732088799</c:v>
                </c:pt>
                <c:pt idx="155">
                  <c:v>1.2787239564636725</c:v>
                </c:pt>
                <c:pt idx="156">
                  <c:v>1.2679488917207944</c:v>
                </c:pt>
                <c:pt idx="157">
                  <c:v>1.2793327896771789</c:v>
                </c:pt>
                <c:pt idx="158">
                  <c:v>1.2886629223824644</c:v>
                </c:pt>
                <c:pt idx="159">
                  <c:v>1.2906969126193113</c:v>
                </c:pt>
                <c:pt idx="160">
                  <c:v>1.2927717885778136</c:v>
                </c:pt>
                <c:pt idx="161">
                  <c:v>1.2804430214545259</c:v>
                </c:pt>
                <c:pt idx="162">
                  <c:v>1.2813554302136501</c:v>
                </c:pt>
                <c:pt idx="163">
                  <c:v>1.2769105784517474</c:v>
                </c:pt>
                <c:pt idx="164">
                  <c:v>1.2807449692857273</c:v>
                </c:pt>
                <c:pt idx="165">
                  <c:v>1.2602959288534561</c:v>
                </c:pt>
                <c:pt idx="166">
                  <c:v>1.2609941553581343</c:v>
                </c:pt>
                <c:pt idx="167">
                  <c:v>1.265396787668821</c:v>
                </c:pt>
                <c:pt idx="168">
                  <c:v>1.2906926590212466</c:v>
                </c:pt>
                <c:pt idx="169">
                  <c:v>1.2812999907739369</c:v>
                </c:pt>
                <c:pt idx="170">
                  <c:v>1.2917227674738421</c:v>
                </c:pt>
                <c:pt idx="171">
                  <c:v>1.2586753171149345</c:v>
                </c:pt>
                <c:pt idx="172">
                  <c:v>1.2252954221195105</c:v>
                </c:pt>
                <c:pt idx="173">
                  <c:v>1.268523220635571</c:v>
                </c:pt>
                <c:pt idx="174">
                  <c:v>1.2617959310373525</c:v>
                </c:pt>
                <c:pt idx="175">
                  <c:v>1.2351705440404486</c:v>
                </c:pt>
                <c:pt idx="176">
                  <c:v>1.2355990338519132</c:v>
                </c:pt>
                <c:pt idx="177">
                  <c:v>1.2194403497687007</c:v>
                </c:pt>
                <c:pt idx="178">
                  <c:v>1.2290709376657829</c:v>
                </c:pt>
                <c:pt idx="179">
                  <c:v>1.228495646424592</c:v>
                </c:pt>
                <c:pt idx="180">
                  <c:v>1.2597514517376145</c:v>
                </c:pt>
                <c:pt idx="181">
                  <c:v>1.2392775180883253</c:v>
                </c:pt>
                <c:pt idx="182">
                  <c:v>1.2481087845295129</c:v>
                </c:pt>
                <c:pt idx="183">
                  <c:v>1.2455184769893632</c:v>
                </c:pt>
                <c:pt idx="184">
                  <c:v>1.2356735231227218</c:v>
                </c:pt>
                <c:pt idx="185">
                  <c:v>1.2219814972814336</c:v>
                </c:pt>
                <c:pt idx="186">
                  <c:v>1.2353008769788933</c:v>
                </c:pt>
                <c:pt idx="187">
                  <c:v>1.225889564196794</c:v>
                </c:pt>
                <c:pt idx="188">
                  <c:v>1.2239169878195988</c:v>
                </c:pt>
                <c:pt idx="189">
                  <c:v>1.2432149023237038</c:v>
                </c:pt>
                <c:pt idx="190">
                  <c:v>1.245709372131206</c:v>
                </c:pt>
                <c:pt idx="191">
                  <c:v>1.2316779685135857</c:v>
                </c:pt>
                <c:pt idx="192">
                  <c:v>1.2217001414625879</c:v>
                </c:pt>
                <c:pt idx="193">
                  <c:v>1.2414506612131075</c:v>
                </c:pt>
                <c:pt idx="194">
                  <c:v>1.248628031387147</c:v>
                </c:pt>
                <c:pt idx="195">
                  <c:v>1.2441515447223652</c:v>
                </c:pt>
                <c:pt idx="196">
                  <c:v>1.2504261279776565</c:v>
                </c:pt>
                <c:pt idx="197">
                  <c:v>1.2562452239229105</c:v>
                </c:pt>
                <c:pt idx="198">
                  <c:v>1.2423687902607592</c:v>
                </c:pt>
                <c:pt idx="199">
                  <c:v>1.2472534833235556</c:v>
                </c:pt>
                <c:pt idx="200">
                  <c:v>1.2540641377994617</c:v>
                </c:pt>
                <c:pt idx="201">
                  <c:v>1.258476175696545</c:v>
                </c:pt>
                <c:pt idx="202">
                  <c:v>1.2424323855870698</c:v>
                </c:pt>
                <c:pt idx="203">
                  <c:v>1.2485759863937105</c:v>
                </c:pt>
                <c:pt idx="204">
                  <c:v>1.2735428344434614</c:v>
                </c:pt>
                <c:pt idx="205">
                  <c:v>1.2741369300471539</c:v>
                </c:pt>
                <c:pt idx="206">
                  <c:v>1.2633743082170463</c:v>
                </c:pt>
                <c:pt idx="207">
                  <c:v>1.2734794751123366</c:v>
                </c:pt>
                <c:pt idx="208">
                  <c:v>1.2740735435673018</c:v>
                </c:pt>
                <c:pt idx="209">
                  <c:v>1.2850113966746464</c:v>
                </c:pt>
                <c:pt idx="210">
                  <c:v>1.2767171798401207</c:v>
                </c:pt>
                <c:pt idx="211">
                  <c:v>1.2754395161394589</c:v>
                </c:pt>
                <c:pt idx="212">
                  <c:v>1.2725564848379762</c:v>
                </c:pt>
                <c:pt idx="213">
                  <c:v>1.2678206349138419</c:v>
                </c:pt>
                <c:pt idx="214">
                  <c:v>1.2571324059069178</c:v>
                </c:pt>
                <c:pt idx="215">
                  <c:v>1.2538688504964093</c:v>
                </c:pt>
                <c:pt idx="216">
                  <c:v>1.2427435971140492</c:v>
                </c:pt>
                <c:pt idx="217">
                  <c:v>1.2380071787935831</c:v>
                </c:pt>
                <c:pt idx="218">
                  <c:v>1.218941631926125</c:v>
                </c:pt>
                <c:pt idx="219">
                  <c:v>1.2163769089645959</c:v>
                </c:pt>
                <c:pt idx="220">
                  <c:v>1.2212885476220814</c:v>
                </c:pt>
                <c:pt idx="221">
                  <c:v>1.2417592801346988</c:v>
                </c:pt>
                <c:pt idx="222">
                  <c:v>1.2328124377038228</c:v>
                </c:pt>
                <c:pt idx="223">
                  <c:v>1.2357069997233729</c:v>
                </c:pt>
                <c:pt idx="224">
                  <c:v>1.2353272408702447</c:v>
                </c:pt>
                <c:pt idx="225">
                  <c:v>1.2556044243880571</c:v>
                </c:pt>
                <c:pt idx="226">
                  <c:v>1.2662334217653175</c:v>
                </c:pt>
                <c:pt idx="227">
                  <c:v>1.2344240878622648</c:v>
                </c:pt>
                <c:pt idx="228">
                  <c:v>1.2476818410712969</c:v>
                </c:pt>
                <c:pt idx="229">
                  <c:v>1.2508107814346274</c:v>
                </c:pt>
                <c:pt idx="230">
                  <c:v>1.2398575686495843</c:v>
                </c:pt>
                <c:pt idx="231">
                  <c:v>1.2527665070408602</c:v>
                </c:pt>
                <c:pt idx="232">
                  <c:v>1.252346907059509</c:v>
                </c:pt>
                <c:pt idx="233">
                  <c:v>1.2433620542981956</c:v>
                </c:pt>
                <c:pt idx="234">
                  <c:v>1.2465973897884193</c:v>
                </c:pt>
                <c:pt idx="235">
                  <c:v>1.2428321523431329</c:v>
                </c:pt>
                <c:pt idx="236">
                  <c:v>1.2578066539657569</c:v>
                </c:pt>
                <c:pt idx="237">
                  <c:v>1.2545508400122685</c:v>
                </c:pt>
                <c:pt idx="238">
                  <c:v>1.2621668104715347</c:v>
                </c:pt>
                <c:pt idx="239">
                  <c:v>1.2620283191041632</c:v>
                </c:pt>
                <c:pt idx="240">
                  <c:v>1.2649282040293646</c:v>
                </c:pt>
                <c:pt idx="241">
                  <c:v>1.2370610579279264</c:v>
                </c:pt>
                <c:pt idx="242">
                  <c:v>1.2311117932570397</c:v>
                </c:pt>
                <c:pt idx="243">
                  <c:v>1.2111603369463599</c:v>
                </c:pt>
                <c:pt idx="244">
                  <c:v>1.2237190561487374</c:v>
                </c:pt>
                <c:pt idx="245">
                  <c:v>1.2123262215145201</c:v>
                </c:pt>
                <c:pt idx="246">
                  <c:v>1.2177266747668465</c:v>
                </c:pt>
                <c:pt idx="247">
                  <c:v>1.2284593593690216</c:v>
                </c:pt>
                <c:pt idx="248">
                  <c:v>1.231597733120805</c:v>
                </c:pt>
                <c:pt idx="249">
                  <c:v>1.2354345954200803</c:v>
                </c:pt>
                <c:pt idx="250">
                  <c:v>1.2208728883843247</c:v>
                </c:pt>
                <c:pt idx="251">
                  <c:v>1.2348052170735484</c:v>
                </c:pt>
                <c:pt idx="252">
                  <c:v>1.243775301138734</c:v>
                </c:pt>
                <c:pt idx="253">
                  <c:v>1.2042303126116629</c:v>
                </c:pt>
                <c:pt idx="254">
                  <c:v>1.2153344501098524</c:v>
                </c:pt>
                <c:pt idx="255">
                  <c:v>1.2182228148140357</c:v>
                </c:pt>
                <c:pt idx="256">
                  <c:v>1.2087957289498052</c:v>
                </c:pt>
                <c:pt idx="257">
                  <c:v>1.2029795021658365</c:v>
                </c:pt>
                <c:pt idx="258">
                  <c:v>1.2105464404661856</c:v>
                </c:pt>
                <c:pt idx="259">
                  <c:v>1.2020838860465799</c:v>
                </c:pt>
                <c:pt idx="260">
                  <c:v>1.2207570811310653</c:v>
                </c:pt>
                <c:pt idx="261">
                  <c:v>1.2284735715569013</c:v>
                </c:pt>
                <c:pt idx="262">
                  <c:v>1.2273768188984682</c:v>
                </c:pt>
                <c:pt idx="263">
                  <c:v>1.2389247072845917</c:v>
                </c:pt>
                <c:pt idx="264">
                  <c:v>1.2286389929988775</c:v>
                </c:pt>
                <c:pt idx="265">
                  <c:v>1.2331424298322502</c:v>
                </c:pt>
                <c:pt idx="266">
                  <c:v>1.2229906317189525</c:v>
                </c:pt>
                <c:pt idx="267">
                  <c:v>1.2148318984950459</c:v>
                </c:pt>
                <c:pt idx="268">
                  <c:v>1.2261911959368177</c:v>
                </c:pt>
                <c:pt idx="269">
                  <c:v>1.2328758780588487</c:v>
                </c:pt>
                <c:pt idx="270">
                  <c:v>1.2532641373937921</c:v>
                </c:pt>
                <c:pt idx="271">
                  <c:v>1.2503296737485361</c:v>
                </c:pt>
                <c:pt idx="272">
                  <c:v>1.2523285580921584</c:v>
                </c:pt>
                <c:pt idx="273">
                  <c:v>1.2311085248616813</c:v>
                </c:pt>
                <c:pt idx="274">
                  <c:v>1.2315355913891559</c:v>
                </c:pt>
                <c:pt idx="275">
                  <c:v>1.2144506493042138</c:v>
                </c:pt>
                <c:pt idx="276">
                  <c:v>1.2085765777473421</c:v>
                </c:pt>
                <c:pt idx="277">
                  <c:v>1.2038453320152185</c:v>
                </c:pt>
                <c:pt idx="278">
                  <c:v>1.2068603096460295</c:v>
                </c:pt>
                <c:pt idx="279">
                  <c:v>1.2010890096362479</c:v>
                </c:pt>
                <c:pt idx="280">
                  <c:v>1.2071655251192093</c:v>
                </c:pt>
                <c:pt idx="281">
                  <c:v>1.1963552455260689</c:v>
                </c:pt>
                <c:pt idx="282">
                  <c:v>1.1841698282376973</c:v>
                </c:pt>
                <c:pt idx="283">
                  <c:v>1.2130062287593608</c:v>
                </c:pt>
                <c:pt idx="284">
                  <c:v>1.1952596944952767</c:v>
                </c:pt>
                <c:pt idx="285">
                  <c:v>1.1748945259559509</c:v>
                </c:pt>
                <c:pt idx="286">
                  <c:v>1.1323257569987288</c:v>
                </c:pt>
                <c:pt idx="287">
                  <c:v>1.1459438318981408</c:v>
                </c:pt>
                <c:pt idx="288">
                  <c:v>1.0964635373983571</c:v>
                </c:pt>
                <c:pt idx="289">
                  <c:v>1.1069097794297493</c:v>
                </c:pt>
                <c:pt idx="290">
                  <c:v>1.1322843943725782</c:v>
                </c:pt>
                <c:pt idx="291">
                  <c:v>1.1658885116337923</c:v>
                </c:pt>
                <c:pt idx="292">
                  <c:v>1.140856186834206</c:v>
                </c:pt>
                <c:pt idx="293">
                  <c:v>1.1497751473139846</c:v>
                </c:pt>
                <c:pt idx="294">
                  <c:v>1.1457609432071449</c:v>
                </c:pt>
                <c:pt idx="295">
                  <c:v>1.1441630050628151</c:v>
                </c:pt>
                <c:pt idx="296">
                  <c:v>1.1257903016507416</c:v>
                </c:pt>
                <c:pt idx="297">
                  <c:v>1.118706351555584</c:v>
                </c:pt>
                <c:pt idx="298">
                  <c:v>1.1087218355643405</c:v>
                </c:pt>
                <c:pt idx="299">
                  <c:v>1.0929392127202142</c:v>
                </c:pt>
                <c:pt idx="300">
                  <c:v>1.0895652466775498</c:v>
                </c:pt>
                <c:pt idx="301">
                  <c:v>1.0633743716007642</c:v>
                </c:pt>
                <c:pt idx="302">
                  <c:v>1.0699208348462566</c:v>
                </c:pt>
                <c:pt idx="303">
                  <c:v>1.1175776214474085</c:v>
                </c:pt>
                <c:pt idx="304">
                  <c:v>1.1137057640166244</c:v>
                </c:pt>
                <c:pt idx="305">
                  <c:v>1.1324931696892759</c:v>
                </c:pt>
                <c:pt idx="306">
                  <c:v>1.1177593293850934</c:v>
                </c:pt>
                <c:pt idx="307">
                  <c:v>1.1236913993100237</c:v>
                </c:pt>
                <c:pt idx="308">
                  <c:v>1.1037192425312701</c:v>
                </c:pt>
                <c:pt idx="309">
                  <c:v>1.1076659091979368</c:v>
                </c:pt>
                <c:pt idx="310">
                  <c:v>1.1152873763303599</c:v>
                </c:pt>
                <c:pt idx="311">
                  <c:v>1.1091635145698828</c:v>
                </c:pt>
                <c:pt idx="312">
                  <c:v>1.1147237772260998</c:v>
                </c:pt>
                <c:pt idx="313">
                  <c:v>1.1254111200592933</c:v>
                </c:pt>
                <c:pt idx="314">
                  <c:v>1.1454337096475469</c:v>
                </c:pt>
                <c:pt idx="315">
                  <c:v>1.1475342270920881</c:v>
                </c:pt>
                <c:pt idx="316">
                  <c:v>1.1571242412995166</c:v>
                </c:pt>
                <c:pt idx="317">
                  <c:v>1.1536108241194156</c:v>
                </c:pt>
                <c:pt idx="318">
                  <c:v>1.1456038436749256</c:v>
                </c:pt>
                <c:pt idx="319">
                  <c:v>1.1406520718690762</c:v>
                </c:pt>
                <c:pt idx="320">
                  <c:v>1.1432244853073641</c:v>
                </c:pt>
                <c:pt idx="321">
                  <c:v>1.1278663909647846</c:v>
                </c:pt>
                <c:pt idx="322">
                  <c:v>1.1456199955622497</c:v>
                </c:pt>
                <c:pt idx="323">
                  <c:v>1.1376551649441995</c:v>
                </c:pt>
                <c:pt idx="324">
                  <c:v>1.1418269820022959</c:v>
                </c:pt>
                <c:pt idx="325">
                  <c:v>1.1413116774573098</c:v>
                </c:pt>
                <c:pt idx="326">
                  <c:v>1.1302665591911849</c:v>
                </c:pt>
                <c:pt idx="327">
                  <c:v>1.121913525306236</c:v>
                </c:pt>
                <c:pt idx="328">
                  <c:v>1.1199659518774541</c:v>
                </c:pt>
                <c:pt idx="329">
                  <c:v>1.1216999648037322</c:v>
                </c:pt>
                <c:pt idx="330">
                  <c:v>1.1217525078890622</c:v>
                </c:pt>
                <c:pt idx="331">
                  <c:v>1.1188542626448192</c:v>
                </c:pt>
                <c:pt idx="332">
                  <c:v>1.0968271191721781</c:v>
                </c:pt>
                <c:pt idx="333">
                  <c:v>1.0805162269992168</c:v>
                </c:pt>
                <c:pt idx="334">
                  <c:v>1.0773315136234207</c:v>
                </c:pt>
                <c:pt idx="335">
                  <c:v>1.0744680775000726</c:v>
                </c:pt>
                <c:pt idx="336">
                  <c:v>1.0755681875110739</c:v>
                </c:pt>
                <c:pt idx="337">
                  <c:v>1.0773800801152575</c:v>
                </c:pt>
                <c:pt idx="338">
                  <c:v>1.0768307201196525</c:v>
                </c:pt>
                <c:pt idx="339">
                  <c:v>1.0710845462978944</c:v>
                </c:pt>
                <c:pt idx="340">
                  <c:v>1.0525701962697569</c:v>
                </c:pt>
                <c:pt idx="341">
                  <c:v>1.0234990820700813</c:v>
                </c:pt>
                <c:pt idx="342">
                  <c:v>1.0215262376926877</c:v>
                </c:pt>
                <c:pt idx="343">
                  <c:v>1.0106158669747147</c:v>
                </c:pt>
                <c:pt idx="344">
                  <c:v>0.98523393506084478</c:v>
                </c:pt>
                <c:pt idx="345">
                  <c:v>0.99800039785996597</c:v>
                </c:pt>
                <c:pt idx="346">
                  <c:v>0.99627543949689201</c:v>
                </c:pt>
                <c:pt idx="347">
                  <c:v>1.020422177365478</c:v>
                </c:pt>
                <c:pt idx="348">
                  <c:v>1.0325214949869013</c:v>
                </c:pt>
                <c:pt idx="349">
                  <c:v>1.0405983961870606</c:v>
                </c:pt>
                <c:pt idx="350">
                  <c:v>1.0373457141509959</c:v>
                </c:pt>
                <c:pt idx="351">
                  <c:v>1.0470094609721317</c:v>
                </c:pt>
                <c:pt idx="352">
                  <c:v>1.0513981404297359</c:v>
                </c:pt>
                <c:pt idx="353">
                  <c:v>1.0473305736256004</c:v>
                </c:pt>
                <c:pt idx="354">
                  <c:v>1.0552888766015576</c:v>
                </c:pt>
                <c:pt idx="355">
                  <c:v>1.0662638779872899</c:v>
                </c:pt>
                <c:pt idx="356">
                  <c:v>1.0491245646874083</c:v>
                </c:pt>
                <c:pt idx="357">
                  <c:v>1.0620356894021949</c:v>
                </c:pt>
                <c:pt idx="358">
                  <c:v>1.0848222893586883</c:v>
                </c:pt>
                <c:pt idx="359">
                  <c:v>1.0965920534259748</c:v>
                </c:pt>
                <c:pt idx="360">
                  <c:v>1.1128754264103788</c:v>
                </c:pt>
                <c:pt idx="361">
                  <c:v>1.1016484817431775</c:v>
                </c:pt>
                <c:pt idx="362">
                  <c:v>1.0686796281977833</c:v>
                </c:pt>
                <c:pt idx="363">
                  <c:v>1.0808448128576491</c:v>
                </c:pt>
                <c:pt idx="364">
                  <c:v>1.1169684851680919</c:v>
                </c:pt>
                <c:pt idx="365">
                  <c:v>1.1207400933399096</c:v>
                </c:pt>
                <c:pt idx="366">
                  <c:v>1.1049363366219829</c:v>
                </c:pt>
                <c:pt idx="367">
                  <c:v>1.1041908230163595</c:v>
                </c:pt>
                <c:pt idx="368">
                  <c:v>1.092336736050467</c:v>
                </c:pt>
                <c:pt idx="369">
                  <c:v>1.1057331530405261</c:v>
                </c:pt>
                <c:pt idx="370">
                  <c:v>1.1195732578898052</c:v>
                </c:pt>
                <c:pt idx="371">
                  <c:v>1.1256695480106889</c:v>
                </c:pt>
                <c:pt idx="372">
                  <c:v>1.1493749096954993</c:v>
                </c:pt>
                <c:pt idx="373">
                  <c:v>1.1549394584611812</c:v>
                </c:pt>
                <c:pt idx="374">
                  <c:v>1.145595572834426</c:v>
                </c:pt>
                <c:pt idx="375">
                  <c:v>1.1474812114033792</c:v>
                </c:pt>
                <c:pt idx="376">
                  <c:v>1.1398295912113183</c:v>
                </c:pt>
                <c:pt idx="377">
                  <c:v>1.1309704056346943</c:v>
                </c:pt>
                <c:pt idx="378">
                  <c:v>1.1329868473905498</c:v>
                </c:pt>
                <c:pt idx="379">
                  <c:v>1.1252757027023823</c:v>
                </c:pt>
                <c:pt idx="380">
                  <c:v>1.1112217057667877</c:v>
                </c:pt>
                <c:pt idx="381">
                  <c:v>1.1187724372438996</c:v>
                </c:pt>
                <c:pt idx="382">
                  <c:v>1.1147713843352394</c:v>
                </c:pt>
                <c:pt idx="383">
                  <c:v>1.1045065188953926</c:v>
                </c:pt>
                <c:pt idx="384">
                  <c:v>1.0967346370279969</c:v>
                </c:pt>
                <c:pt idx="385">
                  <c:v>1.093885787318257</c:v>
                </c:pt>
                <c:pt idx="386">
                  <c:v>1.0854842479394291</c:v>
                </c:pt>
                <c:pt idx="387">
                  <c:v>1.0897480648651632</c:v>
                </c:pt>
                <c:pt idx="388">
                  <c:v>1.0814215342529183</c:v>
                </c:pt>
                <c:pt idx="389">
                  <c:v>1.0832142330795156</c:v>
                </c:pt>
                <c:pt idx="390">
                  <c:v>1.0795612152506076</c:v>
                </c:pt>
                <c:pt idx="391">
                  <c:v>1.0752352925696307</c:v>
                </c:pt>
                <c:pt idx="392">
                  <c:v>1.0598900240274312</c:v>
                </c:pt>
                <c:pt idx="393">
                  <c:v>1.056150976089488</c:v>
                </c:pt>
                <c:pt idx="394">
                  <c:v>1.0686061979136821</c:v>
                </c:pt>
                <c:pt idx="395">
                  <c:v>1.0509393442961836</c:v>
                </c:pt>
                <c:pt idx="396">
                  <c:v>1.052954344855906</c:v>
                </c:pt>
                <c:pt idx="397">
                  <c:v>1.0412322767886315</c:v>
                </c:pt>
                <c:pt idx="398">
                  <c:v>1.0361096175593072</c:v>
                </c:pt>
                <c:pt idx="399">
                  <c:v>1.0507478676995203</c:v>
                </c:pt>
                <c:pt idx="400">
                  <c:v>1.0632644826751516</c:v>
                </c:pt>
                <c:pt idx="401">
                  <c:v>1.0629320727028524</c:v>
                </c:pt>
                <c:pt idx="402">
                  <c:v>1.0443090478721526</c:v>
                </c:pt>
                <c:pt idx="403">
                  <c:v>1.034104384512025</c:v>
                </c:pt>
                <c:pt idx="404">
                  <c:v>1.0478792636304328</c:v>
                </c:pt>
                <c:pt idx="405">
                  <c:v>1.0891686124876989</c:v>
                </c:pt>
                <c:pt idx="406">
                  <c:v>1.1015721259292746</c:v>
                </c:pt>
                <c:pt idx="407">
                  <c:v>1.1180642725261332</c:v>
                </c:pt>
                <c:pt idx="408">
                  <c:v>1.1206752385835743</c:v>
                </c:pt>
                <c:pt idx="409">
                  <c:v>1.1560855040346396</c:v>
                </c:pt>
                <c:pt idx="410">
                  <c:v>1.14110595393239</c:v>
                </c:pt>
                <c:pt idx="411">
                  <c:v>1.1437573918275563</c:v>
                </c:pt>
                <c:pt idx="412">
                  <c:v>1.1518998082539964</c:v>
                </c:pt>
                <c:pt idx="413">
                  <c:v>1.1713880557993699</c:v>
                </c:pt>
                <c:pt idx="414">
                  <c:v>1.1737626476663927</c:v>
                </c:pt>
                <c:pt idx="415">
                  <c:v>1.1733172133679519</c:v>
                </c:pt>
                <c:pt idx="416">
                  <c:v>1.1665907559688486</c:v>
                </c:pt>
                <c:pt idx="417">
                  <c:v>1.1755775227079364</c:v>
                </c:pt>
                <c:pt idx="418">
                  <c:v>1.1730032652821938</c:v>
                </c:pt>
                <c:pt idx="419">
                  <c:v>1.1754724010846629</c:v>
                </c:pt>
                <c:pt idx="420">
                  <c:v>1.1834089090211708</c:v>
                </c:pt>
                <c:pt idx="421">
                  <c:v>1.1851694724014523</c:v>
                </c:pt>
                <c:pt idx="422">
                  <c:v>1.1742434823881038</c:v>
                </c:pt>
                <c:pt idx="423">
                  <c:v>1.0925278826234106</c:v>
                </c:pt>
                <c:pt idx="424">
                  <c:v>1.0763331106001508</c:v>
                </c:pt>
                <c:pt idx="425">
                  <c:v>1.0719665367231792</c:v>
                </c:pt>
                <c:pt idx="426">
                  <c:v>1.0796038457904524</c:v>
                </c:pt>
                <c:pt idx="427">
                  <c:v>1.0757432618091571</c:v>
                </c:pt>
                <c:pt idx="428">
                  <c:v>1.0621299461125082</c:v>
                </c:pt>
                <c:pt idx="429">
                  <c:v>1.0666836302075322</c:v>
                </c:pt>
                <c:pt idx="430">
                  <c:v>1.0601675332391738</c:v>
                </c:pt>
                <c:pt idx="431">
                  <c:v>1.0614360088623813</c:v>
                </c:pt>
                <c:pt idx="432">
                  <c:v>1.0601659221651589</c:v>
                </c:pt>
                <c:pt idx="433">
                  <c:v>1.0568972241042172</c:v>
                </c:pt>
                <c:pt idx="434">
                  <c:v>1.069803272447212</c:v>
                </c:pt>
                <c:pt idx="435">
                  <c:v>1.049663802433265</c:v>
                </c:pt>
                <c:pt idx="436">
                  <c:v>1.0377523199899996</c:v>
                </c:pt>
                <c:pt idx="437">
                  <c:v>1.0239596112393559</c:v>
                </c:pt>
                <c:pt idx="438">
                  <c:v>1.0286873396512948</c:v>
                </c:pt>
                <c:pt idx="439">
                  <c:v>1.0246841370892452</c:v>
                </c:pt>
                <c:pt idx="440">
                  <c:v>1.0251985697843009</c:v>
                </c:pt>
                <c:pt idx="441">
                  <c:v>1.0226772243026667</c:v>
                </c:pt>
                <c:pt idx="442">
                  <c:v>1.0241648938111638</c:v>
                </c:pt>
                <c:pt idx="443">
                  <c:v>1.0095349954076804</c:v>
                </c:pt>
                <c:pt idx="444">
                  <c:v>1.0301183808628462</c:v>
                </c:pt>
                <c:pt idx="445">
                  <c:v>1.0358846763006888</c:v>
                </c:pt>
                <c:pt idx="446">
                  <c:v>1.0429016292590363</c:v>
                </c:pt>
                <c:pt idx="447">
                  <c:v>1.0527398817185996</c:v>
                </c:pt>
                <c:pt idx="448">
                  <c:v>1.0681724872020997</c:v>
                </c:pt>
                <c:pt idx="449">
                  <c:v>1.0621716063388538</c:v>
                </c:pt>
                <c:pt idx="450">
                  <c:v>1.0643689256093438</c:v>
                </c:pt>
                <c:pt idx="451">
                  <c:v>1.0674903318850133</c:v>
                </c:pt>
                <c:pt idx="452">
                  <c:v>1.0662292286938737</c:v>
                </c:pt>
                <c:pt idx="453">
                  <c:v>1.0736309920551452</c:v>
                </c:pt>
                <c:pt idx="454">
                  <c:v>1.0774802737032882</c:v>
                </c:pt>
                <c:pt idx="455">
                  <c:v>1.0795902066182419</c:v>
                </c:pt>
                <c:pt idx="456">
                  <c:v>1.0697562905343259</c:v>
                </c:pt>
                <c:pt idx="457">
                  <c:v>1.0628802247441285</c:v>
                </c:pt>
                <c:pt idx="458">
                  <c:v>1.0661152285822686</c:v>
                </c:pt>
                <c:pt idx="459">
                  <c:v>1.0729223951672493</c:v>
                </c:pt>
                <c:pt idx="460">
                  <c:v>1.0640217853106479</c:v>
                </c:pt>
                <c:pt idx="461">
                  <c:v>1.0627565196048498</c:v>
                </c:pt>
                <c:pt idx="462">
                  <c:v>1.0631414522416385</c:v>
                </c:pt>
                <c:pt idx="463">
                  <c:v>1.0601907862735718</c:v>
                </c:pt>
                <c:pt idx="464">
                  <c:v>1.0639545225373082</c:v>
                </c:pt>
                <c:pt idx="465">
                  <c:v>1.0709925497073665</c:v>
                </c:pt>
                <c:pt idx="466">
                  <c:v>1.0705558923196694</c:v>
                </c:pt>
                <c:pt idx="467">
                  <c:v>1.0772247277132934</c:v>
                </c:pt>
                <c:pt idx="468">
                  <c:v>1.0813821706159445</c:v>
                </c:pt>
                <c:pt idx="469">
                  <c:v>1.0840745404398635</c:v>
                </c:pt>
                <c:pt idx="470">
                  <c:v>1.0863846296200503</c:v>
                </c:pt>
                <c:pt idx="471">
                  <c:v>1.0899178201982089</c:v>
                </c:pt>
                <c:pt idx="472">
                  <c:v>1.0702671651763747</c:v>
                </c:pt>
                <c:pt idx="473">
                  <c:v>1.0709217582376882</c:v>
                </c:pt>
                <c:pt idx="474">
                  <c:v>1.071902684668206</c:v>
                </c:pt>
                <c:pt idx="475">
                  <c:v>1.0638824693309175</c:v>
                </c:pt>
                <c:pt idx="476">
                  <c:v>1.0697259513908814</c:v>
                </c:pt>
                <c:pt idx="477">
                  <c:v>1.0684135436695492</c:v>
                </c:pt>
                <c:pt idx="478">
                  <c:v>1.0764955571214911</c:v>
                </c:pt>
                <c:pt idx="479">
                  <c:v>1.0697790169587651</c:v>
                </c:pt>
                <c:pt idx="480">
                  <c:v>1.0648953470729003</c:v>
                </c:pt>
                <c:pt idx="481">
                  <c:v>1.0681223885868751</c:v>
                </c:pt>
                <c:pt idx="482">
                  <c:v>1.0691605264953004</c:v>
                </c:pt>
                <c:pt idx="483">
                  <c:v>1.0700885247484802</c:v>
                </c:pt>
                <c:pt idx="484">
                  <c:v>1.0661976873964416</c:v>
                </c:pt>
                <c:pt idx="485">
                  <c:v>1.0765561667065995</c:v>
                </c:pt>
                <c:pt idx="486">
                  <c:v>1.0829149531483735</c:v>
                </c:pt>
                <c:pt idx="487">
                  <c:v>1.0787482864817068</c:v>
                </c:pt>
                <c:pt idx="488">
                  <c:v>1.0763616516368382</c:v>
                </c:pt>
                <c:pt idx="489">
                  <c:v>1.0672204835378727</c:v>
                </c:pt>
                <c:pt idx="490">
                  <c:v>1.0611628812469978</c:v>
                </c:pt>
                <c:pt idx="491">
                  <c:v>1.0734555111082977</c:v>
                </c:pt>
                <c:pt idx="492">
                  <c:v>1.0632906759434626</c:v>
                </c:pt>
                <c:pt idx="493">
                  <c:v>1.0675036211751747</c:v>
                </c:pt>
                <c:pt idx="494">
                  <c:v>1.0681597532764378</c:v>
                </c:pt>
                <c:pt idx="495">
                  <c:v>0.95243256928424647</c:v>
                </c:pt>
                <c:pt idx="496">
                  <c:v>0.94381824489340238</c:v>
                </c:pt>
                <c:pt idx="497">
                  <c:v>0.96063615172945804</c:v>
                </c:pt>
                <c:pt idx="498">
                  <c:v>0.96664938083348695</c:v>
                </c:pt>
                <c:pt idx="499">
                  <c:v>0.95546124998100002</c:v>
                </c:pt>
                <c:pt idx="500">
                  <c:v>0.96455927974541522</c:v>
                </c:pt>
                <c:pt idx="501">
                  <c:v>0.95819255648565282</c:v>
                </c:pt>
                <c:pt idx="502">
                  <c:v>0.95679599324562614</c:v>
                </c:pt>
                <c:pt idx="503">
                  <c:v>0.96492656419238587</c:v>
                </c:pt>
                <c:pt idx="504">
                  <c:v>0.95550349896045694</c:v>
                </c:pt>
                <c:pt idx="505">
                  <c:v>0.92740887100333325</c:v>
                </c:pt>
                <c:pt idx="506">
                  <c:v>0.92449405874231649</c:v>
                </c:pt>
                <c:pt idx="507">
                  <c:v>0.92254706715834467</c:v>
                </c:pt>
                <c:pt idx="508">
                  <c:v>0.91014800821512609</c:v>
                </c:pt>
                <c:pt idx="509">
                  <c:v>0.91110087316240074</c:v>
                </c:pt>
                <c:pt idx="510">
                  <c:v>0.92398690545586371</c:v>
                </c:pt>
                <c:pt idx="511">
                  <c:v>0.93062076617593348</c:v>
                </c:pt>
                <c:pt idx="512">
                  <c:v>0.93761031278321993</c:v>
                </c:pt>
                <c:pt idx="513">
                  <c:v>0.9329496118137941</c:v>
                </c:pt>
                <c:pt idx="514">
                  <c:v>0.93691098839215514</c:v>
                </c:pt>
                <c:pt idx="515">
                  <c:v>0.94983293737642283</c:v>
                </c:pt>
                <c:pt idx="516">
                  <c:v>0.95230124551879236</c:v>
                </c:pt>
                <c:pt idx="517">
                  <c:v>0.94844685579716481</c:v>
                </c:pt>
                <c:pt idx="518">
                  <c:v>0.95033986996423858</c:v>
                </c:pt>
                <c:pt idx="519">
                  <c:v>0.91774008435354437</c:v>
                </c:pt>
                <c:pt idx="520">
                  <c:v>0.90857686449990138</c:v>
                </c:pt>
                <c:pt idx="521">
                  <c:v>0.92021208462568749</c:v>
                </c:pt>
                <c:pt idx="522">
                  <c:v>0.92284663487032426</c:v>
                </c:pt>
                <c:pt idx="523">
                  <c:v>0.93597031940666209</c:v>
                </c:pt>
                <c:pt idx="524">
                  <c:v>0.93584649573157552</c:v>
                </c:pt>
                <c:pt idx="525">
                  <c:v>0.94358700439357324</c:v>
                </c:pt>
                <c:pt idx="526">
                  <c:v>0.94616053380533782</c:v>
                </c:pt>
                <c:pt idx="527">
                  <c:v>0.93519602906644184</c:v>
                </c:pt>
                <c:pt idx="528">
                  <c:v>0.93587697496219513</c:v>
                </c:pt>
                <c:pt idx="529">
                  <c:v>0.91977432054025521</c:v>
                </c:pt>
                <c:pt idx="530">
                  <c:v>0.92384623684671396</c:v>
                </c:pt>
                <c:pt idx="531">
                  <c:v>0.91436037078714272</c:v>
                </c:pt>
                <c:pt idx="532">
                  <c:v>0.91023286253212621</c:v>
                </c:pt>
                <c:pt idx="533">
                  <c:v>0.91966801160748157</c:v>
                </c:pt>
                <c:pt idx="534">
                  <c:v>0.89577414930310872</c:v>
                </c:pt>
                <c:pt idx="535">
                  <c:v>0.88542797543533147</c:v>
                </c:pt>
                <c:pt idx="536">
                  <c:v>0.89407202136488895</c:v>
                </c:pt>
                <c:pt idx="537">
                  <c:v>0.90875453582494103</c:v>
                </c:pt>
                <c:pt idx="538">
                  <c:v>1.0172654152447052</c:v>
                </c:pt>
                <c:pt idx="539">
                  <c:v>1.0180580774573651</c:v>
                </c:pt>
                <c:pt idx="540">
                  <c:v>1.0015985931111404</c:v>
                </c:pt>
                <c:pt idx="541">
                  <c:v>0.99650835710928942</c:v>
                </c:pt>
                <c:pt idx="542">
                  <c:v>0.99372413437147045</c:v>
                </c:pt>
                <c:pt idx="543">
                  <c:v>0.990114866703523</c:v>
                </c:pt>
                <c:pt idx="544">
                  <c:v>0.99549961570473899</c:v>
                </c:pt>
                <c:pt idx="545">
                  <c:v>0.99630956652915315</c:v>
                </c:pt>
                <c:pt idx="546">
                  <c:v>0.99054906379436913</c:v>
                </c:pt>
                <c:pt idx="547">
                  <c:v>0.99897278869628459</c:v>
                </c:pt>
                <c:pt idx="548">
                  <c:v>0.98611631370797237</c:v>
                </c:pt>
                <c:pt idx="549">
                  <c:v>0.98670035762807518</c:v>
                </c:pt>
                <c:pt idx="550">
                  <c:v>0.9800568159736569</c:v>
                </c:pt>
                <c:pt idx="551">
                  <c:v>0.98158308541891659</c:v>
                </c:pt>
                <c:pt idx="552">
                  <c:v>0.98585009500507526</c:v>
                </c:pt>
                <c:pt idx="553">
                  <c:v>0.97979305295861829</c:v>
                </c:pt>
                <c:pt idx="554">
                  <c:v>0.96981502836991484</c:v>
                </c:pt>
                <c:pt idx="555">
                  <c:v>0.98746431802247181</c:v>
                </c:pt>
                <c:pt idx="556">
                  <c:v>0.98644224116229184</c:v>
                </c:pt>
                <c:pt idx="557">
                  <c:v>1.0093264504871791</c:v>
                </c:pt>
                <c:pt idx="558">
                  <c:v>1.0166344042601227</c:v>
                </c:pt>
                <c:pt idx="559">
                  <c:v>1.012538841120191</c:v>
                </c:pt>
                <c:pt idx="560">
                  <c:v>1.0116278868956405</c:v>
                </c:pt>
                <c:pt idx="561">
                  <c:v>1.0035351359342677</c:v>
                </c:pt>
                <c:pt idx="562">
                  <c:v>0.99566795250163054</c:v>
                </c:pt>
                <c:pt idx="563">
                  <c:v>0.97512364646231287</c:v>
                </c:pt>
                <c:pt idx="564">
                  <c:v>0.99178450795076056</c:v>
                </c:pt>
                <c:pt idx="565">
                  <c:v>0.99663719425925279</c:v>
                </c:pt>
                <c:pt idx="566">
                  <c:v>1.0063625947169188</c:v>
                </c:pt>
                <c:pt idx="567">
                  <c:v>1.0068772038998337</c:v>
                </c:pt>
                <c:pt idx="568">
                  <c:v>1.0142274323528804</c:v>
                </c:pt>
                <c:pt idx="569">
                  <c:v>0.99728659541204334</c:v>
                </c:pt>
                <c:pt idx="570">
                  <c:v>0.98596209596659357</c:v>
                </c:pt>
                <c:pt idx="571">
                  <c:v>0.9894522943262003</c:v>
                </c:pt>
                <c:pt idx="572">
                  <c:v>0.970786733766826</c:v>
                </c:pt>
                <c:pt idx="573">
                  <c:v>0.95170460816296132</c:v>
                </c:pt>
                <c:pt idx="574">
                  <c:v>0.969964034295283</c:v>
                </c:pt>
                <c:pt idx="575">
                  <c:v>0.9603575701324818</c:v>
                </c:pt>
                <c:pt idx="576">
                  <c:v>0.94390079578193131</c:v>
                </c:pt>
                <c:pt idx="577">
                  <c:v>0.95377971873837963</c:v>
                </c:pt>
                <c:pt idx="578">
                  <c:v>0.94698731167912797</c:v>
                </c:pt>
                <c:pt idx="579">
                  <c:v>0.94364059146493795</c:v>
                </c:pt>
                <c:pt idx="580">
                  <c:v>0.92681099116794496</c:v>
                </c:pt>
                <c:pt idx="581">
                  <c:v>0.93576365243848703</c:v>
                </c:pt>
                <c:pt idx="582">
                  <c:v>0.9323179226821493</c:v>
                </c:pt>
                <c:pt idx="583">
                  <c:v>0.93127080226330106</c:v>
                </c:pt>
                <c:pt idx="584">
                  <c:v>0.93605226490046156</c:v>
                </c:pt>
                <c:pt idx="585">
                  <c:v>0.94900077340170208</c:v>
                </c:pt>
                <c:pt idx="586">
                  <c:v>0.94511326808675333</c:v>
                </c:pt>
                <c:pt idx="587">
                  <c:v>0.95240945718467906</c:v>
                </c:pt>
                <c:pt idx="588">
                  <c:v>0.96172845360044967</c:v>
                </c:pt>
                <c:pt idx="589">
                  <c:v>0.94939173371656005</c:v>
                </c:pt>
                <c:pt idx="590">
                  <c:v>0.94799889171328977</c:v>
                </c:pt>
                <c:pt idx="591">
                  <c:v>0.96508222504662311</c:v>
                </c:pt>
                <c:pt idx="592">
                  <c:v>0.95552751078666276</c:v>
                </c:pt>
                <c:pt idx="593">
                  <c:v>0.96250925085110972</c:v>
                </c:pt>
                <c:pt idx="594">
                  <c:v>0.96589908135958424</c:v>
                </c:pt>
                <c:pt idx="595">
                  <c:v>0.96470825075523758</c:v>
                </c:pt>
                <c:pt idx="596">
                  <c:v>0.96832714017146926</c:v>
                </c:pt>
                <c:pt idx="597">
                  <c:v>0.97539594318749179</c:v>
                </c:pt>
                <c:pt idx="598">
                  <c:v>0.97815691363923352</c:v>
                </c:pt>
                <c:pt idx="599">
                  <c:v>0.9758016171662901</c:v>
                </c:pt>
                <c:pt idx="600">
                  <c:v>0.96742968984174416</c:v>
                </c:pt>
                <c:pt idx="601">
                  <c:v>0.97268631969231423</c:v>
                </c:pt>
                <c:pt idx="602">
                  <c:v>0.96662535350299805</c:v>
                </c:pt>
                <c:pt idx="603">
                  <c:v>0.96064770989011028</c:v>
                </c:pt>
                <c:pt idx="604">
                  <c:v>0.94854776433986521</c:v>
                </c:pt>
                <c:pt idx="605">
                  <c:v>0.94981664651509179</c:v>
                </c:pt>
                <c:pt idx="606">
                  <c:v>0.92377820882135353</c:v>
                </c:pt>
                <c:pt idx="607">
                  <c:v>0.92588164856399136</c:v>
                </c:pt>
                <c:pt idx="608">
                  <c:v>0.93025491619565137</c:v>
                </c:pt>
                <c:pt idx="609">
                  <c:v>0.9488137361690524</c:v>
                </c:pt>
                <c:pt idx="610">
                  <c:v>0.98144531511642086</c:v>
                </c:pt>
                <c:pt idx="611">
                  <c:v>0.97313114564888148</c:v>
                </c:pt>
                <c:pt idx="612">
                  <c:v>0.97082618110987429</c:v>
                </c:pt>
                <c:pt idx="613">
                  <c:v>0.95607267265359519</c:v>
                </c:pt>
                <c:pt idx="614">
                  <c:v>0.95936037664068341</c:v>
                </c:pt>
                <c:pt idx="615">
                  <c:v>0.96983003238420651</c:v>
                </c:pt>
                <c:pt idx="616">
                  <c:v>0.98399995482866398</c:v>
                </c:pt>
                <c:pt idx="617">
                  <c:v>0.95993450636335886</c:v>
                </c:pt>
                <c:pt idx="618">
                  <c:v>0.95120009277381601</c:v>
                </c:pt>
                <c:pt idx="619">
                  <c:v>0.94269514167728496</c:v>
                </c:pt>
                <c:pt idx="620">
                  <c:v>0.94147867065970681</c:v>
                </c:pt>
                <c:pt idx="621">
                  <c:v>0.91320923542298149</c:v>
                </c:pt>
                <c:pt idx="622">
                  <c:v>0.92176631361483385</c:v>
                </c:pt>
                <c:pt idx="623">
                  <c:v>0.93642996608627016</c:v>
                </c:pt>
                <c:pt idx="624">
                  <c:v>0.94682962749264299</c:v>
                </c:pt>
                <c:pt idx="625">
                  <c:v>0.94068532769948088</c:v>
                </c:pt>
                <c:pt idx="626">
                  <c:v>0.94141481098215563</c:v>
                </c:pt>
                <c:pt idx="627">
                  <c:v>0.96160660322707781</c:v>
                </c:pt>
                <c:pt idx="628">
                  <c:v>0.943906415314124</c:v>
                </c:pt>
                <c:pt idx="629">
                  <c:v>0.94071385853222123</c:v>
                </c:pt>
                <c:pt idx="630">
                  <c:v>0.93011282608384371</c:v>
                </c:pt>
                <c:pt idx="631">
                  <c:v>0.90497580094681851</c:v>
                </c:pt>
                <c:pt idx="632">
                  <c:v>0.89234422199945018</c:v>
                </c:pt>
                <c:pt idx="633">
                  <c:v>0.8907147769692576</c:v>
                </c:pt>
                <c:pt idx="634">
                  <c:v>0.90448462824225984</c:v>
                </c:pt>
                <c:pt idx="635">
                  <c:v>0.89036051499371371</c:v>
                </c:pt>
                <c:pt idx="636">
                  <c:v>0.89677402782073934</c:v>
                </c:pt>
                <c:pt idx="637">
                  <c:v>0.91393685625486532</c:v>
                </c:pt>
                <c:pt idx="638">
                  <c:v>0.920139175922421</c:v>
                </c:pt>
                <c:pt idx="639">
                  <c:v>0.90573122323587263</c:v>
                </c:pt>
                <c:pt idx="640">
                  <c:v>0.88459405651566714</c:v>
                </c:pt>
                <c:pt idx="641">
                  <c:v>0.8793628501090538</c:v>
                </c:pt>
                <c:pt idx="642">
                  <c:v>0.87871660479433233</c:v>
                </c:pt>
                <c:pt idx="643">
                  <c:v>0.8859025408908292</c:v>
                </c:pt>
                <c:pt idx="644">
                  <c:v>0.88268420927393942</c:v>
                </c:pt>
                <c:pt idx="645">
                  <c:v>0.88094328464952776</c:v>
                </c:pt>
                <c:pt idx="646">
                  <c:v>0.88511690735403525</c:v>
                </c:pt>
                <c:pt idx="647">
                  <c:v>0.88318690220735474</c:v>
                </c:pt>
                <c:pt idx="648">
                  <c:v>0.86823424141727967</c:v>
                </c:pt>
                <c:pt idx="649">
                  <c:v>0.84423049710061748</c:v>
                </c:pt>
                <c:pt idx="650">
                  <c:v>0.84616576570255275</c:v>
                </c:pt>
                <c:pt idx="651">
                  <c:v>0.84676600579859118</c:v>
                </c:pt>
                <c:pt idx="652">
                  <c:v>0.8443592669297586</c:v>
                </c:pt>
                <c:pt idx="653">
                  <c:v>0.84669368966036618</c:v>
                </c:pt>
                <c:pt idx="654">
                  <c:v>0.85855686767394279</c:v>
                </c:pt>
                <c:pt idx="655">
                  <c:v>0.86269181122868177</c:v>
                </c:pt>
                <c:pt idx="656">
                  <c:v>0.86183784026369448</c:v>
                </c:pt>
                <c:pt idx="657">
                  <c:v>0.86039056705798433</c:v>
                </c:pt>
                <c:pt idx="658">
                  <c:v>0.86412631224083936</c:v>
                </c:pt>
                <c:pt idx="659">
                  <c:v>0.8585905273456238</c:v>
                </c:pt>
                <c:pt idx="660">
                  <c:v>0.83965418568567196</c:v>
                </c:pt>
                <c:pt idx="661">
                  <c:v>0.82796940307697631</c:v>
                </c:pt>
                <c:pt idx="662">
                  <c:v>0.83142211447092407</c:v>
                </c:pt>
                <c:pt idx="663">
                  <c:v>0.82809376234485421</c:v>
                </c:pt>
                <c:pt idx="664">
                  <c:v>0.82846721337184459</c:v>
                </c:pt>
                <c:pt idx="665">
                  <c:v>0.83168210338876503</c:v>
                </c:pt>
                <c:pt idx="666">
                  <c:v>0.81544990034866593</c:v>
                </c:pt>
                <c:pt idx="667">
                  <c:v>0.81709791243408791</c:v>
                </c:pt>
                <c:pt idx="668">
                  <c:v>0.8324461206829048</c:v>
                </c:pt>
                <c:pt idx="669">
                  <c:v>0.84155773799497757</c:v>
                </c:pt>
                <c:pt idx="670">
                  <c:v>0.85327726391697989</c:v>
                </c:pt>
                <c:pt idx="671">
                  <c:v>0.84101184836738196</c:v>
                </c:pt>
                <c:pt idx="672">
                  <c:v>0.82811300247464625</c:v>
                </c:pt>
                <c:pt idx="673">
                  <c:v>0.85750151064544211</c:v>
                </c:pt>
                <c:pt idx="674">
                  <c:v>0.82244490172442186</c:v>
                </c:pt>
                <c:pt idx="675">
                  <c:v>0.80290523132597946</c:v>
                </c:pt>
                <c:pt idx="676">
                  <c:v>0.79969630213169962</c:v>
                </c:pt>
                <c:pt idx="677">
                  <c:v>0.81535241694320826</c:v>
                </c:pt>
                <c:pt idx="678">
                  <c:v>0.80690424853381837</c:v>
                </c:pt>
                <c:pt idx="679">
                  <c:v>0.8126873810639389</c:v>
                </c:pt>
                <c:pt idx="680">
                  <c:v>0.80784476605183242</c:v>
                </c:pt>
                <c:pt idx="681">
                  <c:v>0.82000905225425158</c:v>
                </c:pt>
                <c:pt idx="682">
                  <c:v>0.80776500134113582</c:v>
                </c:pt>
                <c:pt idx="683">
                  <c:v>0.82981885061728244</c:v>
                </c:pt>
                <c:pt idx="684">
                  <c:v>0.82920963109518131</c:v>
                </c:pt>
                <c:pt idx="685">
                  <c:v>0.8315732183453165</c:v>
                </c:pt>
                <c:pt idx="686">
                  <c:v>0.82525313679587708</c:v>
                </c:pt>
                <c:pt idx="687">
                  <c:v>0.82681372846367451</c:v>
                </c:pt>
                <c:pt idx="688">
                  <c:v>0.84106026715673854</c:v>
                </c:pt>
                <c:pt idx="689">
                  <c:v>0.83635628220949043</c:v>
                </c:pt>
                <c:pt idx="690">
                  <c:v>0.8407052719057303</c:v>
                </c:pt>
                <c:pt idx="691">
                  <c:v>0.83876118127088406</c:v>
                </c:pt>
                <c:pt idx="692">
                  <c:v>0.8279873636804248</c:v>
                </c:pt>
                <c:pt idx="693">
                  <c:v>0.84280712335999752</c:v>
                </c:pt>
                <c:pt idx="694">
                  <c:v>0.84300735028384455</c:v>
                </c:pt>
                <c:pt idx="695">
                  <c:v>0.84120205475027932</c:v>
                </c:pt>
                <c:pt idx="696">
                  <c:v>0.83757838007573904</c:v>
                </c:pt>
                <c:pt idx="697">
                  <c:v>0.84384671829926527</c:v>
                </c:pt>
                <c:pt idx="698">
                  <c:v>0.84371333161125672</c:v>
                </c:pt>
                <c:pt idx="699">
                  <c:v>0.84776514164114725</c:v>
                </c:pt>
                <c:pt idx="700">
                  <c:v>0.83749806339661625</c:v>
                </c:pt>
                <c:pt idx="701">
                  <c:v>0.83722957098152684</c:v>
                </c:pt>
                <c:pt idx="702">
                  <c:v>0.84010755772940182</c:v>
                </c:pt>
                <c:pt idx="703">
                  <c:v>0.83017109700207992</c:v>
                </c:pt>
                <c:pt idx="704">
                  <c:v>0.8406058796107756</c:v>
                </c:pt>
                <c:pt idx="705">
                  <c:v>0.85315541725938859</c:v>
                </c:pt>
                <c:pt idx="706">
                  <c:v>0.84777657404270756</c:v>
                </c:pt>
                <c:pt idx="707">
                  <c:v>0.85744381065983233</c:v>
                </c:pt>
                <c:pt idx="708">
                  <c:v>0.85639048610420365</c:v>
                </c:pt>
                <c:pt idx="709">
                  <c:v>0.88955196532258574</c:v>
                </c:pt>
                <c:pt idx="710">
                  <c:v>0.90212188550359262</c:v>
                </c:pt>
                <c:pt idx="711">
                  <c:v>0.88015515674773148</c:v>
                </c:pt>
                <c:pt idx="712">
                  <c:v>0.87219193002236572</c:v>
                </c:pt>
                <c:pt idx="713">
                  <c:v>0.86933515817455376</c:v>
                </c:pt>
                <c:pt idx="714">
                  <c:v>0.87340887301451497</c:v>
                </c:pt>
                <c:pt idx="715">
                  <c:v>0.8666384804619468</c:v>
                </c:pt>
                <c:pt idx="716">
                  <c:v>0.85816946785690462</c:v>
                </c:pt>
                <c:pt idx="717">
                  <c:v>0.87406299415229172</c:v>
                </c:pt>
                <c:pt idx="718">
                  <c:v>0.86631509389836892</c:v>
                </c:pt>
                <c:pt idx="719">
                  <c:v>0.87470814703285138</c:v>
                </c:pt>
                <c:pt idx="720">
                  <c:v>0.87509536871726568</c:v>
                </c:pt>
                <c:pt idx="721">
                  <c:v>0.85896316332674838</c:v>
                </c:pt>
                <c:pt idx="722">
                  <c:v>0.86327266381646428</c:v>
                </c:pt>
                <c:pt idx="723">
                  <c:v>0.86555279410962382</c:v>
                </c:pt>
                <c:pt idx="724">
                  <c:v>0.86156299752384313</c:v>
                </c:pt>
                <c:pt idx="725">
                  <c:v>0.86005638151441044</c:v>
                </c:pt>
                <c:pt idx="726">
                  <c:v>0.86338601525469894</c:v>
                </c:pt>
                <c:pt idx="727">
                  <c:v>0.87995102328038122</c:v>
                </c:pt>
                <c:pt idx="728">
                  <c:v>0.89143871051064272</c:v>
                </c:pt>
                <c:pt idx="729">
                  <c:v>0.8926431479115936</c:v>
                </c:pt>
                <c:pt idx="730">
                  <c:v>0.89737500911033174</c:v>
                </c:pt>
                <c:pt idx="731">
                  <c:v>0.88517755077965932</c:v>
                </c:pt>
                <c:pt idx="732">
                  <c:v>0.87920299084133213</c:v>
                </c:pt>
                <c:pt idx="733">
                  <c:v>0.88994337851212968</c:v>
                </c:pt>
                <c:pt idx="734">
                  <c:v>0.90140874681745409</c:v>
                </c:pt>
                <c:pt idx="735">
                  <c:v>0.88710300540408504</c:v>
                </c:pt>
                <c:pt idx="736">
                  <c:v>0.86121557649645608</c:v>
                </c:pt>
                <c:pt idx="737">
                  <c:v>0.92378451876879342</c:v>
                </c:pt>
                <c:pt idx="738">
                  <c:v>0.92470290485830553</c:v>
                </c:pt>
                <c:pt idx="739">
                  <c:v>0.95342554995821027</c:v>
                </c:pt>
                <c:pt idx="740">
                  <c:v>0.96842086392259641</c:v>
                </c:pt>
                <c:pt idx="741">
                  <c:v>0.96199511376047886</c:v>
                </c:pt>
                <c:pt idx="742">
                  <c:v>0.97646176493407877</c:v>
                </c:pt>
                <c:pt idx="743">
                  <c:v>0.95443219424350212</c:v>
                </c:pt>
                <c:pt idx="744">
                  <c:v>0.95199171805302596</c:v>
                </c:pt>
                <c:pt idx="745">
                  <c:v>0.96311656354128294</c:v>
                </c:pt>
                <c:pt idx="746">
                  <c:v>0.96792003141076932</c:v>
                </c:pt>
                <c:pt idx="747">
                  <c:v>0.96844696349507853</c:v>
                </c:pt>
                <c:pt idx="748">
                  <c:v>0.94237463380626441</c:v>
                </c:pt>
                <c:pt idx="749">
                  <c:v>0.9500054910853869</c:v>
                </c:pt>
                <c:pt idx="750">
                  <c:v>0.96671221480893454</c:v>
                </c:pt>
                <c:pt idx="751">
                  <c:v>0.95968742142050478</c:v>
                </c:pt>
                <c:pt idx="752">
                  <c:v>0.94037217982955457</c:v>
                </c:pt>
                <c:pt idx="753">
                  <c:v>0.95647543008116787</c:v>
                </c:pt>
                <c:pt idx="754">
                  <c:v>0.97226613046573851</c:v>
                </c:pt>
                <c:pt idx="755">
                  <c:v>0.98407012655026649</c:v>
                </c:pt>
                <c:pt idx="756">
                  <c:v>0.99149997166657222</c:v>
                </c:pt>
                <c:pt idx="757">
                  <c:v>1</c:v>
                </c:pt>
              </c:numCache>
            </c:numRef>
          </c:val>
          <c:smooth val="0"/>
          <c:extLst>
            <c:ext xmlns:c16="http://schemas.microsoft.com/office/drawing/2014/chart" uri="{C3380CC4-5D6E-409C-BE32-E72D297353CC}">
              <c16:uniqueId val="{00000000-A7E4-430C-9E3D-D851F3DD4F29}"/>
            </c:ext>
          </c:extLst>
        </c:ser>
        <c:ser>
          <c:idx val="1"/>
          <c:order val="1"/>
          <c:tx>
            <c:strRef>
              <c:f>Exhibits!$EI$28</c:f>
              <c:strCache>
                <c:ptCount val="1"/>
                <c:pt idx="0">
                  <c:v>S&amp;P 500</c:v>
                </c:pt>
              </c:strCache>
            </c:strRef>
          </c:tx>
          <c:spPr>
            <a:ln w="12700" cap="rnd">
              <a:solidFill>
                <a:schemeClr val="accent2"/>
              </a:solidFill>
              <a:round/>
            </a:ln>
            <a:effectLst/>
          </c:spPr>
          <c:marker>
            <c:symbol val="none"/>
          </c:marker>
          <c:cat>
            <c:numRef>
              <c:f>Exhibits!$EE$102:$EE$859</c:f>
              <c:numCache>
                <c:formatCode>m/d/yyyy</c:formatCode>
                <c:ptCount val="758"/>
                <c:pt idx="0">
                  <c:v>42825</c:v>
                </c:pt>
                <c:pt idx="1">
                  <c:v>42824</c:v>
                </c:pt>
                <c:pt idx="2">
                  <c:v>42823</c:v>
                </c:pt>
                <c:pt idx="3">
                  <c:v>42822</c:v>
                </c:pt>
                <c:pt idx="4">
                  <c:v>42821</c:v>
                </c:pt>
                <c:pt idx="5">
                  <c:v>42818</c:v>
                </c:pt>
                <c:pt idx="6">
                  <c:v>42817</c:v>
                </c:pt>
                <c:pt idx="7">
                  <c:v>42816</c:v>
                </c:pt>
                <c:pt idx="8">
                  <c:v>42815</c:v>
                </c:pt>
                <c:pt idx="9">
                  <c:v>42814</c:v>
                </c:pt>
                <c:pt idx="10">
                  <c:v>42811</c:v>
                </c:pt>
                <c:pt idx="11">
                  <c:v>42810</c:v>
                </c:pt>
                <c:pt idx="12">
                  <c:v>42809</c:v>
                </c:pt>
                <c:pt idx="13">
                  <c:v>42808</c:v>
                </c:pt>
                <c:pt idx="14">
                  <c:v>42807</c:v>
                </c:pt>
                <c:pt idx="15">
                  <c:v>42804</c:v>
                </c:pt>
                <c:pt idx="16">
                  <c:v>42803</c:v>
                </c:pt>
                <c:pt idx="17">
                  <c:v>42802</c:v>
                </c:pt>
                <c:pt idx="18">
                  <c:v>42801</c:v>
                </c:pt>
                <c:pt idx="19">
                  <c:v>42800</c:v>
                </c:pt>
                <c:pt idx="20">
                  <c:v>42797</c:v>
                </c:pt>
                <c:pt idx="21">
                  <c:v>42796</c:v>
                </c:pt>
                <c:pt idx="22">
                  <c:v>42795</c:v>
                </c:pt>
                <c:pt idx="23">
                  <c:v>42794</c:v>
                </c:pt>
                <c:pt idx="24">
                  <c:v>42793</c:v>
                </c:pt>
                <c:pt idx="25">
                  <c:v>42790</c:v>
                </c:pt>
                <c:pt idx="26">
                  <c:v>42789</c:v>
                </c:pt>
                <c:pt idx="27">
                  <c:v>42788</c:v>
                </c:pt>
                <c:pt idx="28">
                  <c:v>42787</c:v>
                </c:pt>
                <c:pt idx="29">
                  <c:v>42783</c:v>
                </c:pt>
                <c:pt idx="30">
                  <c:v>42782</c:v>
                </c:pt>
                <c:pt idx="31">
                  <c:v>42781</c:v>
                </c:pt>
                <c:pt idx="32">
                  <c:v>42780</c:v>
                </c:pt>
                <c:pt idx="33">
                  <c:v>42779</c:v>
                </c:pt>
                <c:pt idx="34">
                  <c:v>42776</c:v>
                </c:pt>
                <c:pt idx="35">
                  <c:v>42775</c:v>
                </c:pt>
                <c:pt idx="36">
                  <c:v>42774</c:v>
                </c:pt>
                <c:pt idx="37">
                  <c:v>42773</c:v>
                </c:pt>
                <c:pt idx="38">
                  <c:v>42772</c:v>
                </c:pt>
                <c:pt idx="39">
                  <c:v>42769</c:v>
                </c:pt>
                <c:pt idx="40">
                  <c:v>42768</c:v>
                </c:pt>
                <c:pt idx="41">
                  <c:v>42767</c:v>
                </c:pt>
                <c:pt idx="42">
                  <c:v>42766</c:v>
                </c:pt>
                <c:pt idx="43">
                  <c:v>42765</c:v>
                </c:pt>
                <c:pt idx="44">
                  <c:v>42762</c:v>
                </c:pt>
                <c:pt idx="45">
                  <c:v>42761</c:v>
                </c:pt>
                <c:pt idx="46">
                  <c:v>42760</c:v>
                </c:pt>
                <c:pt idx="47">
                  <c:v>42759</c:v>
                </c:pt>
                <c:pt idx="48">
                  <c:v>42758</c:v>
                </c:pt>
                <c:pt idx="49">
                  <c:v>42755</c:v>
                </c:pt>
                <c:pt idx="50">
                  <c:v>42754</c:v>
                </c:pt>
                <c:pt idx="51">
                  <c:v>42753</c:v>
                </c:pt>
                <c:pt idx="52">
                  <c:v>42752</c:v>
                </c:pt>
                <c:pt idx="53">
                  <c:v>42748</c:v>
                </c:pt>
                <c:pt idx="54">
                  <c:v>42747</c:v>
                </c:pt>
                <c:pt idx="55">
                  <c:v>42746</c:v>
                </c:pt>
                <c:pt idx="56">
                  <c:v>42745</c:v>
                </c:pt>
                <c:pt idx="57">
                  <c:v>42744</c:v>
                </c:pt>
                <c:pt idx="58">
                  <c:v>42741</c:v>
                </c:pt>
                <c:pt idx="59">
                  <c:v>42740</c:v>
                </c:pt>
                <c:pt idx="60">
                  <c:v>42739</c:v>
                </c:pt>
                <c:pt idx="61">
                  <c:v>42738</c:v>
                </c:pt>
                <c:pt idx="62">
                  <c:v>42734</c:v>
                </c:pt>
                <c:pt idx="63">
                  <c:v>42733</c:v>
                </c:pt>
                <c:pt idx="64">
                  <c:v>42732</c:v>
                </c:pt>
                <c:pt idx="65">
                  <c:v>42731</c:v>
                </c:pt>
                <c:pt idx="66">
                  <c:v>42727</c:v>
                </c:pt>
                <c:pt idx="67">
                  <c:v>42726</c:v>
                </c:pt>
                <c:pt idx="68">
                  <c:v>42725</c:v>
                </c:pt>
                <c:pt idx="69">
                  <c:v>42724</c:v>
                </c:pt>
                <c:pt idx="70">
                  <c:v>42723</c:v>
                </c:pt>
                <c:pt idx="71">
                  <c:v>42720</c:v>
                </c:pt>
                <c:pt idx="72">
                  <c:v>42719</c:v>
                </c:pt>
                <c:pt idx="73">
                  <c:v>42718</c:v>
                </c:pt>
                <c:pt idx="74">
                  <c:v>42717</c:v>
                </c:pt>
                <c:pt idx="75">
                  <c:v>42716</c:v>
                </c:pt>
                <c:pt idx="76">
                  <c:v>42713</c:v>
                </c:pt>
                <c:pt idx="77">
                  <c:v>42712</c:v>
                </c:pt>
                <c:pt idx="78">
                  <c:v>42711</c:v>
                </c:pt>
                <c:pt idx="79">
                  <c:v>42710</c:v>
                </c:pt>
                <c:pt idx="80">
                  <c:v>42709</c:v>
                </c:pt>
                <c:pt idx="81">
                  <c:v>42706</c:v>
                </c:pt>
                <c:pt idx="82">
                  <c:v>42705</c:v>
                </c:pt>
                <c:pt idx="83">
                  <c:v>42704</c:v>
                </c:pt>
                <c:pt idx="84">
                  <c:v>42703</c:v>
                </c:pt>
                <c:pt idx="85">
                  <c:v>42702</c:v>
                </c:pt>
                <c:pt idx="86">
                  <c:v>42699</c:v>
                </c:pt>
                <c:pt idx="87">
                  <c:v>42697</c:v>
                </c:pt>
                <c:pt idx="88">
                  <c:v>42696</c:v>
                </c:pt>
                <c:pt idx="89">
                  <c:v>42695</c:v>
                </c:pt>
                <c:pt idx="90">
                  <c:v>42692</c:v>
                </c:pt>
                <c:pt idx="91">
                  <c:v>42691</c:v>
                </c:pt>
                <c:pt idx="92">
                  <c:v>42690</c:v>
                </c:pt>
                <c:pt idx="93">
                  <c:v>42689</c:v>
                </c:pt>
                <c:pt idx="94">
                  <c:v>42688</c:v>
                </c:pt>
                <c:pt idx="95">
                  <c:v>42685</c:v>
                </c:pt>
                <c:pt idx="96">
                  <c:v>42684</c:v>
                </c:pt>
                <c:pt idx="97">
                  <c:v>42683</c:v>
                </c:pt>
                <c:pt idx="98">
                  <c:v>42682</c:v>
                </c:pt>
                <c:pt idx="99">
                  <c:v>42681</c:v>
                </c:pt>
                <c:pt idx="100">
                  <c:v>42678</c:v>
                </c:pt>
                <c:pt idx="101">
                  <c:v>42677</c:v>
                </c:pt>
                <c:pt idx="102">
                  <c:v>42676</c:v>
                </c:pt>
                <c:pt idx="103">
                  <c:v>42675</c:v>
                </c:pt>
                <c:pt idx="104">
                  <c:v>42674</c:v>
                </c:pt>
                <c:pt idx="105">
                  <c:v>42671</c:v>
                </c:pt>
                <c:pt idx="106">
                  <c:v>42670</c:v>
                </c:pt>
                <c:pt idx="107">
                  <c:v>42669</c:v>
                </c:pt>
                <c:pt idx="108">
                  <c:v>42668</c:v>
                </c:pt>
                <c:pt idx="109">
                  <c:v>42667</c:v>
                </c:pt>
                <c:pt idx="110">
                  <c:v>42664</c:v>
                </c:pt>
                <c:pt idx="111">
                  <c:v>42663</c:v>
                </c:pt>
                <c:pt idx="112">
                  <c:v>42662</c:v>
                </c:pt>
                <c:pt idx="113">
                  <c:v>42661</c:v>
                </c:pt>
                <c:pt idx="114">
                  <c:v>42660</c:v>
                </c:pt>
                <c:pt idx="115">
                  <c:v>42657</c:v>
                </c:pt>
                <c:pt idx="116">
                  <c:v>42656</c:v>
                </c:pt>
                <c:pt idx="117">
                  <c:v>42655</c:v>
                </c:pt>
                <c:pt idx="118">
                  <c:v>42654</c:v>
                </c:pt>
                <c:pt idx="119">
                  <c:v>42653</c:v>
                </c:pt>
                <c:pt idx="120">
                  <c:v>42650</c:v>
                </c:pt>
                <c:pt idx="121">
                  <c:v>42649</c:v>
                </c:pt>
                <c:pt idx="122">
                  <c:v>42648</c:v>
                </c:pt>
                <c:pt idx="123">
                  <c:v>42647</c:v>
                </c:pt>
                <c:pt idx="124">
                  <c:v>42646</c:v>
                </c:pt>
                <c:pt idx="125">
                  <c:v>42643</c:v>
                </c:pt>
                <c:pt idx="126">
                  <c:v>42642</c:v>
                </c:pt>
                <c:pt idx="127">
                  <c:v>42641</c:v>
                </c:pt>
                <c:pt idx="128">
                  <c:v>42640</c:v>
                </c:pt>
                <c:pt idx="129">
                  <c:v>42639</c:v>
                </c:pt>
                <c:pt idx="130">
                  <c:v>42636</c:v>
                </c:pt>
                <c:pt idx="131">
                  <c:v>42635</c:v>
                </c:pt>
                <c:pt idx="132">
                  <c:v>42634</c:v>
                </c:pt>
                <c:pt idx="133">
                  <c:v>42633</c:v>
                </c:pt>
                <c:pt idx="134">
                  <c:v>42632</c:v>
                </c:pt>
                <c:pt idx="135">
                  <c:v>42629</c:v>
                </c:pt>
                <c:pt idx="136">
                  <c:v>42628</c:v>
                </c:pt>
                <c:pt idx="137">
                  <c:v>42627</c:v>
                </c:pt>
                <c:pt idx="138">
                  <c:v>42626</c:v>
                </c:pt>
                <c:pt idx="139">
                  <c:v>42625</c:v>
                </c:pt>
                <c:pt idx="140">
                  <c:v>42622</c:v>
                </c:pt>
                <c:pt idx="141">
                  <c:v>42621</c:v>
                </c:pt>
                <c:pt idx="142">
                  <c:v>42620</c:v>
                </c:pt>
                <c:pt idx="143">
                  <c:v>42619</c:v>
                </c:pt>
                <c:pt idx="144">
                  <c:v>42615</c:v>
                </c:pt>
                <c:pt idx="145">
                  <c:v>42614</c:v>
                </c:pt>
                <c:pt idx="146">
                  <c:v>42613</c:v>
                </c:pt>
                <c:pt idx="147">
                  <c:v>42612</c:v>
                </c:pt>
                <c:pt idx="148">
                  <c:v>42611</c:v>
                </c:pt>
                <c:pt idx="149">
                  <c:v>42608</c:v>
                </c:pt>
                <c:pt idx="150">
                  <c:v>42607</c:v>
                </c:pt>
                <c:pt idx="151">
                  <c:v>42606</c:v>
                </c:pt>
                <c:pt idx="152">
                  <c:v>42605</c:v>
                </c:pt>
                <c:pt idx="153">
                  <c:v>42604</c:v>
                </c:pt>
                <c:pt idx="154">
                  <c:v>42601</c:v>
                </c:pt>
                <c:pt idx="155">
                  <c:v>42600</c:v>
                </c:pt>
                <c:pt idx="156">
                  <c:v>42599</c:v>
                </c:pt>
                <c:pt idx="157">
                  <c:v>42598</c:v>
                </c:pt>
                <c:pt idx="158">
                  <c:v>42597</c:v>
                </c:pt>
                <c:pt idx="159">
                  <c:v>42594</c:v>
                </c:pt>
                <c:pt idx="160">
                  <c:v>42593</c:v>
                </c:pt>
                <c:pt idx="161">
                  <c:v>42592</c:v>
                </c:pt>
                <c:pt idx="162">
                  <c:v>42591</c:v>
                </c:pt>
                <c:pt idx="163">
                  <c:v>42590</c:v>
                </c:pt>
                <c:pt idx="164">
                  <c:v>42587</c:v>
                </c:pt>
                <c:pt idx="165">
                  <c:v>42586</c:v>
                </c:pt>
                <c:pt idx="166">
                  <c:v>42585</c:v>
                </c:pt>
                <c:pt idx="167">
                  <c:v>42584</c:v>
                </c:pt>
                <c:pt idx="168">
                  <c:v>42583</c:v>
                </c:pt>
                <c:pt idx="169">
                  <c:v>42580</c:v>
                </c:pt>
                <c:pt idx="170">
                  <c:v>42579</c:v>
                </c:pt>
                <c:pt idx="171">
                  <c:v>42578</c:v>
                </c:pt>
                <c:pt idx="172">
                  <c:v>42577</c:v>
                </c:pt>
                <c:pt idx="173">
                  <c:v>42576</c:v>
                </c:pt>
                <c:pt idx="174">
                  <c:v>42573</c:v>
                </c:pt>
                <c:pt idx="175">
                  <c:v>42572</c:v>
                </c:pt>
                <c:pt idx="176">
                  <c:v>42571</c:v>
                </c:pt>
                <c:pt idx="177">
                  <c:v>42570</c:v>
                </c:pt>
                <c:pt idx="178">
                  <c:v>42569</c:v>
                </c:pt>
                <c:pt idx="179">
                  <c:v>42566</c:v>
                </c:pt>
                <c:pt idx="180">
                  <c:v>42565</c:v>
                </c:pt>
                <c:pt idx="181">
                  <c:v>42564</c:v>
                </c:pt>
                <c:pt idx="182">
                  <c:v>42563</c:v>
                </c:pt>
                <c:pt idx="183">
                  <c:v>42562</c:v>
                </c:pt>
                <c:pt idx="184">
                  <c:v>42559</c:v>
                </c:pt>
                <c:pt idx="185">
                  <c:v>42558</c:v>
                </c:pt>
                <c:pt idx="186">
                  <c:v>42557</c:v>
                </c:pt>
                <c:pt idx="187">
                  <c:v>42556</c:v>
                </c:pt>
                <c:pt idx="188">
                  <c:v>42552</c:v>
                </c:pt>
                <c:pt idx="189">
                  <c:v>42551</c:v>
                </c:pt>
                <c:pt idx="190">
                  <c:v>42550</c:v>
                </c:pt>
                <c:pt idx="191">
                  <c:v>42549</c:v>
                </c:pt>
                <c:pt idx="192">
                  <c:v>42548</c:v>
                </c:pt>
                <c:pt idx="193">
                  <c:v>42545</c:v>
                </c:pt>
                <c:pt idx="194">
                  <c:v>42544</c:v>
                </c:pt>
                <c:pt idx="195">
                  <c:v>42543</c:v>
                </c:pt>
                <c:pt idx="196">
                  <c:v>42542</c:v>
                </c:pt>
                <c:pt idx="197">
                  <c:v>42541</c:v>
                </c:pt>
                <c:pt idx="198">
                  <c:v>42538</c:v>
                </c:pt>
                <c:pt idx="199">
                  <c:v>42537</c:v>
                </c:pt>
                <c:pt idx="200">
                  <c:v>42536</c:v>
                </c:pt>
                <c:pt idx="201">
                  <c:v>42535</c:v>
                </c:pt>
                <c:pt idx="202">
                  <c:v>42534</c:v>
                </c:pt>
                <c:pt idx="203">
                  <c:v>42531</c:v>
                </c:pt>
                <c:pt idx="204">
                  <c:v>42530</c:v>
                </c:pt>
                <c:pt idx="205">
                  <c:v>42529</c:v>
                </c:pt>
                <c:pt idx="206">
                  <c:v>42528</c:v>
                </c:pt>
                <c:pt idx="207">
                  <c:v>42527</c:v>
                </c:pt>
                <c:pt idx="208">
                  <c:v>42524</c:v>
                </c:pt>
                <c:pt idx="209">
                  <c:v>42523</c:v>
                </c:pt>
                <c:pt idx="210">
                  <c:v>42522</c:v>
                </c:pt>
                <c:pt idx="211">
                  <c:v>42521</c:v>
                </c:pt>
                <c:pt idx="212">
                  <c:v>42517</c:v>
                </c:pt>
                <c:pt idx="213">
                  <c:v>42516</c:v>
                </c:pt>
                <c:pt idx="214">
                  <c:v>42515</c:v>
                </c:pt>
                <c:pt idx="215">
                  <c:v>42514</c:v>
                </c:pt>
                <c:pt idx="216">
                  <c:v>42513</c:v>
                </c:pt>
                <c:pt idx="217">
                  <c:v>42510</c:v>
                </c:pt>
                <c:pt idx="218">
                  <c:v>42509</c:v>
                </c:pt>
                <c:pt idx="219">
                  <c:v>42508</c:v>
                </c:pt>
                <c:pt idx="220">
                  <c:v>42507</c:v>
                </c:pt>
                <c:pt idx="221">
                  <c:v>42506</c:v>
                </c:pt>
                <c:pt idx="222">
                  <c:v>42503</c:v>
                </c:pt>
                <c:pt idx="223">
                  <c:v>42502</c:v>
                </c:pt>
                <c:pt idx="224">
                  <c:v>42501</c:v>
                </c:pt>
                <c:pt idx="225">
                  <c:v>42500</c:v>
                </c:pt>
                <c:pt idx="226">
                  <c:v>42499</c:v>
                </c:pt>
                <c:pt idx="227">
                  <c:v>42496</c:v>
                </c:pt>
                <c:pt idx="228">
                  <c:v>42495</c:v>
                </c:pt>
                <c:pt idx="229">
                  <c:v>42494</c:v>
                </c:pt>
                <c:pt idx="230">
                  <c:v>42493</c:v>
                </c:pt>
                <c:pt idx="231">
                  <c:v>42492</c:v>
                </c:pt>
                <c:pt idx="232">
                  <c:v>42489</c:v>
                </c:pt>
                <c:pt idx="233">
                  <c:v>42488</c:v>
                </c:pt>
                <c:pt idx="234">
                  <c:v>42487</c:v>
                </c:pt>
                <c:pt idx="235">
                  <c:v>42486</c:v>
                </c:pt>
                <c:pt idx="236">
                  <c:v>42485</c:v>
                </c:pt>
                <c:pt idx="237">
                  <c:v>42482</c:v>
                </c:pt>
                <c:pt idx="238">
                  <c:v>42481</c:v>
                </c:pt>
                <c:pt idx="239">
                  <c:v>42480</c:v>
                </c:pt>
                <c:pt idx="240">
                  <c:v>42479</c:v>
                </c:pt>
                <c:pt idx="241">
                  <c:v>42478</c:v>
                </c:pt>
                <c:pt idx="242">
                  <c:v>42475</c:v>
                </c:pt>
                <c:pt idx="243">
                  <c:v>42474</c:v>
                </c:pt>
                <c:pt idx="244">
                  <c:v>42473</c:v>
                </c:pt>
                <c:pt idx="245">
                  <c:v>42472</c:v>
                </c:pt>
                <c:pt idx="246">
                  <c:v>42471</c:v>
                </c:pt>
                <c:pt idx="247">
                  <c:v>42468</c:v>
                </c:pt>
                <c:pt idx="248">
                  <c:v>42467</c:v>
                </c:pt>
                <c:pt idx="249">
                  <c:v>42466</c:v>
                </c:pt>
                <c:pt idx="250">
                  <c:v>42465</c:v>
                </c:pt>
                <c:pt idx="251">
                  <c:v>42464</c:v>
                </c:pt>
                <c:pt idx="252">
                  <c:v>42461</c:v>
                </c:pt>
                <c:pt idx="253">
                  <c:v>42460</c:v>
                </c:pt>
                <c:pt idx="254">
                  <c:v>42459</c:v>
                </c:pt>
                <c:pt idx="255">
                  <c:v>42458</c:v>
                </c:pt>
                <c:pt idx="256">
                  <c:v>42457</c:v>
                </c:pt>
                <c:pt idx="257">
                  <c:v>42453</c:v>
                </c:pt>
                <c:pt idx="258">
                  <c:v>42452</c:v>
                </c:pt>
                <c:pt idx="259">
                  <c:v>42451</c:v>
                </c:pt>
                <c:pt idx="260">
                  <c:v>42450</c:v>
                </c:pt>
                <c:pt idx="261">
                  <c:v>42447</c:v>
                </c:pt>
                <c:pt idx="262">
                  <c:v>42446</c:v>
                </c:pt>
                <c:pt idx="263">
                  <c:v>42445</c:v>
                </c:pt>
                <c:pt idx="264">
                  <c:v>42444</c:v>
                </c:pt>
                <c:pt idx="265">
                  <c:v>42443</c:v>
                </c:pt>
                <c:pt idx="266">
                  <c:v>42440</c:v>
                </c:pt>
                <c:pt idx="267">
                  <c:v>42439</c:v>
                </c:pt>
                <c:pt idx="268">
                  <c:v>42438</c:v>
                </c:pt>
                <c:pt idx="269">
                  <c:v>42437</c:v>
                </c:pt>
                <c:pt idx="270">
                  <c:v>42436</c:v>
                </c:pt>
                <c:pt idx="271">
                  <c:v>42433</c:v>
                </c:pt>
                <c:pt idx="272">
                  <c:v>42432</c:v>
                </c:pt>
                <c:pt idx="273">
                  <c:v>42431</c:v>
                </c:pt>
                <c:pt idx="274">
                  <c:v>42430</c:v>
                </c:pt>
                <c:pt idx="275">
                  <c:v>42429</c:v>
                </c:pt>
                <c:pt idx="276">
                  <c:v>42426</c:v>
                </c:pt>
                <c:pt idx="277">
                  <c:v>42425</c:v>
                </c:pt>
                <c:pt idx="278">
                  <c:v>42424</c:v>
                </c:pt>
                <c:pt idx="279">
                  <c:v>42423</c:v>
                </c:pt>
                <c:pt idx="280">
                  <c:v>42422</c:v>
                </c:pt>
                <c:pt idx="281">
                  <c:v>42419</c:v>
                </c:pt>
                <c:pt idx="282">
                  <c:v>42418</c:v>
                </c:pt>
                <c:pt idx="283">
                  <c:v>42417</c:v>
                </c:pt>
                <c:pt idx="284">
                  <c:v>42416</c:v>
                </c:pt>
                <c:pt idx="285">
                  <c:v>42412</c:v>
                </c:pt>
                <c:pt idx="286">
                  <c:v>42411</c:v>
                </c:pt>
                <c:pt idx="287">
                  <c:v>42410</c:v>
                </c:pt>
                <c:pt idx="288">
                  <c:v>42409</c:v>
                </c:pt>
                <c:pt idx="289">
                  <c:v>42408</c:v>
                </c:pt>
                <c:pt idx="290">
                  <c:v>42405</c:v>
                </c:pt>
                <c:pt idx="291">
                  <c:v>42404</c:v>
                </c:pt>
                <c:pt idx="292">
                  <c:v>42403</c:v>
                </c:pt>
                <c:pt idx="293">
                  <c:v>42402</c:v>
                </c:pt>
                <c:pt idx="294">
                  <c:v>42401</c:v>
                </c:pt>
                <c:pt idx="295">
                  <c:v>42398</c:v>
                </c:pt>
                <c:pt idx="296">
                  <c:v>42397</c:v>
                </c:pt>
                <c:pt idx="297">
                  <c:v>42396</c:v>
                </c:pt>
                <c:pt idx="298">
                  <c:v>42395</c:v>
                </c:pt>
                <c:pt idx="299">
                  <c:v>42394</c:v>
                </c:pt>
                <c:pt idx="300">
                  <c:v>42391</c:v>
                </c:pt>
                <c:pt idx="301">
                  <c:v>42390</c:v>
                </c:pt>
                <c:pt idx="302">
                  <c:v>42389</c:v>
                </c:pt>
                <c:pt idx="303">
                  <c:v>42388</c:v>
                </c:pt>
                <c:pt idx="304">
                  <c:v>42384</c:v>
                </c:pt>
                <c:pt idx="305">
                  <c:v>42383</c:v>
                </c:pt>
                <c:pt idx="306">
                  <c:v>42382</c:v>
                </c:pt>
                <c:pt idx="307">
                  <c:v>42381</c:v>
                </c:pt>
                <c:pt idx="308">
                  <c:v>42380</c:v>
                </c:pt>
                <c:pt idx="309">
                  <c:v>42377</c:v>
                </c:pt>
                <c:pt idx="310">
                  <c:v>42376</c:v>
                </c:pt>
                <c:pt idx="311">
                  <c:v>42375</c:v>
                </c:pt>
                <c:pt idx="312">
                  <c:v>42374</c:v>
                </c:pt>
                <c:pt idx="313">
                  <c:v>42373</c:v>
                </c:pt>
                <c:pt idx="314">
                  <c:v>42369</c:v>
                </c:pt>
                <c:pt idx="315">
                  <c:v>42368</c:v>
                </c:pt>
                <c:pt idx="316">
                  <c:v>42367</c:v>
                </c:pt>
                <c:pt idx="317">
                  <c:v>42366</c:v>
                </c:pt>
                <c:pt idx="318">
                  <c:v>42362</c:v>
                </c:pt>
                <c:pt idx="319">
                  <c:v>42361</c:v>
                </c:pt>
                <c:pt idx="320">
                  <c:v>42360</c:v>
                </c:pt>
                <c:pt idx="321">
                  <c:v>42359</c:v>
                </c:pt>
                <c:pt idx="322">
                  <c:v>42356</c:v>
                </c:pt>
                <c:pt idx="323">
                  <c:v>42355</c:v>
                </c:pt>
                <c:pt idx="324">
                  <c:v>42354</c:v>
                </c:pt>
                <c:pt idx="325">
                  <c:v>42353</c:v>
                </c:pt>
                <c:pt idx="326">
                  <c:v>42352</c:v>
                </c:pt>
                <c:pt idx="327">
                  <c:v>42349</c:v>
                </c:pt>
                <c:pt idx="328">
                  <c:v>42348</c:v>
                </c:pt>
                <c:pt idx="329">
                  <c:v>42347</c:v>
                </c:pt>
                <c:pt idx="330">
                  <c:v>42346</c:v>
                </c:pt>
                <c:pt idx="331">
                  <c:v>42345</c:v>
                </c:pt>
                <c:pt idx="332">
                  <c:v>42342</c:v>
                </c:pt>
                <c:pt idx="333">
                  <c:v>42341</c:v>
                </c:pt>
                <c:pt idx="334">
                  <c:v>42340</c:v>
                </c:pt>
                <c:pt idx="335">
                  <c:v>42339</c:v>
                </c:pt>
                <c:pt idx="336">
                  <c:v>42338</c:v>
                </c:pt>
                <c:pt idx="337">
                  <c:v>42335</c:v>
                </c:pt>
                <c:pt idx="338">
                  <c:v>42333</c:v>
                </c:pt>
                <c:pt idx="339">
                  <c:v>42332</c:v>
                </c:pt>
                <c:pt idx="340">
                  <c:v>42331</c:v>
                </c:pt>
                <c:pt idx="341">
                  <c:v>42328</c:v>
                </c:pt>
                <c:pt idx="342">
                  <c:v>42327</c:v>
                </c:pt>
                <c:pt idx="343">
                  <c:v>42326</c:v>
                </c:pt>
                <c:pt idx="344">
                  <c:v>42325</c:v>
                </c:pt>
                <c:pt idx="345">
                  <c:v>42324</c:v>
                </c:pt>
                <c:pt idx="346">
                  <c:v>42321</c:v>
                </c:pt>
                <c:pt idx="347">
                  <c:v>42320</c:v>
                </c:pt>
                <c:pt idx="348">
                  <c:v>42319</c:v>
                </c:pt>
                <c:pt idx="349">
                  <c:v>42318</c:v>
                </c:pt>
                <c:pt idx="350">
                  <c:v>42317</c:v>
                </c:pt>
                <c:pt idx="351">
                  <c:v>42314</c:v>
                </c:pt>
                <c:pt idx="352">
                  <c:v>42313</c:v>
                </c:pt>
                <c:pt idx="353">
                  <c:v>42312</c:v>
                </c:pt>
                <c:pt idx="354">
                  <c:v>42311</c:v>
                </c:pt>
                <c:pt idx="355">
                  <c:v>42310</c:v>
                </c:pt>
                <c:pt idx="356">
                  <c:v>42307</c:v>
                </c:pt>
                <c:pt idx="357">
                  <c:v>42306</c:v>
                </c:pt>
                <c:pt idx="358">
                  <c:v>42305</c:v>
                </c:pt>
                <c:pt idx="359">
                  <c:v>42304</c:v>
                </c:pt>
                <c:pt idx="360">
                  <c:v>42303</c:v>
                </c:pt>
                <c:pt idx="361">
                  <c:v>42300</c:v>
                </c:pt>
                <c:pt idx="362">
                  <c:v>42299</c:v>
                </c:pt>
                <c:pt idx="363">
                  <c:v>42298</c:v>
                </c:pt>
                <c:pt idx="364">
                  <c:v>42297</c:v>
                </c:pt>
                <c:pt idx="365">
                  <c:v>42296</c:v>
                </c:pt>
                <c:pt idx="366">
                  <c:v>42293</c:v>
                </c:pt>
                <c:pt idx="367">
                  <c:v>42292</c:v>
                </c:pt>
                <c:pt idx="368">
                  <c:v>42291</c:v>
                </c:pt>
                <c:pt idx="369">
                  <c:v>42290</c:v>
                </c:pt>
                <c:pt idx="370">
                  <c:v>42289</c:v>
                </c:pt>
                <c:pt idx="371">
                  <c:v>42286</c:v>
                </c:pt>
                <c:pt idx="372">
                  <c:v>42285</c:v>
                </c:pt>
                <c:pt idx="373">
                  <c:v>42284</c:v>
                </c:pt>
                <c:pt idx="374">
                  <c:v>42283</c:v>
                </c:pt>
                <c:pt idx="375">
                  <c:v>42282</c:v>
                </c:pt>
                <c:pt idx="376">
                  <c:v>42279</c:v>
                </c:pt>
                <c:pt idx="377">
                  <c:v>42278</c:v>
                </c:pt>
                <c:pt idx="378">
                  <c:v>42277</c:v>
                </c:pt>
                <c:pt idx="379">
                  <c:v>42276</c:v>
                </c:pt>
                <c:pt idx="380">
                  <c:v>42275</c:v>
                </c:pt>
                <c:pt idx="381">
                  <c:v>42272</c:v>
                </c:pt>
                <c:pt idx="382">
                  <c:v>42271</c:v>
                </c:pt>
                <c:pt idx="383">
                  <c:v>42270</c:v>
                </c:pt>
                <c:pt idx="384">
                  <c:v>42269</c:v>
                </c:pt>
                <c:pt idx="385">
                  <c:v>42268</c:v>
                </c:pt>
                <c:pt idx="386">
                  <c:v>42265</c:v>
                </c:pt>
                <c:pt idx="387">
                  <c:v>42264</c:v>
                </c:pt>
                <c:pt idx="388">
                  <c:v>42263</c:v>
                </c:pt>
                <c:pt idx="389">
                  <c:v>42262</c:v>
                </c:pt>
                <c:pt idx="390">
                  <c:v>42261</c:v>
                </c:pt>
                <c:pt idx="391">
                  <c:v>42258</c:v>
                </c:pt>
                <c:pt idx="392">
                  <c:v>42257</c:v>
                </c:pt>
                <c:pt idx="393">
                  <c:v>42256</c:v>
                </c:pt>
                <c:pt idx="394">
                  <c:v>42255</c:v>
                </c:pt>
                <c:pt idx="395">
                  <c:v>42251</c:v>
                </c:pt>
                <c:pt idx="396">
                  <c:v>42250</c:v>
                </c:pt>
                <c:pt idx="397">
                  <c:v>42249</c:v>
                </c:pt>
                <c:pt idx="398">
                  <c:v>42248</c:v>
                </c:pt>
                <c:pt idx="399">
                  <c:v>42247</c:v>
                </c:pt>
                <c:pt idx="400">
                  <c:v>42244</c:v>
                </c:pt>
                <c:pt idx="401">
                  <c:v>42243</c:v>
                </c:pt>
                <c:pt idx="402">
                  <c:v>42242</c:v>
                </c:pt>
                <c:pt idx="403">
                  <c:v>42241</c:v>
                </c:pt>
                <c:pt idx="404">
                  <c:v>42240</c:v>
                </c:pt>
                <c:pt idx="405">
                  <c:v>42237</c:v>
                </c:pt>
                <c:pt idx="406">
                  <c:v>42236</c:v>
                </c:pt>
                <c:pt idx="407">
                  <c:v>42235</c:v>
                </c:pt>
                <c:pt idx="408">
                  <c:v>42234</c:v>
                </c:pt>
                <c:pt idx="409">
                  <c:v>42233</c:v>
                </c:pt>
                <c:pt idx="410">
                  <c:v>42230</c:v>
                </c:pt>
                <c:pt idx="411">
                  <c:v>42229</c:v>
                </c:pt>
                <c:pt idx="412">
                  <c:v>42228</c:v>
                </c:pt>
                <c:pt idx="413">
                  <c:v>42227</c:v>
                </c:pt>
                <c:pt idx="414">
                  <c:v>42226</c:v>
                </c:pt>
                <c:pt idx="415">
                  <c:v>42223</c:v>
                </c:pt>
                <c:pt idx="416">
                  <c:v>42222</c:v>
                </c:pt>
                <c:pt idx="417">
                  <c:v>42221</c:v>
                </c:pt>
                <c:pt idx="418">
                  <c:v>42220</c:v>
                </c:pt>
                <c:pt idx="419">
                  <c:v>42219</c:v>
                </c:pt>
                <c:pt idx="420">
                  <c:v>42216</c:v>
                </c:pt>
                <c:pt idx="421">
                  <c:v>42215</c:v>
                </c:pt>
                <c:pt idx="422">
                  <c:v>42214</c:v>
                </c:pt>
                <c:pt idx="423">
                  <c:v>42213</c:v>
                </c:pt>
                <c:pt idx="424">
                  <c:v>42212</c:v>
                </c:pt>
                <c:pt idx="425">
                  <c:v>42209</c:v>
                </c:pt>
                <c:pt idx="426">
                  <c:v>42208</c:v>
                </c:pt>
                <c:pt idx="427">
                  <c:v>42207</c:v>
                </c:pt>
                <c:pt idx="428">
                  <c:v>42206</c:v>
                </c:pt>
                <c:pt idx="429">
                  <c:v>42205</c:v>
                </c:pt>
                <c:pt idx="430">
                  <c:v>42202</c:v>
                </c:pt>
                <c:pt idx="431">
                  <c:v>42201</c:v>
                </c:pt>
                <c:pt idx="432">
                  <c:v>42200</c:v>
                </c:pt>
                <c:pt idx="433">
                  <c:v>42199</c:v>
                </c:pt>
                <c:pt idx="434">
                  <c:v>42198</c:v>
                </c:pt>
                <c:pt idx="435">
                  <c:v>42195</c:v>
                </c:pt>
                <c:pt idx="436">
                  <c:v>42194</c:v>
                </c:pt>
                <c:pt idx="437">
                  <c:v>42193</c:v>
                </c:pt>
                <c:pt idx="438">
                  <c:v>42192</c:v>
                </c:pt>
                <c:pt idx="439">
                  <c:v>42191</c:v>
                </c:pt>
                <c:pt idx="440">
                  <c:v>42187</c:v>
                </c:pt>
                <c:pt idx="441">
                  <c:v>42186</c:v>
                </c:pt>
                <c:pt idx="442">
                  <c:v>42185</c:v>
                </c:pt>
                <c:pt idx="443">
                  <c:v>42184</c:v>
                </c:pt>
                <c:pt idx="444">
                  <c:v>42181</c:v>
                </c:pt>
                <c:pt idx="445">
                  <c:v>42180</c:v>
                </c:pt>
                <c:pt idx="446">
                  <c:v>42179</c:v>
                </c:pt>
                <c:pt idx="447">
                  <c:v>42178</c:v>
                </c:pt>
                <c:pt idx="448">
                  <c:v>42177</c:v>
                </c:pt>
                <c:pt idx="449">
                  <c:v>42174</c:v>
                </c:pt>
                <c:pt idx="450">
                  <c:v>42173</c:v>
                </c:pt>
                <c:pt idx="451">
                  <c:v>42172</c:v>
                </c:pt>
                <c:pt idx="452">
                  <c:v>42171</c:v>
                </c:pt>
                <c:pt idx="453">
                  <c:v>42170</c:v>
                </c:pt>
                <c:pt idx="454">
                  <c:v>42167</c:v>
                </c:pt>
                <c:pt idx="455">
                  <c:v>42166</c:v>
                </c:pt>
                <c:pt idx="456">
                  <c:v>42165</c:v>
                </c:pt>
                <c:pt idx="457">
                  <c:v>42164</c:v>
                </c:pt>
                <c:pt idx="458">
                  <c:v>42163</c:v>
                </c:pt>
                <c:pt idx="459">
                  <c:v>42160</c:v>
                </c:pt>
                <c:pt idx="460">
                  <c:v>42159</c:v>
                </c:pt>
                <c:pt idx="461">
                  <c:v>42158</c:v>
                </c:pt>
                <c:pt idx="462">
                  <c:v>42157</c:v>
                </c:pt>
                <c:pt idx="463">
                  <c:v>42156</c:v>
                </c:pt>
                <c:pt idx="464">
                  <c:v>42153</c:v>
                </c:pt>
                <c:pt idx="465">
                  <c:v>42152</c:v>
                </c:pt>
                <c:pt idx="466">
                  <c:v>42151</c:v>
                </c:pt>
                <c:pt idx="467">
                  <c:v>42150</c:v>
                </c:pt>
                <c:pt idx="468">
                  <c:v>42146</c:v>
                </c:pt>
                <c:pt idx="469">
                  <c:v>42145</c:v>
                </c:pt>
                <c:pt idx="470">
                  <c:v>42144</c:v>
                </c:pt>
                <c:pt idx="471">
                  <c:v>42143</c:v>
                </c:pt>
                <c:pt idx="472">
                  <c:v>42142</c:v>
                </c:pt>
                <c:pt idx="473">
                  <c:v>42139</c:v>
                </c:pt>
                <c:pt idx="474">
                  <c:v>42138</c:v>
                </c:pt>
                <c:pt idx="475">
                  <c:v>42137</c:v>
                </c:pt>
                <c:pt idx="476">
                  <c:v>42136</c:v>
                </c:pt>
                <c:pt idx="477">
                  <c:v>42135</c:v>
                </c:pt>
                <c:pt idx="478">
                  <c:v>42132</c:v>
                </c:pt>
                <c:pt idx="479">
                  <c:v>42131</c:v>
                </c:pt>
                <c:pt idx="480">
                  <c:v>42130</c:v>
                </c:pt>
                <c:pt idx="481">
                  <c:v>42129</c:v>
                </c:pt>
                <c:pt idx="482">
                  <c:v>42128</c:v>
                </c:pt>
                <c:pt idx="483">
                  <c:v>42125</c:v>
                </c:pt>
                <c:pt idx="484">
                  <c:v>42124</c:v>
                </c:pt>
                <c:pt idx="485">
                  <c:v>42123</c:v>
                </c:pt>
                <c:pt idx="486">
                  <c:v>42122</c:v>
                </c:pt>
                <c:pt idx="487">
                  <c:v>42121</c:v>
                </c:pt>
                <c:pt idx="488">
                  <c:v>42118</c:v>
                </c:pt>
                <c:pt idx="489">
                  <c:v>42117</c:v>
                </c:pt>
                <c:pt idx="490">
                  <c:v>42116</c:v>
                </c:pt>
                <c:pt idx="491">
                  <c:v>42115</c:v>
                </c:pt>
                <c:pt idx="492">
                  <c:v>42114</c:v>
                </c:pt>
                <c:pt idx="493">
                  <c:v>42111</c:v>
                </c:pt>
                <c:pt idx="494">
                  <c:v>42110</c:v>
                </c:pt>
                <c:pt idx="495">
                  <c:v>42109</c:v>
                </c:pt>
                <c:pt idx="496">
                  <c:v>42108</c:v>
                </c:pt>
                <c:pt idx="497">
                  <c:v>42107</c:v>
                </c:pt>
                <c:pt idx="498">
                  <c:v>42104</c:v>
                </c:pt>
                <c:pt idx="499">
                  <c:v>42103</c:v>
                </c:pt>
                <c:pt idx="500">
                  <c:v>42102</c:v>
                </c:pt>
                <c:pt idx="501">
                  <c:v>42101</c:v>
                </c:pt>
                <c:pt idx="502">
                  <c:v>42100</c:v>
                </c:pt>
                <c:pt idx="503">
                  <c:v>42096</c:v>
                </c:pt>
                <c:pt idx="504">
                  <c:v>42095</c:v>
                </c:pt>
                <c:pt idx="505">
                  <c:v>42094</c:v>
                </c:pt>
                <c:pt idx="506">
                  <c:v>42093</c:v>
                </c:pt>
                <c:pt idx="507">
                  <c:v>42090</c:v>
                </c:pt>
                <c:pt idx="508">
                  <c:v>42089</c:v>
                </c:pt>
                <c:pt idx="509">
                  <c:v>42088</c:v>
                </c:pt>
                <c:pt idx="510">
                  <c:v>42087</c:v>
                </c:pt>
                <c:pt idx="511">
                  <c:v>42086</c:v>
                </c:pt>
                <c:pt idx="512">
                  <c:v>42083</c:v>
                </c:pt>
                <c:pt idx="513">
                  <c:v>42082</c:v>
                </c:pt>
                <c:pt idx="514">
                  <c:v>42081</c:v>
                </c:pt>
                <c:pt idx="515">
                  <c:v>42080</c:v>
                </c:pt>
                <c:pt idx="516">
                  <c:v>42079</c:v>
                </c:pt>
                <c:pt idx="517">
                  <c:v>42076</c:v>
                </c:pt>
                <c:pt idx="518">
                  <c:v>42075</c:v>
                </c:pt>
                <c:pt idx="519">
                  <c:v>42074</c:v>
                </c:pt>
                <c:pt idx="520">
                  <c:v>42073</c:v>
                </c:pt>
                <c:pt idx="521">
                  <c:v>42072</c:v>
                </c:pt>
                <c:pt idx="522">
                  <c:v>42069</c:v>
                </c:pt>
                <c:pt idx="523">
                  <c:v>42068</c:v>
                </c:pt>
                <c:pt idx="524">
                  <c:v>42067</c:v>
                </c:pt>
                <c:pt idx="525">
                  <c:v>42066</c:v>
                </c:pt>
                <c:pt idx="526">
                  <c:v>42065</c:v>
                </c:pt>
                <c:pt idx="527">
                  <c:v>42062</c:v>
                </c:pt>
                <c:pt idx="528">
                  <c:v>42061</c:v>
                </c:pt>
                <c:pt idx="529">
                  <c:v>42060</c:v>
                </c:pt>
                <c:pt idx="530">
                  <c:v>42059</c:v>
                </c:pt>
                <c:pt idx="531">
                  <c:v>42058</c:v>
                </c:pt>
                <c:pt idx="532">
                  <c:v>42055</c:v>
                </c:pt>
                <c:pt idx="533">
                  <c:v>42054</c:v>
                </c:pt>
                <c:pt idx="534">
                  <c:v>42053</c:v>
                </c:pt>
                <c:pt idx="535">
                  <c:v>42052</c:v>
                </c:pt>
                <c:pt idx="536">
                  <c:v>42048</c:v>
                </c:pt>
                <c:pt idx="537">
                  <c:v>42047</c:v>
                </c:pt>
                <c:pt idx="538">
                  <c:v>42046</c:v>
                </c:pt>
                <c:pt idx="539">
                  <c:v>42045</c:v>
                </c:pt>
                <c:pt idx="540">
                  <c:v>42044</c:v>
                </c:pt>
                <c:pt idx="541">
                  <c:v>42041</c:v>
                </c:pt>
                <c:pt idx="542">
                  <c:v>42040</c:v>
                </c:pt>
                <c:pt idx="543">
                  <c:v>42039</c:v>
                </c:pt>
                <c:pt idx="544">
                  <c:v>42038</c:v>
                </c:pt>
                <c:pt idx="545">
                  <c:v>42037</c:v>
                </c:pt>
                <c:pt idx="546">
                  <c:v>42034</c:v>
                </c:pt>
                <c:pt idx="547">
                  <c:v>42033</c:v>
                </c:pt>
                <c:pt idx="548">
                  <c:v>42032</c:v>
                </c:pt>
                <c:pt idx="549">
                  <c:v>42031</c:v>
                </c:pt>
                <c:pt idx="550">
                  <c:v>42030</c:v>
                </c:pt>
                <c:pt idx="551">
                  <c:v>42027</c:v>
                </c:pt>
                <c:pt idx="552">
                  <c:v>42026</c:v>
                </c:pt>
                <c:pt idx="553">
                  <c:v>42025</c:v>
                </c:pt>
                <c:pt idx="554">
                  <c:v>42024</c:v>
                </c:pt>
                <c:pt idx="555">
                  <c:v>42020</c:v>
                </c:pt>
                <c:pt idx="556">
                  <c:v>42019</c:v>
                </c:pt>
                <c:pt idx="557">
                  <c:v>42018</c:v>
                </c:pt>
                <c:pt idx="558">
                  <c:v>42017</c:v>
                </c:pt>
                <c:pt idx="559">
                  <c:v>42016</c:v>
                </c:pt>
                <c:pt idx="560">
                  <c:v>42013</c:v>
                </c:pt>
                <c:pt idx="561">
                  <c:v>42012</c:v>
                </c:pt>
                <c:pt idx="562">
                  <c:v>42011</c:v>
                </c:pt>
                <c:pt idx="563">
                  <c:v>42010</c:v>
                </c:pt>
                <c:pt idx="564">
                  <c:v>42009</c:v>
                </c:pt>
                <c:pt idx="565">
                  <c:v>42006</c:v>
                </c:pt>
                <c:pt idx="566">
                  <c:v>42004</c:v>
                </c:pt>
                <c:pt idx="567">
                  <c:v>42003</c:v>
                </c:pt>
                <c:pt idx="568">
                  <c:v>42002</c:v>
                </c:pt>
                <c:pt idx="569">
                  <c:v>41999</c:v>
                </c:pt>
                <c:pt idx="570">
                  <c:v>41997</c:v>
                </c:pt>
                <c:pt idx="571">
                  <c:v>41996</c:v>
                </c:pt>
                <c:pt idx="572">
                  <c:v>41995</c:v>
                </c:pt>
                <c:pt idx="573">
                  <c:v>41992</c:v>
                </c:pt>
                <c:pt idx="574">
                  <c:v>41991</c:v>
                </c:pt>
                <c:pt idx="575">
                  <c:v>41990</c:v>
                </c:pt>
                <c:pt idx="576">
                  <c:v>41989</c:v>
                </c:pt>
                <c:pt idx="577">
                  <c:v>41988</c:v>
                </c:pt>
                <c:pt idx="578">
                  <c:v>41985</c:v>
                </c:pt>
                <c:pt idx="579">
                  <c:v>41984</c:v>
                </c:pt>
                <c:pt idx="580">
                  <c:v>41983</c:v>
                </c:pt>
                <c:pt idx="581">
                  <c:v>41982</c:v>
                </c:pt>
                <c:pt idx="582">
                  <c:v>41981</c:v>
                </c:pt>
                <c:pt idx="583">
                  <c:v>41978</c:v>
                </c:pt>
                <c:pt idx="584">
                  <c:v>41977</c:v>
                </c:pt>
                <c:pt idx="585">
                  <c:v>41976</c:v>
                </c:pt>
                <c:pt idx="586">
                  <c:v>41975</c:v>
                </c:pt>
                <c:pt idx="587">
                  <c:v>41974</c:v>
                </c:pt>
                <c:pt idx="588">
                  <c:v>41971</c:v>
                </c:pt>
                <c:pt idx="589">
                  <c:v>41969</c:v>
                </c:pt>
                <c:pt idx="590">
                  <c:v>41968</c:v>
                </c:pt>
                <c:pt idx="591">
                  <c:v>41967</c:v>
                </c:pt>
                <c:pt idx="592">
                  <c:v>41964</c:v>
                </c:pt>
                <c:pt idx="593">
                  <c:v>41963</c:v>
                </c:pt>
                <c:pt idx="594">
                  <c:v>41962</c:v>
                </c:pt>
                <c:pt idx="595">
                  <c:v>41961</c:v>
                </c:pt>
                <c:pt idx="596">
                  <c:v>41960</c:v>
                </c:pt>
                <c:pt idx="597">
                  <c:v>41957</c:v>
                </c:pt>
                <c:pt idx="598">
                  <c:v>41956</c:v>
                </c:pt>
                <c:pt idx="599">
                  <c:v>41955</c:v>
                </c:pt>
                <c:pt idx="600">
                  <c:v>41954</c:v>
                </c:pt>
                <c:pt idx="601">
                  <c:v>41953</c:v>
                </c:pt>
                <c:pt idx="602">
                  <c:v>41950</c:v>
                </c:pt>
                <c:pt idx="603">
                  <c:v>41949</c:v>
                </c:pt>
                <c:pt idx="604">
                  <c:v>41948</c:v>
                </c:pt>
                <c:pt idx="605">
                  <c:v>41947</c:v>
                </c:pt>
                <c:pt idx="606">
                  <c:v>41946</c:v>
                </c:pt>
                <c:pt idx="607">
                  <c:v>41943</c:v>
                </c:pt>
                <c:pt idx="608">
                  <c:v>41942</c:v>
                </c:pt>
                <c:pt idx="609">
                  <c:v>41941</c:v>
                </c:pt>
                <c:pt idx="610">
                  <c:v>41940</c:v>
                </c:pt>
                <c:pt idx="611">
                  <c:v>41939</c:v>
                </c:pt>
                <c:pt idx="612">
                  <c:v>41936</c:v>
                </c:pt>
                <c:pt idx="613">
                  <c:v>41935</c:v>
                </c:pt>
                <c:pt idx="614">
                  <c:v>41934</c:v>
                </c:pt>
                <c:pt idx="615">
                  <c:v>41933</c:v>
                </c:pt>
                <c:pt idx="616">
                  <c:v>41932</c:v>
                </c:pt>
                <c:pt idx="617">
                  <c:v>41929</c:v>
                </c:pt>
                <c:pt idx="618">
                  <c:v>41928</c:v>
                </c:pt>
                <c:pt idx="619">
                  <c:v>41927</c:v>
                </c:pt>
                <c:pt idx="620">
                  <c:v>41926</c:v>
                </c:pt>
                <c:pt idx="621">
                  <c:v>41925</c:v>
                </c:pt>
                <c:pt idx="622">
                  <c:v>41922</c:v>
                </c:pt>
                <c:pt idx="623">
                  <c:v>41921</c:v>
                </c:pt>
                <c:pt idx="624">
                  <c:v>41920</c:v>
                </c:pt>
                <c:pt idx="625">
                  <c:v>41919</c:v>
                </c:pt>
                <c:pt idx="626">
                  <c:v>41918</c:v>
                </c:pt>
                <c:pt idx="627">
                  <c:v>41915</c:v>
                </c:pt>
                <c:pt idx="628">
                  <c:v>41914</c:v>
                </c:pt>
                <c:pt idx="629">
                  <c:v>41913</c:v>
                </c:pt>
                <c:pt idx="630">
                  <c:v>41912</c:v>
                </c:pt>
                <c:pt idx="631">
                  <c:v>41911</c:v>
                </c:pt>
                <c:pt idx="632">
                  <c:v>41908</c:v>
                </c:pt>
                <c:pt idx="633">
                  <c:v>41907</c:v>
                </c:pt>
                <c:pt idx="634">
                  <c:v>41906</c:v>
                </c:pt>
                <c:pt idx="635">
                  <c:v>41905</c:v>
                </c:pt>
                <c:pt idx="636">
                  <c:v>41904</c:v>
                </c:pt>
                <c:pt idx="637">
                  <c:v>41901</c:v>
                </c:pt>
                <c:pt idx="638">
                  <c:v>41900</c:v>
                </c:pt>
                <c:pt idx="639">
                  <c:v>41899</c:v>
                </c:pt>
                <c:pt idx="640">
                  <c:v>41898</c:v>
                </c:pt>
                <c:pt idx="641">
                  <c:v>41897</c:v>
                </c:pt>
                <c:pt idx="642">
                  <c:v>41894</c:v>
                </c:pt>
                <c:pt idx="643">
                  <c:v>41893</c:v>
                </c:pt>
                <c:pt idx="644">
                  <c:v>41892</c:v>
                </c:pt>
                <c:pt idx="645">
                  <c:v>41891</c:v>
                </c:pt>
                <c:pt idx="646">
                  <c:v>41890</c:v>
                </c:pt>
                <c:pt idx="647">
                  <c:v>41887</c:v>
                </c:pt>
                <c:pt idx="648">
                  <c:v>41886</c:v>
                </c:pt>
                <c:pt idx="649">
                  <c:v>41885</c:v>
                </c:pt>
                <c:pt idx="650">
                  <c:v>41884</c:v>
                </c:pt>
                <c:pt idx="651">
                  <c:v>41880</c:v>
                </c:pt>
                <c:pt idx="652">
                  <c:v>41879</c:v>
                </c:pt>
                <c:pt idx="653">
                  <c:v>41878</c:v>
                </c:pt>
                <c:pt idx="654">
                  <c:v>41877</c:v>
                </c:pt>
                <c:pt idx="655">
                  <c:v>41876</c:v>
                </c:pt>
                <c:pt idx="656">
                  <c:v>41873</c:v>
                </c:pt>
                <c:pt idx="657">
                  <c:v>41872</c:v>
                </c:pt>
                <c:pt idx="658">
                  <c:v>41871</c:v>
                </c:pt>
                <c:pt idx="659">
                  <c:v>41870</c:v>
                </c:pt>
                <c:pt idx="660">
                  <c:v>41869</c:v>
                </c:pt>
                <c:pt idx="661">
                  <c:v>41866</c:v>
                </c:pt>
                <c:pt idx="662">
                  <c:v>41865</c:v>
                </c:pt>
                <c:pt idx="663">
                  <c:v>41864</c:v>
                </c:pt>
                <c:pt idx="664">
                  <c:v>41863</c:v>
                </c:pt>
                <c:pt idx="665">
                  <c:v>41862</c:v>
                </c:pt>
                <c:pt idx="666">
                  <c:v>41859</c:v>
                </c:pt>
                <c:pt idx="667">
                  <c:v>41858</c:v>
                </c:pt>
                <c:pt idx="668">
                  <c:v>41857</c:v>
                </c:pt>
                <c:pt idx="669">
                  <c:v>41856</c:v>
                </c:pt>
                <c:pt idx="670">
                  <c:v>41855</c:v>
                </c:pt>
                <c:pt idx="671">
                  <c:v>41852</c:v>
                </c:pt>
                <c:pt idx="672">
                  <c:v>41851</c:v>
                </c:pt>
                <c:pt idx="673">
                  <c:v>41850</c:v>
                </c:pt>
                <c:pt idx="674">
                  <c:v>41849</c:v>
                </c:pt>
                <c:pt idx="675">
                  <c:v>41848</c:v>
                </c:pt>
                <c:pt idx="676">
                  <c:v>41845</c:v>
                </c:pt>
                <c:pt idx="677">
                  <c:v>41844</c:v>
                </c:pt>
                <c:pt idx="678">
                  <c:v>41843</c:v>
                </c:pt>
                <c:pt idx="679">
                  <c:v>41842</c:v>
                </c:pt>
                <c:pt idx="680">
                  <c:v>41841</c:v>
                </c:pt>
                <c:pt idx="681">
                  <c:v>41838</c:v>
                </c:pt>
                <c:pt idx="682">
                  <c:v>41837</c:v>
                </c:pt>
                <c:pt idx="683">
                  <c:v>41836</c:v>
                </c:pt>
                <c:pt idx="684">
                  <c:v>41835</c:v>
                </c:pt>
                <c:pt idx="685">
                  <c:v>41834</c:v>
                </c:pt>
                <c:pt idx="686">
                  <c:v>41831</c:v>
                </c:pt>
                <c:pt idx="687">
                  <c:v>41830</c:v>
                </c:pt>
                <c:pt idx="688">
                  <c:v>41829</c:v>
                </c:pt>
                <c:pt idx="689">
                  <c:v>41828</c:v>
                </c:pt>
                <c:pt idx="690">
                  <c:v>41827</c:v>
                </c:pt>
                <c:pt idx="691">
                  <c:v>41823</c:v>
                </c:pt>
                <c:pt idx="692">
                  <c:v>41822</c:v>
                </c:pt>
                <c:pt idx="693">
                  <c:v>41821</c:v>
                </c:pt>
                <c:pt idx="694">
                  <c:v>41820</c:v>
                </c:pt>
                <c:pt idx="695">
                  <c:v>41817</c:v>
                </c:pt>
                <c:pt idx="696">
                  <c:v>41816</c:v>
                </c:pt>
                <c:pt idx="697">
                  <c:v>41815</c:v>
                </c:pt>
                <c:pt idx="698">
                  <c:v>41814</c:v>
                </c:pt>
                <c:pt idx="699">
                  <c:v>41813</c:v>
                </c:pt>
                <c:pt idx="700">
                  <c:v>41810</c:v>
                </c:pt>
                <c:pt idx="701">
                  <c:v>41809</c:v>
                </c:pt>
                <c:pt idx="702">
                  <c:v>41808</c:v>
                </c:pt>
                <c:pt idx="703">
                  <c:v>41807</c:v>
                </c:pt>
                <c:pt idx="704">
                  <c:v>41806</c:v>
                </c:pt>
                <c:pt idx="705">
                  <c:v>41803</c:v>
                </c:pt>
                <c:pt idx="706">
                  <c:v>41802</c:v>
                </c:pt>
                <c:pt idx="707">
                  <c:v>41801</c:v>
                </c:pt>
                <c:pt idx="708">
                  <c:v>41800</c:v>
                </c:pt>
                <c:pt idx="709">
                  <c:v>41799</c:v>
                </c:pt>
                <c:pt idx="710">
                  <c:v>41796</c:v>
                </c:pt>
                <c:pt idx="711">
                  <c:v>41795</c:v>
                </c:pt>
                <c:pt idx="712">
                  <c:v>41794</c:v>
                </c:pt>
                <c:pt idx="713">
                  <c:v>41793</c:v>
                </c:pt>
                <c:pt idx="714">
                  <c:v>41792</c:v>
                </c:pt>
                <c:pt idx="715">
                  <c:v>41789</c:v>
                </c:pt>
                <c:pt idx="716">
                  <c:v>41788</c:v>
                </c:pt>
                <c:pt idx="717">
                  <c:v>41787</c:v>
                </c:pt>
                <c:pt idx="718">
                  <c:v>41786</c:v>
                </c:pt>
                <c:pt idx="719">
                  <c:v>41782</c:v>
                </c:pt>
                <c:pt idx="720">
                  <c:v>41781</c:v>
                </c:pt>
                <c:pt idx="721">
                  <c:v>41780</c:v>
                </c:pt>
                <c:pt idx="722">
                  <c:v>41779</c:v>
                </c:pt>
                <c:pt idx="723">
                  <c:v>41778</c:v>
                </c:pt>
                <c:pt idx="724">
                  <c:v>41775</c:v>
                </c:pt>
                <c:pt idx="725">
                  <c:v>41774</c:v>
                </c:pt>
                <c:pt idx="726">
                  <c:v>41773</c:v>
                </c:pt>
                <c:pt idx="727">
                  <c:v>41772</c:v>
                </c:pt>
                <c:pt idx="728">
                  <c:v>41771</c:v>
                </c:pt>
                <c:pt idx="729">
                  <c:v>41768</c:v>
                </c:pt>
                <c:pt idx="730">
                  <c:v>41767</c:v>
                </c:pt>
                <c:pt idx="731">
                  <c:v>41766</c:v>
                </c:pt>
                <c:pt idx="732">
                  <c:v>41765</c:v>
                </c:pt>
                <c:pt idx="733">
                  <c:v>41764</c:v>
                </c:pt>
                <c:pt idx="734">
                  <c:v>41761</c:v>
                </c:pt>
                <c:pt idx="735">
                  <c:v>41760</c:v>
                </c:pt>
                <c:pt idx="736">
                  <c:v>41759</c:v>
                </c:pt>
                <c:pt idx="737">
                  <c:v>41758</c:v>
                </c:pt>
                <c:pt idx="738">
                  <c:v>41757</c:v>
                </c:pt>
                <c:pt idx="739">
                  <c:v>41754</c:v>
                </c:pt>
                <c:pt idx="740">
                  <c:v>41753</c:v>
                </c:pt>
                <c:pt idx="741">
                  <c:v>41752</c:v>
                </c:pt>
                <c:pt idx="742">
                  <c:v>41751</c:v>
                </c:pt>
                <c:pt idx="743">
                  <c:v>41750</c:v>
                </c:pt>
                <c:pt idx="744">
                  <c:v>41746</c:v>
                </c:pt>
                <c:pt idx="745">
                  <c:v>41745</c:v>
                </c:pt>
                <c:pt idx="746">
                  <c:v>41744</c:v>
                </c:pt>
                <c:pt idx="747">
                  <c:v>41743</c:v>
                </c:pt>
                <c:pt idx="748">
                  <c:v>41740</c:v>
                </c:pt>
                <c:pt idx="749">
                  <c:v>41739</c:v>
                </c:pt>
                <c:pt idx="750">
                  <c:v>41738</c:v>
                </c:pt>
                <c:pt idx="751">
                  <c:v>41737</c:v>
                </c:pt>
                <c:pt idx="752">
                  <c:v>41736</c:v>
                </c:pt>
                <c:pt idx="753">
                  <c:v>41733</c:v>
                </c:pt>
                <c:pt idx="754">
                  <c:v>41732</c:v>
                </c:pt>
                <c:pt idx="755">
                  <c:v>41731</c:v>
                </c:pt>
                <c:pt idx="756">
                  <c:v>41730</c:v>
                </c:pt>
                <c:pt idx="757">
                  <c:v>41729</c:v>
                </c:pt>
              </c:numCache>
            </c:numRef>
          </c:cat>
          <c:val>
            <c:numRef>
              <c:f>Exhibits!$EI$102:$EI$859</c:f>
              <c:numCache>
                <c:formatCode>0%</c:formatCode>
                <c:ptCount val="758"/>
                <c:pt idx="0">
                  <c:v>1.2584872446744515</c:v>
                </c:pt>
                <c:pt idx="1">
                  <c:v>1.2607422922099667</c:v>
                </c:pt>
                <c:pt idx="2">
                  <c:v>1.2578071821806978</c:v>
                </c:pt>
                <c:pt idx="3">
                  <c:v>1.256721857205735</c:v>
                </c:pt>
                <c:pt idx="4">
                  <c:v>1.2494703830527576</c:v>
                </c:pt>
                <c:pt idx="5">
                  <c:v>1.2504899702593002</c:v>
                </c:pt>
                <c:pt idx="6">
                  <c:v>1.251333966334645</c:v>
                </c:pt>
                <c:pt idx="7">
                  <c:v>1.2523942358962508</c:v>
                </c:pt>
                <c:pt idx="8">
                  <c:v>1.2505043497339303</c:v>
                </c:pt>
                <c:pt idx="9">
                  <c:v>1.2629123226005903</c:v>
                </c:pt>
                <c:pt idx="10">
                  <c:v>1.2649222160096094</c:v>
                </c:pt>
                <c:pt idx="11">
                  <c:v>1.2662365308832435</c:v>
                </c:pt>
                <c:pt idx="12">
                  <c:v>1.2678632411721567</c:v>
                </c:pt>
                <c:pt idx="13">
                  <c:v>1.2594884882032236</c:v>
                </c:pt>
                <c:pt idx="14">
                  <c:v>1.2628675155758011</c:v>
                </c:pt>
                <c:pt idx="15">
                  <c:v>1.2625008827830548</c:v>
                </c:pt>
                <c:pt idx="16">
                  <c:v>1.2592322123624544</c:v>
                </c:pt>
                <c:pt idx="17">
                  <c:v>1.2584323168847111</c:v>
                </c:pt>
                <c:pt idx="18">
                  <c:v>1.2607165324253995</c:v>
                </c:pt>
                <c:pt idx="19">
                  <c:v>1.2636299061863447</c:v>
                </c:pt>
                <c:pt idx="20">
                  <c:v>1.2669071467854598</c:v>
                </c:pt>
                <c:pt idx="21">
                  <c:v>1.2664032696446228</c:v>
                </c:pt>
                <c:pt idx="22">
                  <c:v>1.2722631501219828</c:v>
                </c:pt>
                <c:pt idx="23">
                  <c:v>1.2585892956166003</c:v>
                </c:pt>
                <c:pt idx="24">
                  <c:v>1.2611676718166214</c:v>
                </c:pt>
                <c:pt idx="25">
                  <c:v>1.2601496888017534</c:v>
                </c:pt>
                <c:pt idx="26">
                  <c:v>1.2586563247361595</c:v>
                </c:pt>
                <c:pt idx="27">
                  <c:v>1.2582373376903799</c:v>
                </c:pt>
                <c:pt idx="28">
                  <c:v>1.259319538066902</c:v>
                </c:pt>
                <c:pt idx="29">
                  <c:v>1.2532714717795248</c:v>
                </c:pt>
                <c:pt idx="30">
                  <c:v>1.2515929154240582</c:v>
                </c:pt>
                <c:pt idx="31">
                  <c:v>1.2524570333340295</c:v>
                </c:pt>
                <c:pt idx="32">
                  <c:v>1.24746472436039</c:v>
                </c:pt>
                <c:pt idx="33">
                  <c:v>1.2434573892374436</c:v>
                </c:pt>
                <c:pt idx="34">
                  <c:v>1.2382115442886472</c:v>
                </c:pt>
                <c:pt idx="35">
                  <c:v>1.2346454939553217</c:v>
                </c:pt>
                <c:pt idx="36">
                  <c:v>1.2288929476420398</c:v>
                </c:pt>
                <c:pt idx="37">
                  <c:v>1.2281996251474383</c:v>
                </c:pt>
                <c:pt idx="38">
                  <c:v>1.2279727961935103</c:v>
                </c:pt>
                <c:pt idx="39">
                  <c:v>1.2300881530568604</c:v>
                </c:pt>
                <c:pt idx="40">
                  <c:v>1.2228233950552145</c:v>
                </c:pt>
                <c:pt idx="41">
                  <c:v>1.2222530855765654</c:v>
                </c:pt>
                <c:pt idx="42">
                  <c:v>1.2219547219291913</c:v>
                </c:pt>
                <c:pt idx="43">
                  <c:v>1.2228446272679658</c:v>
                </c:pt>
                <c:pt idx="44">
                  <c:v>1.2288541707594889</c:v>
                </c:pt>
                <c:pt idx="45">
                  <c:v>1.2297206349856411</c:v>
                </c:pt>
                <c:pt idx="46">
                  <c:v>1.2304560191552742</c:v>
                </c:pt>
                <c:pt idx="47">
                  <c:v>1.2224299285290103</c:v>
                </c:pt>
                <c:pt idx="48">
                  <c:v>1.2158653349736224</c:v>
                </c:pt>
                <c:pt idx="49">
                  <c:v>1.2185554599857442</c:v>
                </c:pt>
                <c:pt idx="50">
                  <c:v>1.2151892224715051</c:v>
                </c:pt>
                <c:pt idx="51">
                  <c:v>1.2187985311907634</c:v>
                </c:pt>
                <c:pt idx="52">
                  <c:v>1.2170347771335905</c:v>
                </c:pt>
                <c:pt idx="53">
                  <c:v>1.2200022798230372</c:v>
                </c:pt>
                <c:pt idx="54">
                  <c:v>1.2181524392154279</c:v>
                </c:pt>
                <c:pt idx="55">
                  <c:v>1.2202972482331278</c:v>
                </c:pt>
                <c:pt idx="56">
                  <c:v>1.2174676099602624</c:v>
                </c:pt>
                <c:pt idx="57">
                  <c:v>1.2174676099602624</c:v>
                </c:pt>
                <c:pt idx="58">
                  <c:v>1.2210162041819823</c:v>
                </c:pt>
                <c:pt idx="59">
                  <c:v>1.2174992451692013</c:v>
                </c:pt>
                <c:pt idx="60">
                  <c:v>1.2182699156525219</c:v>
                </c:pt>
                <c:pt idx="61">
                  <c:v>1.2125476418083163</c:v>
                </c:pt>
                <c:pt idx="62">
                  <c:v>1.2040610665265632</c:v>
                </c:pt>
                <c:pt idx="63">
                  <c:v>1.208698116913637</c:v>
                </c:pt>
                <c:pt idx="64">
                  <c:v>1.2089914215746373</c:v>
                </c:pt>
                <c:pt idx="65">
                  <c:v>1.217347950777466</c:v>
                </c:pt>
                <c:pt idx="66">
                  <c:v>1.21509957795476</c:v>
                </c:pt>
                <c:pt idx="67">
                  <c:v>1.213847862732546</c:v>
                </c:pt>
                <c:pt idx="68">
                  <c:v>1.2157108365918783</c:v>
                </c:pt>
                <c:pt idx="69">
                  <c:v>1.2181681979930947</c:v>
                </c:pt>
                <c:pt idx="70">
                  <c:v>1.2145306856089442</c:v>
                </c:pt>
                <c:pt idx="71">
                  <c:v>1.2125555648794311</c:v>
                </c:pt>
                <c:pt idx="72">
                  <c:v>1.2143061875277743</c:v>
                </c:pt>
                <c:pt idx="73">
                  <c:v>1.2104229595723555</c:v>
                </c:pt>
                <c:pt idx="74">
                  <c:v>1.2185401316866116</c:v>
                </c:pt>
                <c:pt idx="75">
                  <c:v>1.2120003568323603</c:v>
                </c:pt>
                <c:pt idx="76">
                  <c:v>1.2131377915940207</c:v>
                </c:pt>
                <c:pt idx="77">
                  <c:v>1.2071988067572972</c:v>
                </c:pt>
                <c:pt idx="78">
                  <c:v>1.2050394640449209</c:v>
                </c:pt>
                <c:pt idx="79">
                  <c:v>1.1918762223099908</c:v>
                </c:pt>
                <c:pt idx="80">
                  <c:v>1.1884653341963503</c:v>
                </c:pt>
                <c:pt idx="81">
                  <c:v>1.1826440288357152</c:v>
                </c:pt>
                <c:pt idx="82">
                  <c:v>1.1822470223507699</c:v>
                </c:pt>
                <c:pt idx="83">
                  <c:v>1.1857625515654742</c:v>
                </c:pt>
                <c:pt idx="84">
                  <c:v>1.1884159553708227</c:v>
                </c:pt>
                <c:pt idx="85">
                  <c:v>1.1870806624912904</c:v>
                </c:pt>
                <c:pt idx="86">
                  <c:v>1.1923351981431554</c:v>
                </c:pt>
                <c:pt idx="87">
                  <c:v>1.1884208112307506</c:v>
                </c:pt>
                <c:pt idx="88">
                  <c:v>1.1876127864785224</c:v>
                </c:pt>
                <c:pt idx="89">
                  <c:v>1.1854473545542716</c:v>
                </c:pt>
                <c:pt idx="90">
                  <c:v>1.1779859536049992</c:v>
                </c:pt>
                <c:pt idx="91">
                  <c:v>1.1803727520983349</c:v>
                </c:pt>
                <c:pt idx="92">
                  <c:v>1.1756963823886022</c:v>
                </c:pt>
                <c:pt idx="93">
                  <c:v>1.1772786461897122</c:v>
                </c:pt>
                <c:pt idx="94">
                  <c:v>1.169797848497004</c:v>
                </c:pt>
                <c:pt idx="95">
                  <c:v>1.1699133512832358</c:v>
                </c:pt>
                <c:pt idx="96">
                  <c:v>1.1713113014502312</c:v>
                </c:pt>
                <c:pt idx="97">
                  <c:v>1.1693605558253444</c:v>
                </c:pt>
                <c:pt idx="98">
                  <c:v>1.1582835351545262</c:v>
                </c:pt>
                <c:pt idx="99">
                  <c:v>1.154511560730378</c:v>
                </c:pt>
                <c:pt idx="100">
                  <c:v>1.1322880167144174</c:v>
                </c:pt>
                <c:pt idx="101">
                  <c:v>1.1339541472223122</c:v>
                </c:pt>
                <c:pt idx="102">
                  <c:v>1.1383775479206071</c:v>
                </c:pt>
                <c:pt idx="103">
                  <c:v>1.1449030485500653</c:v>
                </c:pt>
                <c:pt idx="104">
                  <c:v>1.1516899317262828</c:v>
                </c:pt>
                <c:pt idx="105">
                  <c:v>1.1518122082443392</c:v>
                </c:pt>
                <c:pt idx="106">
                  <c:v>1.1549205076099283</c:v>
                </c:pt>
                <c:pt idx="107">
                  <c:v>1.1579072345433159</c:v>
                </c:pt>
                <c:pt idx="108">
                  <c:v>1.1596476459699738</c:v>
                </c:pt>
                <c:pt idx="109">
                  <c:v>1.1634453737494299</c:v>
                </c:pt>
                <c:pt idx="110">
                  <c:v>1.1586955342147918</c:v>
                </c:pt>
                <c:pt idx="111">
                  <c:v>1.1587796759169948</c:v>
                </c:pt>
                <c:pt idx="112">
                  <c:v>1.1601553997912595</c:v>
                </c:pt>
                <c:pt idx="113">
                  <c:v>1.1579634289625125</c:v>
                </c:pt>
                <c:pt idx="114">
                  <c:v>1.1518030254826159</c:v>
                </c:pt>
                <c:pt idx="115">
                  <c:v>1.1548410193038239</c:v>
                </c:pt>
                <c:pt idx="116">
                  <c:v>1.1546394151256703</c:v>
                </c:pt>
                <c:pt idx="117">
                  <c:v>1.1577386789607613</c:v>
                </c:pt>
                <c:pt idx="118">
                  <c:v>1.1565920895353627</c:v>
                </c:pt>
                <c:pt idx="119">
                  <c:v>1.16903856129862</c:v>
                </c:pt>
                <c:pt idx="120">
                  <c:v>1.1644326562004843</c:v>
                </c:pt>
                <c:pt idx="121">
                  <c:v>1.1676861398821952</c:v>
                </c:pt>
                <c:pt idx="122">
                  <c:v>1.1672045796827113</c:v>
                </c:pt>
                <c:pt idx="123">
                  <c:v>1.1629078891410363</c:v>
                </c:pt>
                <c:pt idx="124">
                  <c:v>1.1678634514410653</c:v>
                </c:pt>
                <c:pt idx="125">
                  <c:v>1.1711241472652874</c:v>
                </c:pt>
                <c:pt idx="126">
                  <c:v>1.1631561779039505</c:v>
                </c:pt>
                <c:pt idx="127">
                  <c:v>1.1724775892292405</c:v>
                </c:pt>
                <c:pt idx="128">
                  <c:v>1.1671810354704772</c:v>
                </c:pt>
                <c:pt idx="129">
                  <c:v>1.1607368654092165</c:v>
                </c:pt>
                <c:pt idx="130">
                  <c:v>1.1693246278632761</c:v>
                </c:pt>
                <c:pt idx="131">
                  <c:v>1.1750614026775315</c:v>
                </c:pt>
                <c:pt idx="132">
                  <c:v>1.1685616179963647</c:v>
                </c:pt>
                <c:pt idx="133">
                  <c:v>1.157644455842278</c:v>
                </c:pt>
                <c:pt idx="134">
                  <c:v>1.1573453174278829</c:v>
                </c:pt>
                <c:pt idx="135">
                  <c:v>1.1573639205251909</c:v>
                </c:pt>
                <c:pt idx="136">
                  <c:v>1.1611362154323177</c:v>
                </c:pt>
                <c:pt idx="137">
                  <c:v>1.1510269421817712</c:v>
                </c:pt>
                <c:pt idx="138">
                  <c:v>1.1516146188318479</c:v>
                </c:pt>
                <c:pt idx="139">
                  <c:v>1.1664452928451148</c:v>
                </c:pt>
                <c:pt idx="140">
                  <c:v>1.1517682403197229</c:v>
                </c:pt>
                <c:pt idx="141">
                  <c:v>1.1762903091770185</c:v>
                </c:pt>
                <c:pt idx="142">
                  <c:v>1.1785133226781461</c:v>
                </c:pt>
                <c:pt idx="143">
                  <c:v>1.178659707736746</c:v>
                </c:pt>
                <c:pt idx="144">
                  <c:v>1.1756780289783935</c:v>
                </c:pt>
                <c:pt idx="145">
                  <c:v>1.1714769876627449</c:v>
                </c:pt>
                <c:pt idx="146">
                  <c:v>1.1715183723109532</c:v>
                </c:pt>
                <c:pt idx="147">
                  <c:v>1.1738942365656928</c:v>
                </c:pt>
                <c:pt idx="148">
                  <c:v>1.1758479172216247</c:v>
                </c:pt>
                <c:pt idx="149">
                  <c:v>1.1706198698845049</c:v>
                </c:pt>
                <c:pt idx="150">
                  <c:v>1.1721986866441314</c:v>
                </c:pt>
                <c:pt idx="151">
                  <c:v>1.1735639139455272</c:v>
                </c:pt>
                <c:pt idx="152">
                  <c:v>1.178804190827665</c:v>
                </c:pt>
                <c:pt idx="153">
                  <c:v>1.1768524217732907</c:v>
                </c:pt>
                <c:pt idx="154">
                  <c:v>1.1774157446515259</c:v>
                </c:pt>
                <c:pt idx="155">
                  <c:v>1.1788560163322579</c:v>
                </c:pt>
                <c:pt idx="156">
                  <c:v>1.1766563989408909</c:v>
                </c:pt>
                <c:pt idx="157">
                  <c:v>1.1747878089984527</c:v>
                </c:pt>
                <c:pt idx="158">
                  <c:v>1.1802668860191816</c:v>
                </c:pt>
                <c:pt idx="159">
                  <c:v>1.1774739770367189</c:v>
                </c:pt>
                <c:pt idx="160">
                  <c:v>1.1782700233032652</c:v>
                </c:pt>
                <c:pt idx="161">
                  <c:v>1.1735354352116878</c:v>
                </c:pt>
                <c:pt idx="162">
                  <c:v>1.1764001212093993</c:v>
                </c:pt>
                <c:pt idx="163">
                  <c:v>1.1760103275739073</c:v>
                </c:pt>
                <c:pt idx="164">
                  <c:v>1.1769174928626609</c:v>
                </c:pt>
                <c:pt idx="165">
                  <c:v>1.1683139965013349</c:v>
                </c:pt>
                <c:pt idx="166">
                  <c:v>1.1681014245827523</c:v>
                </c:pt>
                <c:pt idx="167">
                  <c:v>1.1649674811934088</c:v>
                </c:pt>
                <c:pt idx="168">
                  <c:v>1.171329100861453</c:v>
                </c:pt>
                <c:pt idx="169">
                  <c:v>1.1725988882535954</c:v>
                </c:pt>
                <c:pt idx="170">
                  <c:v>1.1709675790253931</c:v>
                </c:pt>
                <c:pt idx="171">
                  <c:v>1.1693613697579228</c:v>
                </c:pt>
                <c:pt idx="172">
                  <c:v>1.1705599121018044</c:v>
                </c:pt>
                <c:pt idx="173">
                  <c:v>1.1702371274754968</c:v>
                </c:pt>
                <c:pt idx="174">
                  <c:v>1.173248602679364</c:v>
                </c:pt>
                <c:pt idx="175">
                  <c:v>1.1686946381614698</c:v>
                </c:pt>
                <c:pt idx="176">
                  <c:v>1.1723071672351779</c:v>
                </c:pt>
                <c:pt idx="177">
                  <c:v>1.1680368667073233</c:v>
                </c:pt>
                <c:pt idx="178">
                  <c:v>1.1694720406910344</c:v>
                </c:pt>
                <c:pt idx="179">
                  <c:v>1.1670897453993605</c:v>
                </c:pt>
                <c:pt idx="180">
                  <c:v>1.1680186928285921</c:v>
                </c:pt>
                <c:pt idx="181">
                  <c:v>1.1627594888788115</c:v>
                </c:pt>
                <c:pt idx="182">
                  <c:v>1.1626247211525391</c:v>
                </c:pt>
                <c:pt idx="183">
                  <c:v>1.1556154276898045</c:v>
                </c:pt>
                <c:pt idx="184">
                  <c:v>1.1522068121050144</c:v>
                </c:pt>
                <c:pt idx="185">
                  <c:v>1.1369534628057969</c:v>
                </c:pt>
                <c:pt idx="186">
                  <c:v>1.1378250405883839</c:v>
                </c:pt>
                <c:pt idx="187">
                  <c:v>1.1324720776534745</c:v>
                </c:pt>
                <c:pt idx="188">
                  <c:v>1.1393195549285056</c:v>
                </c:pt>
                <c:pt idx="189">
                  <c:v>1.1373709524531144</c:v>
                </c:pt>
                <c:pt idx="190">
                  <c:v>1.1238059081803564</c:v>
                </c:pt>
                <c:pt idx="191">
                  <c:v>1.1067732354698618</c:v>
                </c:pt>
                <c:pt idx="192">
                  <c:v>1.0890030702609865</c:v>
                </c:pt>
                <c:pt idx="193">
                  <c:v>1.1070995723811876</c:v>
                </c:pt>
                <c:pt idx="194">
                  <c:v>1.1430193722967015</c:v>
                </c:pt>
                <c:pt idx="195">
                  <c:v>1.1296552937262061</c:v>
                </c:pt>
                <c:pt idx="196">
                  <c:v>1.1313068573060105</c:v>
                </c:pt>
                <c:pt idx="197">
                  <c:v>1.1285947958635527</c:v>
                </c:pt>
                <c:pt idx="198">
                  <c:v>1.1227866107511855</c:v>
                </c:pt>
                <c:pt idx="199">
                  <c:v>1.1260445759158781</c:v>
                </c:pt>
                <c:pt idx="200">
                  <c:v>1.1229115853293465</c:v>
                </c:pt>
                <c:pt idx="201">
                  <c:v>1.1247522980265843</c:v>
                </c:pt>
                <c:pt idx="202">
                  <c:v>1.1265511835295836</c:v>
                </c:pt>
                <c:pt idx="203">
                  <c:v>1.1346663745528638</c:v>
                </c:pt>
                <c:pt idx="204">
                  <c:v>1.1438415556859889</c:v>
                </c:pt>
                <c:pt idx="205">
                  <c:v>1.1455593143778149</c:v>
                </c:pt>
                <c:pt idx="206">
                  <c:v>1.1422497480219471</c:v>
                </c:pt>
                <c:pt idx="207">
                  <c:v>1.1409603016300787</c:v>
                </c:pt>
                <c:pt idx="208">
                  <c:v>1.13606302057889</c:v>
                </c:pt>
                <c:pt idx="209">
                  <c:v>1.1389748352577809</c:v>
                </c:pt>
                <c:pt idx="210">
                  <c:v>1.1361501570129717</c:v>
                </c:pt>
                <c:pt idx="211">
                  <c:v>1.1350151146630745</c:v>
                </c:pt>
                <c:pt idx="212">
                  <c:v>1.1360203779431566</c:v>
                </c:pt>
                <c:pt idx="213">
                  <c:v>1.1317335205775338</c:v>
                </c:pt>
                <c:pt idx="214">
                  <c:v>1.1319439642867155</c:v>
                </c:pt>
                <c:pt idx="215">
                  <c:v>1.1249692238704991</c:v>
                </c:pt>
                <c:pt idx="216">
                  <c:v>1.1112878409549183</c:v>
                </c:pt>
                <c:pt idx="217">
                  <c:v>1.1133732997811192</c:v>
                </c:pt>
                <c:pt idx="218">
                  <c:v>1.1073537958668629</c:v>
                </c:pt>
                <c:pt idx="219">
                  <c:v>1.1110605036126306</c:v>
                </c:pt>
                <c:pt idx="220">
                  <c:v>1.1108553248532449</c:v>
                </c:pt>
                <c:pt idx="221">
                  <c:v>1.120266622225911</c:v>
                </c:pt>
                <c:pt idx="222">
                  <c:v>1.110469969640929</c:v>
                </c:pt>
                <c:pt idx="223">
                  <c:v>1.1189482586336779</c:v>
                </c:pt>
                <c:pt idx="224">
                  <c:v>1.1191177237754628</c:v>
                </c:pt>
                <c:pt idx="225">
                  <c:v>1.1286792420244864</c:v>
                </c:pt>
                <c:pt idx="226">
                  <c:v>1.1161955981846976</c:v>
                </c:pt>
                <c:pt idx="227">
                  <c:v>1.1154421015434266</c:v>
                </c:pt>
                <c:pt idx="228">
                  <c:v>1.1122674623489193</c:v>
                </c:pt>
                <c:pt idx="229">
                  <c:v>1.1125064702919143</c:v>
                </c:pt>
                <c:pt idx="230">
                  <c:v>1.1184433596066683</c:v>
                </c:pt>
                <c:pt idx="231">
                  <c:v>1.127119998066771</c:v>
                </c:pt>
                <c:pt idx="232">
                  <c:v>1.1193100515130923</c:v>
                </c:pt>
                <c:pt idx="233">
                  <c:v>1.1243731399948309</c:v>
                </c:pt>
                <c:pt idx="234">
                  <c:v>1.1336039081520586</c:v>
                </c:pt>
                <c:pt idx="235">
                  <c:v>1.1319545554337824</c:v>
                </c:pt>
                <c:pt idx="236">
                  <c:v>1.1300818038989238</c:v>
                </c:pt>
                <c:pt idx="237">
                  <c:v>1.1318938497487887</c:v>
                </c:pt>
                <c:pt idx="238">
                  <c:v>1.1318459898596398</c:v>
                </c:pt>
                <c:pt idx="239">
                  <c:v>1.1370400169282351</c:v>
                </c:pt>
                <c:pt idx="240">
                  <c:v>1.1362784722963404</c:v>
                </c:pt>
                <c:pt idx="241">
                  <c:v>1.1331939870988246</c:v>
                </c:pt>
                <c:pt idx="242">
                  <c:v>1.1266529615304806</c:v>
                </c:pt>
                <c:pt idx="243">
                  <c:v>1.1276372464628572</c:v>
                </c:pt>
                <c:pt idx="244">
                  <c:v>1.1274643192851082</c:v>
                </c:pt>
                <c:pt idx="245">
                  <c:v>1.1174241822678779</c:v>
                </c:pt>
                <c:pt idx="246">
                  <c:v>1.1077620482238222</c:v>
                </c:pt>
                <c:pt idx="247">
                  <c:v>1.1105018343469686</c:v>
                </c:pt>
                <c:pt idx="248">
                  <c:v>1.1077152561406538</c:v>
                </c:pt>
                <c:pt idx="249">
                  <c:v>1.119691042701515</c:v>
                </c:pt>
                <c:pt idx="250">
                  <c:v>1.1091834235120761</c:v>
                </c:pt>
                <c:pt idx="251">
                  <c:v>1.1193279159626508</c:v>
                </c:pt>
                <c:pt idx="252">
                  <c:v>1.1225362380744806</c:v>
                </c:pt>
                <c:pt idx="253">
                  <c:v>1.1162053229767939</c:v>
                </c:pt>
                <c:pt idx="254">
                  <c:v>1.1182450822248127</c:v>
                </c:pt>
                <c:pt idx="255">
                  <c:v>1.1138947671623571</c:v>
                </c:pt>
                <c:pt idx="256">
                  <c:v>1.1050781153531311</c:v>
                </c:pt>
                <c:pt idx="257">
                  <c:v>1.1045328595832311</c:v>
                </c:pt>
                <c:pt idx="258">
                  <c:v>1.1049109301061553</c:v>
                </c:pt>
                <c:pt idx="259">
                  <c:v>1.1112969617614799</c:v>
                </c:pt>
                <c:pt idx="260">
                  <c:v>1.1121743496119458</c:v>
                </c:pt>
                <c:pt idx="261">
                  <c:v>1.1111887721164957</c:v>
                </c:pt>
                <c:pt idx="262">
                  <c:v>1.1067831285772292</c:v>
                </c:pt>
                <c:pt idx="263">
                  <c:v>1.1001878921493813</c:v>
                </c:pt>
                <c:pt idx="264">
                  <c:v>1.0945875406006762</c:v>
                </c:pt>
                <c:pt idx="265">
                  <c:v>1.0964244823192231</c:v>
                </c:pt>
                <c:pt idx="266">
                  <c:v>1.0976854548660151</c:v>
                </c:pt>
                <c:pt idx="267">
                  <c:v>1.0812899543883456</c:v>
                </c:pt>
                <c:pt idx="268">
                  <c:v>1.0811341497180451</c:v>
                </c:pt>
                <c:pt idx="269">
                  <c:v>1.0760817564248568</c:v>
                </c:pt>
                <c:pt idx="270">
                  <c:v>1.0873218650730458</c:v>
                </c:pt>
                <c:pt idx="271">
                  <c:v>1.0864368506435487</c:v>
                </c:pt>
                <c:pt idx="272">
                  <c:v>1.083130958238282</c:v>
                </c:pt>
                <c:pt idx="273">
                  <c:v>1.0796322176853166</c:v>
                </c:pt>
                <c:pt idx="274">
                  <c:v>1.0755379092473438</c:v>
                </c:pt>
                <c:pt idx="275">
                  <c:v>1.051669116982771</c:v>
                </c:pt>
                <c:pt idx="276">
                  <c:v>1.0597900936528113</c:v>
                </c:pt>
                <c:pt idx="277">
                  <c:v>1.0616602079591266</c:v>
                </c:pt>
                <c:pt idx="278">
                  <c:v>1.0503119327783128</c:v>
                </c:pt>
                <c:pt idx="279">
                  <c:v>1.0458721461209433</c:v>
                </c:pt>
                <c:pt idx="280">
                  <c:v>1.0583265177477745</c:v>
                </c:pt>
                <c:pt idx="281">
                  <c:v>1.0438723204045817</c:v>
                </c:pt>
                <c:pt idx="282">
                  <c:v>1.0438983534738033</c:v>
                </c:pt>
                <c:pt idx="283">
                  <c:v>1.0485640670598926</c:v>
                </c:pt>
                <c:pt idx="284">
                  <c:v>1.032083627972574</c:v>
                </c:pt>
                <c:pt idx="285">
                  <c:v>1.0155669737179074</c:v>
                </c:pt>
                <c:pt idx="286">
                  <c:v>0.99604892428387826</c:v>
                </c:pt>
                <c:pt idx="287">
                  <c:v>1.0083500859184065</c:v>
                </c:pt>
                <c:pt idx="288">
                  <c:v>1.0085390364193589</c:v>
                </c:pt>
                <c:pt idx="289">
                  <c:v>1.0092026565199037</c:v>
                </c:pt>
                <c:pt idx="290">
                  <c:v>1.0233565924824881</c:v>
                </c:pt>
                <c:pt idx="291">
                  <c:v>1.041837838615554</c:v>
                </c:pt>
                <c:pt idx="292">
                  <c:v>1.0403111059861443</c:v>
                </c:pt>
                <c:pt idx="293">
                  <c:v>1.0353190670507462</c:v>
                </c:pt>
                <c:pt idx="294">
                  <c:v>1.0540621580933911</c:v>
                </c:pt>
                <c:pt idx="295">
                  <c:v>1.0545053944994194</c:v>
                </c:pt>
                <c:pt idx="296">
                  <c:v>1.0297451770175865</c:v>
                </c:pt>
                <c:pt idx="297">
                  <c:v>1.024216599906723</c:v>
                </c:pt>
                <c:pt idx="298">
                  <c:v>1.0350800838535417</c:v>
                </c:pt>
                <c:pt idx="299">
                  <c:v>1.0209357481713381</c:v>
                </c:pt>
                <c:pt idx="300">
                  <c:v>1.0365737300396525</c:v>
                </c:pt>
                <c:pt idx="301">
                  <c:v>1.0162900291087555</c:v>
                </c:pt>
                <c:pt idx="302">
                  <c:v>1.0110945908441122</c:v>
                </c:pt>
                <c:pt idx="303">
                  <c:v>1.0227884459968657</c:v>
                </c:pt>
                <c:pt idx="304">
                  <c:v>1.0222566244424576</c:v>
                </c:pt>
                <c:pt idx="305">
                  <c:v>1.0438557225642415</c:v>
                </c:pt>
                <c:pt idx="306">
                  <c:v>1.0271598169228451</c:v>
                </c:pt>
                <c:pt idx="307">
                  <c:v>1.0521252695255776</c:v>
                </c:pt>
                <c:pt idx="308">
                  <c:v>1.0443224708872056</c:v>
                </c:pt>
                <c:pt idx="309">
                  <c:v>1.0434691985786282</c:v>
                </c:pt>
                <c:pt idx="310">
                  <c:v>1.0543075732131046</c:v>
                </c:pt>
                <c:pt idx="311">
                  <c:v>1.0780080162522028</c:v>
                </c:pt>
                <c:pt idx="312">
                  <c:v>1.0911234128692178</c:v>
                </c:pt>
                <c:pt idx="313">
                  <c:v>1.0891111867944787</c:v>
                </c:pt>
                <c:pt idx="314">
                  <c:v>1.104414917776269</c:v>
                </c:pt>
                <c:pt idx="315">
                  <c:v>1.1138268308660475</c:v>
                </c:pt>
                <c:pt idx="316">
                  <c:v>1.1210440594634785</c:v>
                </c:pt>
                <c:pt idx="317">
                  <c:v>1.1104142967598558</c:v>
                </c:pt>
                <c:pt idx="318">
                  <c:v>1.1125928565887659</c:v>
                </c:pt>
                <c:pt idx="319">
                  <c:v>1.1141914928935743</c:v>
                </c:pt>
                <c:pt idx="320">
                  <c:v>1.101773424770883</c:v>
                </c:pt>
                <c:pt idx="321">
                  <c:v>1.0929566883641848</c:v>
                </c:pt>
                <c:pt idx="322">
                  <c:v>1.0851782861209804</c:v>
                </c:pt>
                <c:pt idx="323">
                  <c:v>1.1029755062126807</c:v>
                </c:pt>
                <c:pt idx="324">
                  <c:v>1.1180160267822923</c:v>
                </c:pt>
                <c:pt idx="325">
                  <c:v>1.1035010574386506</c:v>
                </c:pt>
                <c:pt idx="326">
                  <c:v>1.0928824962417332</c:v>
                </c:pt>
                <c:pt idx="327">
                  <c:v>1.0881269363676653</c:v>
                </c:pt>
                <c:pt idx="328">
                  <c:v>1.1075497034982771</c:v>
                </c:pt>
                <c:pt idx="329">
                  <c:v>1.1052983165166803</c:v>
                </c:pt>
                <c:pt idx="330">
                  <c:v>1.1130373016440405</c:v>
                </c:pt>
                <c:pt idx="331">
                  <c:v>1.1195272030718628</c:v>
                </c:pt>
                <c:pt idx="332">
                  <c:v>1.1265167060155976</c:v>
                </c:pt>
                <c:pt idx="333">
                  <c:v>1.1059910370630617</c:v>
                </c:pt>
                <c:pt idx="334">
                  <c:v>1.1203645639305759</c:v>
                </c:pt>
                <c:pt idx="335">
                  <c:v>1.1313602570798682</c:v>
                </c:pt>
                <c:pt idx="336">
                  <c:v>1.1206796835679689</c:v>
                </c:pt>
                <c:pt idx="337">
                  <c:v>1.1253206806941551</c:v>
                </c:pt>
                <c:pt idx="338">
                  <c:v>1.124727063125543</c:v>
                </c:pt>
                <c:pt idx="339">
                  <c:v>1.124856195693881</c:v>
                </c:pt>
                <c:pt idx="340">
                  <c:v>1.1236341995698391</c:v>
                </c:pt>
                <c:pt idx="341">
                  <c:v>1.1248690603501104</c:v>
                </c:pt>
                <c:pt idx="342">
                  <c:v>1.1210588644870181</c:v>
                </c:pt>
                <c:pt idx="343">
                  <c:v>1.122181973708837</c:v>
                </c:pt>
                <c:pt idx="344">
                  <c:v>1.1060195217699436</c:v>
                </c:pt>
                <c:pt idx="345">
                  <c:v>1.107358901018344</c:v>
                </c:pt>
                <c:pt idx="346">
                  <c:v>1.0924556359228577</c:v>
                </c:pt>
                <c:pt idx="347">
                  <c:v>1.103663000803581</c:v>
                </c:pt>
                <c:pt idx="348">
                  <c:v>1.1176533762252678</c:v>
                </c:pt>
                <c:pt idx="349">
                  <c:v>1.1208814621799661</c:v>
                </c:pt>
                <c:pt idx="350">
                  <c:v>1.1193708670226117</c:v>
                </c:pt>
                <c:pt idx="351">
                  <c:v>1.1291935963868047</c:v>
                </c:pt>
                <c:pt idx="352">
                  <c:v>1.1295412179854476</c:v>
                </c:pt>
                <c:pt idx="353">
                  <c:v>1.1306733663999076</c:v>
                </c:pt>
                <c:pt idx="354">
                  <c:v>1.1342187334088187</c:v>
                </c:pt>
                <c:pt idx="355">
                  <c:v>1.1314906661735702</c:v>
                </c:pt>
                <c:pt idx="356">
                  <c:v>1.1196168488790654</c:v>
                </c:pt>
                <c:pt idx="357">
                  <c:v>1.1244267260325533</c:v>
                </c:pt>
                <c:pt idx="358">
                  <c:v>1.1248765004511541</c:v>
                </c:pt>
                <c:pt idx="359">
                  <c:v>1.1130364672127515</c:v>
                </c:pt>
                <c:pt idx="360">
                  <c:v>1.1155905857218527</c:v>
                </c:pt>
                <c:pt idx="361">
                  <c:v>1.1175036860700125</c:v>
                </c:pt>
                <c:pt idx="362">
                  <c:v>1.1064733418136159</c:v>
                </c:pt>
                <c:pt idx="363">
                  <c:v>1.0898457699288513</c:v>
                </c:pt>
                <c:pt idx="364">
                  <c:v>1.0956711853542769</c:v>
                </c:pt>
                <c:pt idx="365">
                  <c:v>1.0970922753849028</c:v>
                </c:pt>
                <c:pt idx="366">
                  <c:v>1.0968217297656013</c:v>
                </c:pt>
                <c:pt idx="367">
                  <c:v>1.0922512554894375</c:v>
                </c:pt>
                <c:pt idx="368">
                  <c:v>1.0773984819273146</c:v>
                </c:pt>
                <c:pt idx="369">
                  <c:v>1.0821147560407054</c:v>
                </c:pt>
                <c:pt idx="370">
                  <c:v>1.0889401802207097</c:v>
                </c:pt>
                <c:pt idx="371">
                  <c:v>1.087664703157015</c:v>
                </c:pt>
                <c:pt idx="372">
                  <c:v>1.0869395917993596</c:v>
                </c:pt>
                <c:pt idx="373">
                  <c:v>1.0781211561670607</c:v>
                </c:pt>
                <c:pt idx="374">
                  <c:v>1.0700855225826573</c:v>
                </c:pt>
                <c:pt idx="375">
                  <c:v>1.073673758824411</c:v>
                </c:pt>
                <c:pt idx="376">
                  <c:v>1.055383917752365</c:v>
                </c:pt>
                <c:pt idx="377">
                  <c:v>1.0410686284981594</c:v>
                </c:pt>
                <c:pt idx="378">
                  <c:v>1.0390947442657477</c:v>
                </c:pt>
                <c:pt idx="379">
                  <c:v>1.0200191886136456</c:v>
                </c:pt>
                <c:pt idx="380">
                  <c:v>1.0187863355150506</c:v>
                </c:pt>
                <c:pt idx="381">
                  <c:v>1.0444524258319534</c:v>
                </c:pt>
                <c:pt idx="382">
                  <c:v>1.044918218903548</c:v>
                </c:pt>
                <c:pt idx="383">
                  <c:v>1.0482812034742892</c:v>
                </c:pt>
                <c:pt idx="384">
                  <c:v>1.0503298461235817</c:v>
                </c:pt>
                <c:pt idx="385">
                  <c:v>1.0626482756660935</c:v>
                </c:pt>
                <c:pt idx="386">
                  <c:v>1.0580824917569644</c:v>
                </c:pt>
                <c:pt idx="387">
                  <c:v>1.0742466575654481</c:v>
                </c:pt>
                <c:pt idx="388">
                  <c:v>1.0768077171746804</c:v>
                </c:pt>
                <c:pt idx="389">
                  <c:v>1.0681023027112415</c:v>
                </c:pt>
                <c:pt idx="390">
                  <c:v>1.0552709910427613</c:v>
                </c:pt>
                <c:pt idx="391">
                  <c:v>1.0593606469921797</c:v>
                </c:pt>
                <c:pt idx="392">
                  <c:v>1.054873603661012</c:v>
                </c:pt>
                <c:pt idx="393">
                  <c:v>1.0495956486270479</c:v>
                </c:pt>
                <c:pt idx="394">
                  <c:v>1.063493209077885</c:v>
                </c:pt>
                <c:pt idx="395">
                  <c:v>1.0384101557433327</c:v>
                </c:pt>
                <c:pt idx="396">
                  <c:v>1.0537397513742501</c:v>
                </c:pt>
                <c:pt idx="397">
                  <c:v>1.0525749575884102</c:v>
                </c:pt>
                <c:pt idx="398">
                  <c:v>1.034281982987981</c:v>
                </c:pt>
                <c:pt idx="399">
                  <c:v>1.0638584295612512</c:v>
                </c:pt>
                <c:pt idx="400">
                  <c:v>1.0722500997267013</c:v>
                </c:pt>
                <c:pt idx="401">
                  <c:v>1.0716413633335038</c:v>
                </c:pt>
                <c:pt idx="402">
                  <c:v>1.0473436149286914</c:v>
                </c:pt>
                <c:pt idx="403">
                  <c:v>1.0083097558331051</c:v>
                </c:pt>
                <c:pt idx="404">
                  <c:v>1.0218317510303403</c:v>
                </c:pt>
                <c:pt idx="405">
                  <c:v>1.0612454440364414</c:v>
                </c:pt>
                <c:pt idx="406">
                  <c:v>1.0930964093594555</c:v>
                </c:pt>
                <c:pt idx="407">
                  <c:v>1.1141965794597539</c:v>
                </c:pt>
                <c:pt idx="408">
                  <c:v>1.1224514559661922</c:v>
                </c:pt>
                <c:pt idx="409">
                  <c:v>1.1250769859004146</c:v>
                </c:pt>
                <c:pt idx="410">
                  <c:v>1.1198655618794757</c:v>
                </c:pt>
                <c:pt idx="411">
                  <c:v>1.1159535980039748</c:v>
                </c:pt>
                <c:pt idx="412">
                  <c:v>1.1172288099775682</c:v>
                </c:pt>
                <c:pt idx="413">
                  <c:v>1.116278755067994</c:v>
                </c:pt>
                <c:pt idx="414">
                  <c:v>1.1258358579060987</c:v>
                </c:pt>
                <c:pt idx="415">
                  <c:v>1.1130276910914814</c:v>
                </c:pt>
                <c:pt idx="416">
                  <c:v>1.1159025739028148</c:v>
                </c:pt>
                <c:pt idx="417">
                  <c:v>1.1236555590434623</c:v>
                </c:pt>
                <c:pt idx="418">
                  <c:v>1.1205408800702514</c:v>
                </c:pt>
                <c:pt idx="419">
                  <c:v>1.1227905849911592</c:v>
                </c:pt>
                <c:pt idx="420">
                  <c:v>1.1255474718064085</c:v>
                </c:pt>
                <c:pt idx="421">
                  <c:v>1.1278189918292518</c:v>
                </c:pt>
                <c:pt idx="422">
                  <c:v>1.1277906242635218</c:v>
                </c:pt>
                <c:pt idx="423">
                  <c:v>1.1204718290885547</c:v>
                </c:pt>
                <c:pt idx="424">
                  <c:v>1.1080856746683856</c:v>
                </c:pt>
                <c:pt idx="425">
                  <c:v>1.1138606894862404</c:v>
                </c:pt>
                <c:pt idx="426">
                  <c:v>1.1245640175308262</c:v>
                </c:pt>
                <c:pt idx="427">
                  <c:v>1.1302400578100174</c:v>
                </c:pt>
                <c:pt idx="428">
                  <c:v>1.1326277678968519</c:v>
                </c:pt>
                <c:pt idx="429">
                  <c:v>1.1368894570901964</c:v>
                </c:pt>
                <c:pt idx="430">
                  <c:v>1.1361182235563017</c:v>
                </c:pt>
                <c:pt idx="431">
                  <c:v>1.1350120403342092</c:v>
                </c:pt>
                <c:pt idx="432">
                  <c:v>1.1269973597868814</c:v>
                </c:pt>
                <c:pt idx="433">
                  <c:v>1.1277323459344972</c:v>
                </c:pt>
                <c:pt idx="434">
                  <c:v>1.1232791869691749</c:v>
                </c:pt>
                <c:pt idx="435">
                  <c:v>1.1122131374727471</c:v>
                </c:pt>
                <c:pt idx="436">
                  <c:v>1.0998746526644883</c:v>
                </c:pt>
                <c:pt idx="437">
                  <c:v>1.0976124500349413</c:v>
                </c:pt>
                <c:pt idx="438">
                  <c:v>1.1142651990017407</c:v>
                </c:pt>
                <c:pt idx="439">
                  <c:v>1.1081842239542774</c:v>
                </c:pt>
                <c:pt idx="440">
                  <c:v>1.1120459805621075</c:v>
                </c:pt>
                <c:pt idx="441">
                  <c:v>1.1123540035059638</c:v>
                </c:pt>
                <c:pt idx="442">
                  <c:v>1.1054179631310717</c:v>
                </c:pt>
                <c:pt idx="443">
                  <c:v>1.1027594736555277</c:v>
                </c:pt>
                <c:pt idx="444">
                  <c:v>1.123625667265139</c:v>
                </c:pt>
                <c:pt idx="445">
                  <c:v>1.124015747213855</c:v>
                </c:pt>
                <c:pt idx="446">
                  <c:v>1.12698932126277</c:v>
                </c:pt>
                <c:pt idx="447">
                  <c:v>1.1343426182029412</c:v>
                </c:pt>
                <c:pt idx="448">
                  <c:v>1.1337067499420255</c:v>
                </c:pt>
                <c:pt idx="449">
                  <c:v>1.1276118831128232</c:v>
                </c:pt>
                <c:pt idx="450">
                  <c:v>1.132915384863231</c:v>
                </c:pt>
                <c:pt idx="451">
                  <c:v>1.1230126742005795</c:v>
                </c:pt>
                <c:pt idx="452">
                  <c:v>1.1210330330618086</c:v>
                </c:pt>
                <c:pt idx="453">
                  <c:v>1.1153431766565034</c:v>
                </c:pt>
                <c:pt idx="454">
                  <c:v>1.1199657487780179</c:v>
                </c:pt>
                <c:pt idx="455">
                  <c:v>1.1269600486611822</c:v>
                </c:pt>
                <c:pt idx="456">
                  <c:v>1.1252214223619268</c:v>
                </c:pt>
                <c:pt idx="457">
                  <c:v>1.113178997450186</c:v>
                </c:pt>
                <c:pt idx="458">
                  <c:v>1.1127606444684481</c:v>
                </c:pt>
                <c:pt idx="459">
                  <c:v>1.1192351543402428</c:v>
                </c:pt>
                <c:pt idx="460">
                  <c:v>1.120671337385521</c:v>
                </c:pt>
                <c:pt idx="461">
                  <c:v>1.1292945047421481</c:v>
                </c:pt>
                <c:pt idx="462">
                  <c:v>1.1271756339645833</c:v>
                </c:pt>
                <c:pt idx="463">
                  <c:v>1.1281842297699998</c:v>
                </c:pt>
                <c:pt idx="464">
                  <c:v>1.1261247689106608</c:v>
                </c:pt>
                <c:pt idx="465">
                  <c:v>1.1324432378555256</c:v>
                </c:pt>
                <c:pt idx="466">
                  <c:v>1.1337099985621653</c:v>
                </c:pt>
                <c:pt idx="467">
                  <c:v>1.1245473574401381</c:v>
                </c:pt>
                <c:pt idx="468">
                  <c:v>1.1348293379079344</c:v>
                </c:pt>
                <c:pt idx="469">
                  <c:v>1.1370632238523575</c:v>
                </c:pt>
                <c:pt idx="470">
                  <c:v>1.1347253496980716</c:v>
                </c:pt>
                <c:pt idx="471">
                  <c:v>1.1356558657296247</c:v>
                </c:pt>
                <c:pt idx="472">
                  <c:v>1.1362992402512879</c:v>
                </c:pt>
                <c:pt idx="473">
                  <c:v>1.1332512920614763</c:v>
                </c:pt>
                <c:pt idx="474">
                  <c:v>1.1324828785379764</c:v>
                </c:pt>
                <c:pt idx="475">
                  <c:v>1.1217035915228104</c:v>
                </c:pt>
                <c:pt idx="476">
                  <c:v>1.1220085464393088</c:v>
                </c:pt>
                <c:pt idx="477">
                  <c:v>1.1249581841540273</c:v>
                </c:pt>
                <c:pt idx="478">
                  <c:v>1.1300477449031521</c:v>
                </c:pt>
                <c:pt idx="479">
                  <c:v>1.116589843562156</c:v>
                </c:pt>
                <c:pt idx="480">
                  <c:v>1.1128160299574479</c:v>
                </c:pt>
                <c:pt idx="481">
                  <c:v>1.1172717549647575</c:v>
                </c:pt>
                <c:pt idx="482">
                  <c:v>1.1291091385032817</c:v>
                </c:pt>
                <c:pt idx="483">
                  <c:v>1.126168389894072</c:v>
                </c:pt>
                <c:pt idx="484">
                  <c:v>1.1152453883784859</c:v>
                </c:pt>
                <c:pt idx="485">
                  <c:v>1.1253742950435863</c:v>
                </c:pt>
                <c:pt idx="486">
                  <c:v>1.1291146305722499</c:v>
                </c:pt>
                <c:pt idx="487">
                  <c:v>1.1263453988251946</c:v>
                </c:pt>
                <c:pt idx="488">
                  <c:v>1.1304867128250424</c:v>
                </c:pt>
                <c:pt idx="489">
                  <c:v>1.1282339126124512</c:v>
                </c:pt>
                <c:pt idx="490">
                  <c:v>1.1258761965780146</c:v>
                </c:pt>
                <c:pt idx="491">
                  <c:v>1.1207887161620549</c:v>
                </c:pt>
                <c:pt idx="492">
                  <c:v>1.1222693213539705</c:v>
                </c:pt>
                <c:pt idx="493">
                  <c:v>1.1130341900207898</c:v>
                </c:pt>
                <c:pt idx="494">
                  <c:v>1.124345435258588</c:v>
                </c:pt>
                <c:pt idx="495">
                  <c:v>1.125123879072204</c:v>
                </c:pt>
                <c:pt idx="496">
                  <c:v>1.1199756833382934</c:v>
                </c:pt>
                <c:pt idx="497">
                  <c:v>1.1183459245837242</c:v>
                </c:pt>
                <c:pt idx="498">
                  <c:v>1.1229272051987895</c:v>
                </c:pt>
                <c:pt idx="499">
                  <c:v>1.1177243401399257</c:v>
                </c:pt>
                <c:pt idx="500">
                  <c:v>1.1132668587830723</c:v>
                </c:pt>
                <c:pt idx="501">
                  <c:v>1.1105843257604975</c:v>
                </c:pt>
                <c:pt idx="502">
                  <c:v>1.1126462297885069</c:v>
                </c:pt>
                <c:pt idx="503">
                  <c:v>1.1060374147859215</c:v>
                </c:pt>
                <c:pt idx="504">
                  <c:v>1.1025077475989904</c:v>
                </c:pt>
                <c:pt idx="505">
                  <c:v>1.106473119269773</c:v>
                </c:pt>
                <c:pt idx="506">
                  <c:v>1.1152688940070792</c:v>
                </c:pt>
                <c:pt idx="507">
                  <c:v>1.1030322491636195</c:v>
                </c:pt>
                <c:pt idx="508">
                  <c:v>1.1006636874185529</c:v>
                </c:pt>
                <c:pt idx="509">
                  <c:v>1.103041187665273</c:v>
                </c:pt>
                <c:pt idx="510">
                  <c:v>1.117600093235438</c:v>
                </c:pt>
                <c:pt idx="511">
                  <c:v>1.1237395152514209</c:v>
                </c:pt>
                <c:pt idx="512">
                  <c:v>1.1254852463974379</c:v>
                </c:pt>
                <c:pt idx="513">
                  <c:v>1.116472491789491</c:v>
                </c:pt>
                <c:pt idx="514">
                  <c:v>1.1213450709750115</c:v>
                </c:pt>
                <c:pt idx="515">
                  <c:v>1.1091866494275802</c:v>
                </c:pt>
                <c:pt idx="516">
                  <c:v>1.1125068230762574</c:v>
                </c:pt>
                <c:pt idx="517">
                  <c:v>1.098973151932642</c:v>
                </c:pt>
                <c:pt idx="518">
                  <c:v>1.1050478629845362</c:v>
                </c:pt>
                <c:pt idx="519">
                  <c:v>1.0924464233862465</c:v>
                </c:pt>
                <c:pt idx="520">
                  <c:v>1.0943641029880384</c:v>
                </c:pt>
                <c:pt idx="521">
                  <c:v>1.1113254333301854</c:v>
                </c:pt>
                <c:pt idx="522">
                  <c:v>1.1073810120790841</c:v>
                </c:pt>
                <c:pt idx="523">
                  <c:v>1.1215549585280884</c:v>
                </c:pt>
                <c:pt idx="524">
                  <c:v>1.1203588784313951</c:v>
                </c:pt>
                <c:pt idx="525">
                  <c:v>1.1247473819150289</c:v>
                </c:pt>
                <c:pt idx="526">
                  <c:v>1.1292859244063149</c:v>
                </c:pt>
                <c:pt idx="527">
                  <c:v>1.1231610049480112</c:v>
                </c:pt>
                <c:pt idx="528">
                  <c:v>1.1261173093860581</c:v>
                </c:pt>
                <c:pt idx="529">
                  <c:v>1.127593337525133</c:v>
                </c:pt>
                <c:pt idx="530">
                  <c:v>1.1283590611506529</c:v>
                </c:pt>
                <c:pt idx="531">
                  <c:v>1.1256002904279905</c:v>
                </c:pt>
                <c:pt idx="532">
                  <c:v>1.1259036297565865</c:v>
                </c:pt>
                <c:pt idx="533">
                  <c:v>1.1197770959654592</c:v>
                </c:pt>
                <c:pt idx="534">
                  <c:v>1.1208391535514817</c:v>
                </c:pt>
                <c:pt idx="535">
                  <c:v>1.1211534626501707</c:v>
                </c:pt>
                <c:pt idx="536">
                  <c:v>1.1195558880236938</c:v>
                </c:pt>
                <c:pt idx="537">
                  <c:v>1.1154811494188257</c:v>
                </c:pt>
                <c:pt idx="538">
                  <c:v>1.1058366430687561</c:v>
                </c:pt>
                <c:pt idx="539">
                  <c:v>1.1058656768538198</c:v>
                </c:pt>
                <c:pt idx="540">
                  <c:v>1.0951901156654151</c:v>
                </c:pt>
                <c:pt idx="541">
                  <c:v>1.0994373102842461</c:v>
                </c:pt>
                <c:pt idx="542">
                  <c:v>1.1028554826809436</c:v>
                </c:pt>
                <c:pt idx="543">
                  <c:v>1.0925640758805431</c:v>
                </c:pt>
                <c:pt idx="544">
                  <c:v>1.0967201218308338</c:v>
                </c:pt>
                <c:pt idx="545">
                  <c:v>1.0822806268922942</c:v>
                </c:pt>
                <c:pt idx="546">
                  <c:v>1.0693181628550688</c:v>
                </c:pt>
                <c:pt idx="547">
                  <c:v>1.0823101282230341</c:v>
                </c:pt>
                <c:pt idx="548">
                  <c:v>1.0727754428453316</c:v>
                </c:pt>
                <c:pt idx="549">
                  <c:v>1.0862710523837589</c:v>
                </c:pt>
                <c:pt idx="550">
                  <c:v>1.0996589147630753</c:v>
                </c:pt>
                <c:pt idx="551">
                  <c:v>1.0970904536771395</c:v>
                </c:pt>
                <c:pt idx="552">
                  <c:v>1.1025819761249351</c:v>
                </c:pt>
                <c:pt idx="553">
                  <c:v>1.0873122543189646</c:v>
                </c:pt>
                <c:pt idx="554">
                  <c:v>1.0825806304935213</c:v>
                </c:pt>
                <c:pt idx="555">
                  <c:v>1.0810306780656944</c:v>
                </c:pt>
                <c:pt idx="556">
                  <c:v>1.0676064786702424</c:v>
                </c:pt>
                <c:pt idx="557">
                  <c:v>1.0768543547957961</c:v>
                </c:pt>
                <c:pt idx="558">
                  <c:v>1.0826674217455798</c:v>
                </c:pt>
                <c:pt idx="559">
                  <c:v>1.0852459772435015</c:v>
                </c:pt>
                <c:pt idx="560">
                  <c:v>1.0933396624868603</c:v>
                </c:pt>
                <c:pt idx="561">
                  <c:v>1.1017434735274336</c:v>
                </c:pt>
                <c:pt idx="562">
                  <c:v>1.083855192481636</c:v>
                </c:pt>
                <c:pt idx="563">
                  <c:v>1.0722253498390608</c:v>
                </c:pt>
                <c:pt idx="564">
                  <c:v>1.0811188217091738</c:v>
                </c:pt>
                <c:pt idx="565">
                  <c:v>1.099396926798877</c:v>
                </c:pt>
                <c:pt idx="566">
                  <c:v>1.0997368903878404</c:v>
                </c:pt>
                <c:pt idx="567">
                  <c:v>1.11004774913254</c:v>
                </c:pt>
                <c:pt idx="568">
                  <c:v>1.1149363535167869</c:v>
                </c:pt>
                <c:pt idx="569">
                  <c:v>1.1140745793708711</c:v>
                </c:pt>
                <c:pt idx="570">
                  <c:v>1.1107650046656912</c:v>
                </c:pt>
                <c:pt idx="571">
                  <c:v>1.1109043011740767</c:v>
                </c:pt>
                <c:pt idx="572">
                  <c:v>1.1091579393374549</c:v>
                </c:pt>
                <c:pt idx="573">
                  <c:v>1.1053474752931087</c:v>
                </c:pt>
                <c:pt idx="574">
                  <c:v>1.1007774262974115</c:v>
                </c:pt>
                <c:pt idx="575">
                  <c:v>1.0767622219694193</c:v>
                </c:pt>
                <c:pt idx="576">
                  <c:v>1.0564098059371372</c:v>
                </c:pt>
                <c:pt idx="577">
                  <c:v>1.0648988290004981</c:v>
                </c:pt>
                <c:pt idx="578">
                  <c:v>1.071241415526732</c:v>
                </c:pt>
                <c:pt idx="579">
                  <c:v>1.0874550028631333</c:v>
                </c:pt>
                <c:pt idx="580">
                  <c:v>1.0829193138525197</c:v>
                </c:pt>
                <c:pt idx="581">
                  <c:v>1.099270282329442</c:v>
                </c:pt>
                <c:pt idx="582">
                  <c:v>1.0995081062423329</c:v>
                </c:pt>
                <c:pt idx="583">
                  <c:v>1.1067646711685784</c:v>
                </c:pt>
                <c:pt idx="584">
                  <c:v>1.1050994547847959</c:v>
                </c:pt>
                <c:pt idx="585">
                  <c:v>1.1062613508714225</c:v>
                </c:pt>
                <c:pt idx="586">
                  <c:v>1.1024966082736012</c:v>
                </c:pt>
                <c:pt idx="587">
                  <c:v>1.0961121468933401</c:v>
                </c:pt>
                <c:pt idx="588">
                  <c:v>1.1029415098124657</c:v>
                </c:pt>
                <c:pt idx="589">
                  <c:v>1.1054839367368594</c:v>
                </c:pt>
                <c:pt idx="590">
                  <c:v>1.1026779547633871</c:v>
                </c:pt>
                <c:pt idx="591">
                  <c:v>1.1038279845309067</c:v>
                </c:pt>
                <c:pt idx="592">
                  <c:v>1.1009639612694577</c:v>
                </c:pt>
                <c:pt idx="593">
                  <c:v>1.0957270839098183</c:v>
                </c:pt>
                <c:pt idx="594">
                  <c:v>1.0937599878415192</c:v>
                </c:pt>
                <c:pt idx="595">
                  <c:v>1.0952611467880262</c:v>
                </c:pt>
                <c:pt idx="596">
                  <c:v>1.0901271632493184</c:v>
                </c:pt>
                <c:pt idx="597">
                  <c:v>1.0893918042275863</c:v>
                </c:pt>
                <c:pt idx="598">
                  <c:v>1.0891515341336966</c:v>
                </c:pt>
                <c:pt idx="599">
                  <c:v>1.0886216894139615</c:v>
                </c:pt>
                <c:pt idx="600">
                  <c:v>1.0893228062372571</c:v>
                </c:pt>
                <c:pt idx="601">
                  <c:v>1.0886261120014711</c:v>
                </c:pt>
                <c:pt idx="602">
                  <c:v>1.0855059272192396</c:v>
                </c:pt>
                <c:pt idx="603">
                  <c:v>1.0851563410052913</c:v>
                </c:pt>
                <c:pt idx="604">
                  <c:v>1.0813808278261685</c:v>
                </c:pt>
                <c:pt idx="605">
                  <c:v>1.0756803307649827</c:v>
                </c:pt>
                <c:pt idx="606">
                  <c:v>1.0785101724413741</c:v>
                </c:pt>
                <c:pt idx="607">
                  <c:v>1.0786290941698611</c:v>
                </c:pt>
                <c:pt idx="608">
                  <c:v>1.0668977003321218</c:v>
                </c:pt>
                <c:pt idx="609">
                  <c:v>1.060667576387853</c:v>
                </c:pt>
                <c:pt idx="610">
                  <c:v>1.0620529318862624</c:v>
                </c:pt>
                <c:pt idx="611">
                  <c:v>1.0501138587989296</c:v>
                </c:pt>
                <c:pt idx="612">
                  <c:v>1.0516154271066946</c:v>
                </c:pt>
                <c:pt idx="613">
                  <c:v>1.0445619775927024</c:v>
                </c:pt>
                <c:pt idx="614">
                  <c:v>1.0322586004193441</c:v>
                </c:pt>
                <c:pt idx="615">
                  <c:v>1.0395579306490479</c:v>
                </c:pt>
                <c:pt idx="616">
                  <c:v>1.0199834437481097</c:v>
                </c:pt>
                <c:pt idx="617">
                  <c:v>1.0108407865428619</c:v>
                </c:pt>
                <c:pt idx="618">
                  <c:v>0.99795667915857256</c:v>
                </c:pt>
                <c:pt idx="619">
                  <c:v>0.99781170119818097</c:v>
                </c:pt>
                <c:pt idx="620">
                  <c:v>1.0059120161563295</c:v>
                </c:pt>
                <c:pt idx="621">
                  <c:v>1.0043331513453218</c:v>
                </c:pt>
                <c:pt idx="622">
                  <c:v>1.0208010810865569</c:v>
                </c:pt>
                <c:pt idx="623">
                  <c:v>1.0322520933967252</c:v>
                </c:pt>
                <c:pt idx="624">
                  <c:v>1.0529135085545445</c:v>
                </c:pt>
                <c:pt idx="625">
                  <c:v>1.0354518582940517</c:v>
                </c:pt>
                <c:pt idx="626">
                  <c:v>1.0505779109690077</c:v>
                </c:pt>
                <c:pt idx="627">
                  <c:v>1.0521430707649506</c:v>
                </c:pt>
                <c:pt idx="628">
                  <c:v>1.0409775613239882</c:v>
                </c:pt>
                <c:pt idx="629">
                  <c:v>1.0409724178620812</c:v>
                </c:pt>
                <c:pt idx="630">
                  <c:v>1.0542209789171522</c:v>
                </c:pt>
                <c:pt idx="631">
                  <c:v>1.0570069076579194</c:v>
                </c:pt>
                <c:pt idx="632">
                  <c:v>1.0595537100187249</c:v>
                </c:pt>
                <c:pt idx="633">
                  <c:v>1.0509778850726377</c:v>
                </c:pt>
                <c:pt idx="634">
                  <c:v>1.0671466576331792</c:v>
                </c:pt>
                <c:pt idx="635">
                  <c:v>1.0593141662986572</c:v>
                </c:pt>
                <c:pt idx="636">
                  <c:v>1.0650906675972227</c:v>
                </c:pt>
                <c:pt idx="637">
                  <c:v>1.0731039907208202</c:v>
                </c:pt>
                <c:pt idx="638">
                  <c:v>1.0735812603330026</c:v>
                </c:pt>
                <c:pt idx="639">
                  <c:v>1.0686900802772845</c:v>
                </c:pt>
                <c:pt idx="640">
                  <c:v>1.0673944364859944</c:v>
                </c:pt>
                <c:pt idx="641">
                  <c:v>1.0599100604811065</c:v>
                </c:pt>
                <c:pt idx="642">
                  <c:v>1.0606202118617405</c:v>
                </c:pt>
                <c:pt idx="643">
                  <c:v>1.0665827702697934</c:v>
                </c:pt>
                <c:pt idx="644">
                  <c:v>1.0657008647373549</c:v>
                </c:pt>
                <c:pt idx="645">
                  <c:v>1.0620547903196615</c:v>
                </c:pt>
                <c:pt idx="646">
                  <c:v>1.0685997995349381</c:v>
                </c:pt>
                <c:pt idx="647">
                  <c:v>1.0716729137396048</c:v>
                </c:pt>
                <c:pt idx="648">
                  <c:v>1.0666370281344495</c:v>
                </c:pt>
                <c:pt idx="649">
                  <c:v>1.0681714492650916</c:v>
                </c:pt>
                <c:pt idx="650">
                  <c:v>1.0689505900333183</c:v>
                </c:pt>
                <c:pt idx="651">
                  <c:v>1.0694946562830476</c:v>
                </c:pt>
                <c:pt idx="652">
                  <c:v>1.0661742414903335</c:v>
                </c:pt>
                <c:pt idx="653">
                  <c:v>1.0678641426004916</c:v>
                </c:pt>
                <c:pt idx="654">
                  <c:v>1.0678141556008613</c:v>
                </c:pt>
                <c:pt idx="655">
                  <c:v>1.0667630744996399</c:v>
                </c:pt>
                <c:pt idx="656">
                  <c:v>1.0619752954385389</c:v>
                </c:pt>
                <c:pt idx="657">
                  <c:v>1.0639678826637846</c:v>
                </c:pt>
                <c:pt idx="658">
                  <c:v>1.061017993173925</c:v>
                </c:pt>
                <c:pt idx="659">
                  <c:v>1.0585401802654331</c:v>
                </c:pt>
                <c:pt idx="660">
                  <c:v>1.0535395280242621</c:v>
                </c:pt>
                <c:pt idx="661">
                  <c:v>1.0450078561079876</c:v>
                </c:pt>
                <c:pt idx="662">
                  <c:v>1.0450692289722179</c:v>
                </c:pt>
                <c:pt idx="663">
                  <c:v>1.0407234149229305</c:v>
                </c:pt>
                <c:pt idx="664">
                  <c:v>1.0340162547419351</c:v>
                </c:pt>
                <c:pt idx="665">
                  <c:v>1.0356528963832976</c:v>
                </c:pt>
                <c:pt idx="666">
                  <c:v>1.0328934711979216</c:v>
                </c:pt>
                <c:pt idx="667">
                  <c:v>1.0213620685142306</c:v>
                </c:pt>
                <c:pt idx="668">
                  <c:v>1.0269186885490003</c:v>
                </c:pt>
                <c:pt idx="669">
                  <c:v>1.0269030501549652</c:v>
                </c:pt>
                <c:pt idx="670">
                  <c:v>1.0365885199597886</c:v>
                </c:pt>
                <c:pt idx="671">
                  <c:v>1.0293994875064925</c:v>
                </c:pt>
                <c:pt idx="672">
                  <c:v>1.03225860888622</c:v>
                </c:pt>
                <c:pt idx="673">
                  <c:v>1.0522578490553303</c:v>
                </c:pt>
                <c:pt idx="674">
                  <c:v>1.0521969363402945</c:v>
                </c:pt>
                <c:pt idx="675">
                  <c:v>1.0567247232765651</c:v>
                </c:pt>
                <c:pt idx="676">
                  <c:v>1.0564365685560433</c:v>
                </c:pt>
                <c:pt idx="677">
                  <c:v>1.0612857189986951</c:v>
                </c:pt>
                <c:pt idx="678">
                  <c:v>1.0607975634307218</c:v>
                </c:pt>
                <c:pt idx="679">
                  <c:v>1.059043125156977</c:v>
                </c:pt>
                <c:pt idx="680">
                  <c:v>1.0540269752327667</c:v>
                </c:pt>
                <c:pt idx="681">
                  <c:v>1.0563472257950335</c:v>
                </c:pt>
                <c:pt idx="682">
                  <c:v>1.0460822900141189</c:v>
                </c:pt>
                <c:pt idx="683">
                  <c:v>1.0579163163866605</c:v>
                </c:pt>
                <c:pt idx="684">
                  <c:v>1.0537152314528606</c:v>
                </c:pt>
                <c:pt idx="685">
                  <c:v>1.0556473274755049</c:v>
                </c:pt>
                <c:pt idx="686">
                  <c:v>1.0508037741271861</c:v>
                </c:pt>
                <c:pt idx="687">
                  <c:v>1.0493328516764204</c:v>
                </c:pt>
                <c:pt idx="688">
                  <c:v>1.0534639233763476</c:v>
                </c:pt>
                <c:pt idx="689">
                  <c:v>1.0488196555460028</c:v>
                </c:pt>
                <c:pt idx="690">
                  <c:v>1.0558684573212556</c:v>
                </c:pt>
                <c:pt idx="691">
                  <c:v>1.0597919791761028</c:v>
                </c:pt>
                <c:pt idx="692">
                  <c:v>1.0543124712062668</c:v>
                </c:pt>
                <c:pt idx="693">
                  <c:v>1.0536536581219338</c:v>
                </c:pt>
                <c:pt idx="694">
                  <c:v>1.0469758875880906</c:v>
                </c:pt>
                <c:pt idx="695">
                  <c:v>1.0473481445512709</c:v>
                </c:pt>
                <c:pt idx="696">
                  <c:v>1.0454372760462407</c:v>
                </c:pt>
                <c:pt idx="697">
                  <c:v>1.0466161597407044</c:v>
                </c:pt>
                <c:pt idx="698">
                  <c:v>1.0417186484339473</c:v>
                </c:pt>
                <c:pt idx="699">
                  <c:v>1.0481539591154019</c:v>
                </c:pt>
                <c:pt idx="700">
                  <c:v>1.048286423313572</c:v>
                </c:pt>
                <c:pt idx="701">
                  <c:v>1.0465563648110094</c:v>
                </c:pt>
                <c:pt idx="702">
                  <c:v>1.0452788862340441</c:v>
                </c:pt>
                <c:pt idx="703">
                  <c:v>1.0375600050466081</c:v>
                </c:pt>
                <c:pt idx="704">
                  <c:v>1.0353874359536277</c:v>
                </c:pt>
                <c:pt idx="705">
                  <c:v>1.0345507308406452</c:v>
                </c:pt>
                <c:pt idx="706">
                  <c:v>1.0314161690555561</c:v>
                </c:pt>
                <c:pt idx="707">
                  <c:v>1.0385050629197492</c:v>
                </c:pt>
                <c:pt idx="708">
                  <c:v>1.0420421037401633</c:v>
                </c:pt>
                <c:pt idx="709">
                  <c:v>1.0422880876353087</c:v>
                </c:pt>
                <c:pt idx="710">
                  <c:v>1.0413493159596545</c:v>
                </c:pt>
                <c:pt idx="711">
                  <c:v>1.0367215575000714</c:v>
                </c:pt>
                <c:pt idx="712">
                  <c:v>1.0301962779352782</c:v>
                </c:pt>
                <c:pt idx="713">
                  <c:v>1.0283046142036665</c:v>
                </c:pt>
                <c:pt idx="714">
                  <c:v>1.0286838310283428</c:v>
                </c:pt>
                <c:pt idx="715">
                  <c:v>1.027956004622596</c:v>
                </c:pt>
                <c:pt idx="716">
                  <c:v>1.0261123266870775</c:v>
                </c:pt>
                <c:pt idx="717">
                  <c:v>1.0207452164207884</c:v>
                </c:pt>
                <c:pt idx="718">
                  <c:v>1.0218592881930588</c:v>
                </c:pt>
                <c:pt idx="719">
                  <c:v>1.0158714822513721</c:v>
                </c:pt>
                <c:pt idx="720">
                  <c:v>1.0116230904276458</c:v>
                </c:pt>
                <c:pt idx="721">
                  <c:v>1.0092608605205493</c:v>
                </c:pt>
                <c:pt idx="722">
                  <c:v>1.001144761698388</c:v>
                </c:pt>
                <c:pt idx="723">
                  <c:v>1.007643159796044</c:v>
                </c:pt>
                <c:pt idx="724">
                  <c:v>1.0037983731465219</c:v>
                </c:pt>
                <c:pt idx="725">
                  <c:v>1.0000514083498107</c:v>
                </c:pt>
                <c:pt idx="726">
                  <c:v>1.0094132150081681</c:v>
                </c:pt>
                <c:pt idx="727">
                  <c:v>1.0141142201626381</c:v>
                </c:pt>
                <c:pt idx="728">
                  <c:v>1.01369246233179</c:v>
                </c:pt>
                <c:pt idx="729">
                  <c:v>1.0040197246963323</c:v>
                </c:pt>
                <c:pt idx="730">
                  <c:v>1.0025002485776933</c:v>
                </c:pt>
                <c:pt idx="731">
                  <c:v>1.0038738734937418</c:v>
                </c:pt>
                <c:pt idx="732">
                  <c:v>0.99825740519930917</c:v>
                </c:pt>
                <c:pt idx="733">
                  <c:v>1.0072457971078734</c:v>
                </c:pt>
                <c:pt idx="734">
                  <c:v>1.0053745812643256</c:v>
                </c:pt>
                <c:pt idx="735">
                  <c:v>1.0067230262906484</c:v>
                </c:pt>
                <c:pt idx="736">
                  <c:v>1.0068662875274221</c:v>
                </c:pt>
                <c:pt idx="737">
                  <c:v>1.0038742706125836</c:v>
                </c:pt>
                <c:pt idx="738">
                  <c:v>0.99911351372790802</c:v>
                </c:pt>
                <c:pt idx="739">
                  <c:v>0.99587747749181543</c:v>
                </c:pt>
                <c:pt idx="740">
                  <c:v>1.003973868505089</c:v>
                </c:pt>
                <c:pt idx="741">
                  <c:v>1.0022569083132111</c:v>
                </c:pt>
                <c:pt idx="742">
                  <c:v>1.0044702220806276</c:v>
                </c:pt>
                <c:pt idx="743">
                  <c:v>1.0003780831522622</c:v>
                </c:pt>
                <c:pt idx="744">
                  <c:v>0.99660295963530221</c:v>
                </c:pt>
                <c:pt idx="745">
                  <c:v>0.9952391067216988</c:v>
                </c:pt>
                <c:pt idx="746">
                  <c:v>0.98475061568556732</c:v>
                </c:pt>
                <c:pt idx="747">
                  <c:v>0.97799330795679951</c:v>
                </c:pt>
                <c:pt idx="748">
                  <c:v>0.96977602169933275</c:v>
                </c:pt>
                <c:pt idx="749">
                  <c:v>0.97926279555394791</c:v>
                </c:pt>
                <c:pt idx="750">
                  <c:v>1.0001475912852456</c:v>
                </c:pt>
                <c:pt idx="751">
                  <c:v>0.9892293784589371</c:v>
                </c:pt>
                <c:pt idx="752">
                  <c:v>0.98547882462068515</c:v>
                </c:pt>
                <c:pt idx="753">
                  <c:v>0.99622893714367533</c:v>
                </c:pt>
                <c:pt idx="754">
                  <c:v>1.0087662252990643</c:v>
                </c:pt>
                <c:pt idx="755">
                  <c:v>1.0098926751234683</c:v>
                </c:pt>
                <c:pt idx="756">
                  <c:v>1.0070393487504075</c:v>
                </c:pt>
                <c:pt idx="757">
                  <c:v>1</c:v>
                </c:pt>
              </c:numCache>
            </c:numRef>
          </c:val>
          <c:smooth val="0"/>
          <c:extLst>
            <c:ext xmlns:c16="http://schemas.microsoft.com/office/drawing/2014/chart" uri="{C3380CC4-5D6E-409C-BE32-E72D297353CC}">
              <c16:uniqueId val="{00000001-A7E4-430C-9E3D-D851F3DD4F29}"/>
            </c:ext>
          </c:extLst>
        </c:ser>
        <c:ser>
          <c:idx val="2"/>
          <c:order val="2"/>
          <c:tx>
            <c:strRef>
              <c:f>Exhibits!$EJ$28</c:f>
              <c:strCache>
                <c:ptCount val="1"/>
                <c:pt idx="0">
                  <c:v>Key Dates</c:v>
                </c:pt>
              </c:strCache>
            </c:strRef>
          </c:tx>
          <c:spPr>
            <a:ln w="28575" cap="rnd">
              <a:noFill/>
              <a:round/>
            </a:ln>
            <a:effectLst/>
          </c:spPr>
          <c:marker>
            <c:symbol val="diamond"/>
            <c:size val="6"/>
            <c:spPr>
              <a:solidFill>
                <a:schemeClr val="accent4"/>
              </a:solidFill>
              <a:ln w="9525">
                <a:noFill/>
              </a:ln>
              <a:effectLst/>
            </c:spPr>
          </c:marker>
          <c:dLbls>
            <c:dLbl>
              <c:idx val="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7E4-430C-9E3D-D851F3DD4F29}"/>
                </c:ext>
              </c:extLst>
            </c:dLbl>
            <c:dLbl>
              <c:idx val="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A7E4-430C-9E3D-D851F3DD4F29}"/>
                </c:ext>
              </c:extLst>
            </c:dLbl>
            <c:dLbl>
              <c:idx val="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A7E4-430C-9E3D-D851F3DD4F29}"/>
                </c:ext>
              </c:extLst>
            </c:dLbl>
            <c:dLbl>
              <c:idx val="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7E4-430C-9E3D-D851F3DD4F29}"/>
                </c:ext>
              </c:extLst>
            </c:dLbl>
            <c:dLbl>
              <c:idx val="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A7E4-430C-9E3D-D851F3DD4F29}"/>
                </c:ext>
              </c:extLst>
            </c:dLbl>
            <c:dLbl>
              <c:idx val="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7E4-430C-9E3D-D851F3DD4F29}"/>
                </c:ext>
              </c:extLst>
            </c:dLbl>
            <c:dLbl>
              <c:idx val="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7E4-430C-9E3D-D851F3DD4F29}"/>
                </c:ext>
              </c:extLst>
            </c:dLbl>
            <c:dLbl>
              <c:idx val="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7E4-430C-9E3D-D851F3DD4F29}"/>
                </c:ext>
              </c:extLst>
            </c:dLbl>
            <c:dLbl>
              <c:idx val="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A7E4-430C-9E3D-D851F3DD4F29}"/>
                </c:ext>
              </c:extLst>
            </c:dLbl>
            <c:dLbl>
              <c:idx val="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A7E4-430C-9E3D-D851F3DD4F29}"/>
                </c:ext>
              </c:extLst>
            </c:dLbl>
            <c:dLbl>
              <c:idx val="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A7E4-430C-9E3D-D851F3DD4F29}"/>
                </c:ext>
              </c:extLst>
            </c:dLbl>
            <c:dLbl>
              <c:idx val="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A7E4-430C-9E3D-D851F3DD4F29}"/>
                </c:ext>
              </c:extLst>
            </c:dLbl>
            <c:dLbl>
              <c:idx val="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A7E4-430C-9E3D-D851F3DD4F29}"/>
                </c:ext>
              </c:extLst>
            </c:dLbl>
            <c:dLbl>
              <c:idx val="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A7E4-430C-9E3D-D851F3DD4F29}"/>
                </c:ext>
              </c:extLst>
            </c:dLbl>
            <c:dLbl>
              <c:idx val="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A7E4-430C-9E3D-D851F3DD4F29}"/>
                </c:ext>
              </c:extLst>
            </c:dLbl>
            <c:dLbl>
              <c:idx val="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1-A7E4-430C-9E3D-D851F3DD4F29}"/>
                </c:ext>
              </c:extLst>
            </c:dLbl>
            <c:dLbl>
              <c:idx val="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2-A7E4-430C-9E3D-D851F3DD4F29}"/>
                </c:ext>
              </c:extLst>
            </c:dLbl>
            <c:dLbl>
              <c:idx val="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A7E4-430C-9E3D-D851F3DD4F29}"/>
                </c:ext>
              </c:extLst>
            </c:dLbl>
            <c:dLbl>
              <c:idx val="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7E4-430C-9E3D-D851F3DD4F29}"/>
                </c:ext>
              </c:extLst>
            </c:dLbl>
            <c:dLbl>
              <c:idx val="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A7E4-430C-9E3D-D851F3DD4F29}"/>
                </c:ext>
              </c:extLst>
            </c:dLbl>
            <c:dLbl>
              <c:idx val="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A7E4-430C-9E3D-D851F3DD4F29}"/>
                </c:ext>
              </c:extLst>
            </c:dLbl>
            <c:dLbl>
              <c:idx val="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A7E4-430C-9E3D-D851F3DD4F29}"/>
                </c:ext>
              </c:extLst>
            </c:dLbl>
            <c:dLbl>
              <c:idx val="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A7E4-430C-9E3D-D851F3DD4F29}"/>
                </c:ext>
              </c:extLst>
            </c:dLbl>
            <c:dLbl>
              <c:idx val="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9-A7E4-430C-9E3D-D851F3DD4F29}"/>
                </c:ext>
              </c:extLst>
            </c:dLbl>
            <c:dLbl>
              <c:idx val="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A-A7E4-430C-9E3D-D851F3DD4F29}"/>
                </c:ext>
              </c:extLst>
            </c:dLbl>
            <c:dLbl>
              <c:idx val="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B-A7E4-430C-9E3D-D851F3DD4F29}"/>
                </c:ext>
              </c:extLst>
            </c:dLbl>
            <c:dLbl>
              <c:idx val="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A7E4-430C-9E3D-D851F3DD4F29}"/>
                </c:ext>
              </c:extLst>
            </c:dLbl>
            <c:dLbl>
              <c:idx val="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D-A7E4-430C-9E3D-D851F3DD4F29}"/>
                </c:ext>
              </c:extLst>
            </c:dLbl>
            <c:dLbl>
              <c:idx val="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E-A7E4-430C-9E3D-D851F3DD4F29}"/>
                </c:ext>
              </c:extLst>
            </c:dLbl>
            <c:dLbl>
              <c:idx val="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F-A7E4-430C-9E3D-D851F3DD4F29}"/>
                </c:ext>
              </c:extLst>
            </c:dLbl>
            <c:dLbl>
              <c:idx val="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0-A7E4-430C-9E3D-D851F3DD4F29}"/>
                </c:ext>
              </c:extLst>
            </c:dLbl>
            <c:dLbl>
              <c:idx val="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1-A7E4-430C-9E3D-D851F3DD4F29}"/>
                </c:ext>
              </c:extLst>
            </c:dLbl>
            <c:dLbl>
              <c:idx val="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2-A7E4-430C-9E3D-D851F3DD4F29}"/>
                </c:ext>
              </c:extLst>
            </c:dLbl>
            <c:dLbl>
              <c:idx val="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3-A7E4-430C-9E3D-D851F3DD4F29}"/>
                </c:ext>
              </c:extLst>
            </c:dLbl>
            <c:dLbl>
              <c:idx val="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4-A7E4-430C-9E3D-D851F3DD4F29}"/>
                </c:ext>
              </c:extLst>
            </c:dLbl>
            <c:dLbl>
              <c:idx val="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5-A7E4-430C-9E3D-D851F3DD4F29}"/>
                </c:ext>
              </c:extLst>
            </c:dLbl>
            <c:dLbl>
              <c:idx val="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6-A7E4-430C-9E3D-D851F3DD4F29}"/>
                </c:ext>
              </c:extLst>
            </c:dLbl>
            <c:dLbl>
              <c:idx val="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7-A7E4-430C-9E3D-D851F3DD4F29}"/>
                </c:ext>
              </c:extLst>
            </c:dLbl>
            <c:dLbl>
              <c:idx val="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8-A7E4-430C-9E3D-D851F3DD4F29}"/>
                </c:ext>
              </c:extLst>
            </c:dLbl>
            <c:dLbl>
              <c:idx val="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9-A7E4-430C-9E3D-D851F3DD4F29}"/>
                </c:ext>
              </c:extLst>
            </c:dLbl>
            <c:dLbl>
              <c:idx val="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A-A7E4-430C-9E3D-D851F3DD4F29}"/>
                </c:ext>
              </c:extLst>
            </c:dLbl>
            <c:dLbl>
              <c:idx val="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B-A7E4-430C-9E3D-D851F3DD4F29}"/>
                </c:ext>
              </c:extLst>
            </c:dLbl>
            <c:dLbl>
              <c:idx val="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C-A7E4-430C-9E3D-D851F3DD4F29}"/>
                </c:ext>
              </c:extLst>
            </c:dLbl>
            <c:dLbl>
              <c:idx val="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D-A7E4-430C-9E3D-D851F3DD4F29}"/>
                </c:ext>
              </c:extLst>
            </c:dLbl>
            <c:dLbl>
              <c:idx val="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E-A7E4-430C-9E3D-D851F3DD4F29}"/>
                </c:ext>
              </c:extLst>
            </c:dLbl>
            <c:dLbl>
              <c:idx val="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F-A7E4-430C-9E3D-D851F3DD4F29}"/>
                </c:ext>
              </c:extLst>
            </c:dLbl>
            <c:dLbl>
              <c:idx val="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0-A7E4-430C-9E3D-D851F3DD4F29}"/>
                </c:ext>
              </c:extLst>
            </c:dLbl>
            <c:dLbl>
              <c:idx val="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1-A7E4-430C-9E3D-D851F3DD4F29}"/>
                </c:ext>
              </c:extLst>
            </c:dLbl>
            <c:dLbl>
              <c:idx val="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2-A7E4-430C-9E3D-D851F3DD4F29}"/>
                </c:ext>
              </c:extLst>
            </c:dLbl>
            <c:dLbl>
              <c:idx val="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3-A7E4-430C-9E3D-D851F3DD4F29}"/>
                </c:ext>
              </c:extLst>
            </c:dLbl>
            <c:dLbl>
              <c:idx val="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4-A7E4-430C-9E3D-D851F3DD4F29}"/>
                </c:ext>
              </c:extLst>
            </c:dLbl>
            <c:dLbl>
              <c:idx val="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5-A7E4-430C-9E3D-D851F3DD4F29}"/>
                </c:ext>
              </c:extLst>
            </c:dLbl>
            <c:dLbl>
              <c:idx val="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6-A7E4-430C-9E3D-D851F3DD4F29}"/>
                </c:ext>
              </c:extLst>
            </c:dLbl>
            <c:dLbl>
              <c:idx val="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7-A7E4-430C-9E3D-D851F3DD4F29}"/>
                </c:ext>
              </c:extLst>
            </c:dLbl>
            <c:dLbl>
              <c:idx val="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8-A7E4-430C-9E3D-D851F3DD4F29}"/>
                </c:ext>
              </c:extLst>
            </c:dLbl>
            <c:dLbl>
              <c:idx val="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9-A7E4-430C-9E3D-D851F3DD4F29}"/>
                </c:ext>
              </c:extLst>
            </c:dLbl>
            <c:dLbl>
              <c:idx val="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A-A7E4-430C-9E3D-D851F3DD4F29}"/>
                </c:ext>
              </c:extLst>
            </c:dLbl>
            <c:dLbl>
              <c:idx val="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B-A7E4-430C-9E3D-D851F3DD4F29}"/>
                </c:ext>
              </c:extLst>
            </c:dLbl>
            <c:dLbl>
              <c:idx val="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C-A7E4-430C-9E3D-D851F3DD4F29}"/>
                </c:ext>
              </c:extLst>
            </c:dLbl>
            <c:dLbl>
              <c:idx val="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D-A7E4-430C-9E3D-D851F3DD4F29}"/>
                </c:ext>
              </c:extLst>
            </c:dLbl>
            <c:dLbl>
              <c:idx val="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E-A7E4-430C-9E3D-D851F3DD4F29}"/>
                </c:ext>
              </c:extLst>
            </c:dLbl>
            <c:dLbl>
              <c:idx val="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F-A7E4-430C-9E3D-D851F3DD4F29}"/>
                </c:ext>
              </c:extLst>
            </c:dLbl>
            <c:dLbl>
              <c:idx val="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0-A7E4-430C-9E3D-D851F3DD4F29}"/>
                </c:ext>
              </c:extLst>
            </c:dLbl>
            <c:dLbl>
              <c:idx val="63"/>
              <c:layout>
                <c:manualLayout>
                  <c:x val="3.3486572645698286E-2"/>
                  <c:y val="8.5161817578328747E-2"/>
                </c:manualLayout>
              </c:layout>
              <c:tx>
                <c:strRef>
                  <c:f>Exhibits!$EK$796</c:f>
                  <c:strCache>
                    <c:ptCount val="1"/>
                  </c:strCache>
                </c:strRef>
              </c:tx>
              <c:dLblPos val="r"/>
              <c:showLegendKey val="0"/>
              <c:showVal val="1"/>
              <c:showCatName val="0"/>
              <c:showSerName val="0"/>
              <c:showPercent val="0"/>
              <c:showBubbleSize val="0"/>
              <c:extLst>
                <c:ext xmlns:c15="http://schemas.microsoft.com/office/drawing/2012/chart" uri="{CE6537A1-D6FC-4f65-9D91-7224C49458BB}">
                  <c15:layout>
                    <c:manualLayout>
                      <c:w val="0.24690170940170941"/>
                      <c:h val="0.10197663593332884"/>
                    </c:manualLayout>
                  </c15:layout>
                  <c15:dlblFieldTable>
                    <c15:dlblFTEntry>
                      <c15:txfldGUID>{0F4291F9-120C-4988-82F4-58D4428B26A5}</c15:txfldGUID>
                      <c15:f>Exhibits!$EK$796</c15:f>
                      <c15:dlblFieldTableCache>
                        <c:ptCount val="1"/>
                      </c15:dlblFieldTableCache>
                    </c15:dlblFTEntry>
                  </c15:dlblFieldTable>
                  <c15:showDataLabelsRange val="0"/>
                </c:ext>
                <c:ext xmlns:c16="http://schemas.microsoft.com/office/drawing/2014/chart" uri="{C3380CC4-5D6E-409C-BE32-E72D297353CC}">
                  <c16:uniqueId val="{00000041-A7E4-430C-9E3D-D851F3DD4F29}"/>
                </c:ext>
              </c:extLst>
            </c:dLbl>
            <c:dLbl>
              <c:idx val="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2-A7E4-430C-9E3D-D851F3DD4F29}"/>
                </c:ext>
              </c:extLst>
            </c:dLbl>
            <c:dLbl>
              <c:idx val="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3-A7E4-430C-9E3D-D851F3DD4F29}"/>
                </c:ext>
              </c:extLst>
            </c:dLbl>
            <c:dLbl>
              <c:idx val="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4-A7E4-430C-9E3D-D851F3DD4F29}"/>
                </c:ext>
              </c:extLst>
            </c:dLbl>
            <c:dLbl>
              <c:idx val="6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5-A7E4-430C-9E3D-D851F3DD4F29}"/>
                </c:ext>
              </c:extLst>
            </c:dLbl>
            <c:dLbl>
              <c:idx val="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6-A7E4-430C-9E3D-D851F3DD4F29}"/>
                </c:ext>
              </c:extLst>
            </c:dLbl>
            <c:dLbl>
              <c:idx val="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7-A7E4-430C-9E3D-D851F3DD4F29}"/>
                </c:ext>
              </c:extLst>
            </c:dLbl>
            <c:dLbl>
              <c:idx val="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8-A7E4-430C-9E3D-D851F3DD4F29}"/>
                </c:ext>
              </c:extLst>
            </c:dLbl>
            <c:dLbl>
              <c:idx val="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9-A7E4-430C-9E3D-D851F3DD4F29}"/>
                </c:ext>
              </c:extLst>
            </c:dLbl>
            <c:dLbl>
              <c:idx val="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A-A7E4-430C-9E3D-D851F3DD4F29}"/>
                </c:ext>
              </c:extLst>
            </c:dLbl>
            <c:dLbl>
              <c:idx val="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B-A7E4-430C-9E3D-D851F3DD4F29}"/>
                </c:ext>
              </c:extLst>
            </c:dLbl>
            <c:dLbl>
              <c:idx val="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C-A7E4-430C-9E3D-D851F3DD4F29}"/>
                </c:ext>
              </c:extLst>
            </c:dLbl>
            <c:dLbl>
              <c:idx val="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D-A7E4-430C-9E3D-D851F3DD4F29}"/>
                </c:ext>
              </c:extLst>
            </c:dLbl>
            <c:dLbl>
              <c:idx val="7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E-A7E4-430C-9E3D-D851F3DD4F29}"/>
                </c:ext>
              </c:extLst>
            </c:dLbl>
            <c:dLbl>
              <c:idx val="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F-A7E4-430C-9E3D-D851F3DD4F29}"/>
                </c:ext>
              </c:extLst>
            </c:dLbl>
            <c:dLbl>
              <c:idx val="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0-A7E4-430C-9E3D-D851F3DD4F29}"/>
                </c:ext>
              </c:extLst>
            </c:dLbl>
            <c:dLbl>
              <c:idx val="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1-A7E4-430C-9E3D-D851F3DD4F29}"/>
                </c:ext>
              </c:extLst>
            </c:dLbl>
            <c:dLbl>
              <c:idx val="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2-A7E4-430C-9E3D-D851F3DD4F29}"/>
                </c:ext>
              </c:extLst>
            </c:dLbl>
            <c:dLbl>
              <c:idx val="8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3-A7E4-430C-9E3D-D851F3DD4F29}"/>
                </c:ext>
              </c:extLst>
            </c:dLbl>
            <c:dLbl>
              <c:idx val="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4-A7E4-430C-9E3D-D851F3DD4F29}"/>
                </c:ext>
              </c:extLst>
            </c:dLbl>
            <c:dLbl>
              <c:idx val="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5-A7E4-430C-9E3D-D851F3DD4F29}"/>
                </c:ext>
              </c:extLst>
            </c:dLbl>
            <c:dLbl>
              <c:idx val="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6-A7E4-430C-9E3D-D851F3DD4F29}"/>
                </c:ext>
              </c:extLst>
            </c:dLbl>
            <c:dLbl>
              <c:idx val="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7-A7E4-430C-9E3D-D851F3DD4F29}"/>
                </c:ext>
              </c:extLst>
            </c:dLbl>
            <c:dLbl>
              <c:idx val="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8-A7E4-430C-9E3D-D851F3DD4F29}"/>
                </c:ext>
              </c:extLst>
            </c:dLbl>
            <c:dLbl>
              <c:idx val="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9-A7E4-430C-9E3D-D851F3DD4F29}"/>
                </c:ext>
              </c:extLst>
            </c:dLbl>
            <c:dLbl>
              <c:idx val="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A-A7E4-430C-9E3D-D851F3DD4F29}"/>
                </c:ext>
              </c:extLst>
            </c:dLbl>
            <c:dLbl>
              <c:idx val="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B-A7E4-430C-9E3D-D851F3DD4F29}"/>
                </c:ext>
              </c:extLst>
            </c:dLbl>
            <c:dLbl>
              <c:idx val="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C-A7E4-430C-9E3D-D851F3DD4F29}"/>
                </c:ext>
              </c:extLst>
            </c:dLbl>
            <c:dLbl>
              <c:idx val="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D-A7E4-430C-9E3D-D851F3DD4F29}"/>
                </c:ext>
              </c:extLst>
            </c:dLbl>
            <c:dLbl>
              <c:idx val="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E-A7E4-430C-9E3D-D851F3DD4F29}"/>
                </c:ext>
              </c:extLst>
            </c:dLbl>
            <c:dLbl>
              <c:idx val="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F-A7E4-430C-9E3D-D851F3DD4F29}"/>
                </c:ext>
              </c:extLst>
            </c:dLbl>
            <c:dLbl>
              <c:idx val="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0-A7E4-430C-9E3D-D851F3DD4F29}"/>
                </c:ext>
              </c:extLst>
            </c:dLbl>
            <c:dLbl>
              <c:idx val="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1-A7E4-430C-9E3D-D851F3DD4F29}"/>
                </c:ext>
              </c:extLst>
            </c:dLbl>
            <c:dLbl>
              <c:idx val="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2-A7E4-430C-9E3D-D851F3DD4F29}"/>
                </c:ext>
              </c:extLst>
            </c:dLbl>
            <c:dLbl>
              <c:idx val="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3-A7E4-430C-9E3D-D851F3DD4F29}"/>
                </c:ext>
              </c:extLst>
            </c:dLbl>
            <c:dLbl>
              <c:idx val="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4-A7E4-430C-9E3D-D851F3DD4F29}"/>
                </c:ext>
              </c:extLst>
            </c:dLbl>
            <c:dLbl>
              <c:idx val="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5-A7E4-430C-9E3D-D851F3DD4F29}"/>
                </c:ext>
              </c:extLst>
            </c:dLbl>
            <c:dLbl>
              <c:idx val="1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6-A7E4-430C-9E3D-D851F3DD4F29}"/>
                </c:ext>
              </c:extLst>
            </c:dLbl>
            <c:dLbl>
              <c:idx val="1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7-A7E4-430C-9E3D-D851F3DD4F29}"/>
                </c:ext>
              </c:extLst>
            </c:dLbl>
            <c:dLbl>
              <c:idx val="1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8-A7E4-430C-9E3D-D851F3DD4F29}"/>
                </c:ext>
              </c:extLst>
            </c:dLbl>
            <c:dLbl>
              <c:idx val="1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9-A7E4-430C-9E3D-D851F3DD4F29}"/>
                </c:ext>
              </c:extLst>
            </c:dLbl>
            <c:dLbl>
              <c:idx val="10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A-A7E4-430C-9E3D-D851F3DD4F29}"/>
                </c:ext>
              </c:extLst>
            </c:dLbl>
            <c:dLbl>
              <c:idx val="10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B-A7E4-430C-9E3D-D851F3DD4F29}"/>
                </c:ext>
              </c:extLst>
            </c:dLbl>
            <c:dLbl>
              <c:idx val="1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C-A7E4-430C-9E3D-D851F3DD4F29}"/>
                </c:ext>
              </c:extLst>
            </c:dLbl>
            <c:dLbl>
              <c:idx val="1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D-A7E4-430C-9E3D-D851F3DD4F29}"/>
                </c:ext>
              </c:extLst>
            </c:dLbl>
            <c:dLbl>
              <c:idx val="1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E-A7E4-430C-9E3D-D851F3DD4F29}"/>
                </c:ext>
              </c:extLst>
            </c:dLbl>
            <c:dLbl>
              <c:idx val="10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F-A7E4-430C-9E3D-D851F3DD4F29}"/>
                </c:ext>
              </c:extLst>
            </c:dLbl>
            <c:dLbl>
              <c:idx val="1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0-A7E4-430C-9E3D-D851F3DD4F29}"/>
                </c:ext>
              </c:extLst>
            </c:dLbl>
            <c:dLbl>
              <c:idx val="1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1-A7E4-430C-9E3D-D851F3DD4F29}"/>
                </c:ext>
              </c:extLst>
            </c:dLbl>
            <c:dLbl>
              <c:idx val="112"/>
              <c:layout>
                <c:manualLayout>
                  <c:x val="-0.13061671296532595"/>
                  <c:y val="-0.17021728025939889"/>
                </c:manualLayout>
              </c:layout>
              <c:tx>
                <c:strRef>
                  <c:f>Exhibits!$EK$747</c:f>
                  <c:strCache>
                    <c:ptCount val="1"/>
                    <c:pt idx="0">
                      <c:v>Integration with Apple Pay</c:v>
                    </c:pt>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layout>
                    <c:manualLayout>
                      <c:w val="0.10630074450758906"/>
                      <c:h val="7.906767599770341E-2"/>
                    </c:manualLayout>
                  </c15:layout>
                  <c15:dlblFieldTable>
                    <c15:dlblFTEntry>
                      <c15:txfldGUID>{C29DE975-DC8C-4D44-947C-F876A7F703EA}</c15:txfldGUID>
                      <c15:f>Exhibits!$EK$747</c15:f>
                      <c15:dlblFieldTableCache>
                        <c:ptCount val="1"/>
                        <c:pt idx="0">
                          <c:v>Integration with Apple Pay</c:v>
                        </c:pt>
                      </c15:dlblFieldTableCache>
                    </c15:dlblFTEntry>
                  </c15:dlblFieldTable>
                  <c15:showDataLabelsRange val="1"/>
                </c:ext>
                <c:ext xmlns:c16="http://schemas.microsoft.com/office/drawing/2014/chart" uri="{C3380CC4-5D6E-409C-BE32-E72D297353CC}">
                  <c16:uniqueId val="{00000072-A7E4-430C-9E3D-D851F3DD4F29}"/>
                </c:ext>
              </c:extLst>
            </c:dLbl>
            <c:dLbl>
              <c:idx val="1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3-A7E4-430C-9E3D-D851F3DD4F29}"/>
                </c:ext>
              </c:extLst>
            </c:dLbl>
            <c:dLbl>
              <c:idx val="1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4-A7E4-430C-9E3D-D851F3DD4F29}"/>
                </c:ext>
              </c:extLst>
            </c:dLbl>
            <c:dLbl>
              <c:idx val="1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5-A7E4-430C-9E3D-D851F3DD4F29}"/>
                </c:ext>
              </c:extLst>
            </c:dLbl>
            <c:dLbl>
              <c:idx val="1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6-A7E4-430C-9E3D-D851F3DD4F29}"/>
                </c:ext>
              </c:extLst>
            </c:dLbl>
            <c:dLbl>
              <c:idx val="1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7-A7E4-430C-9E3D-D851F3DD4F29}"/>
                </c:ext>
              </c:extLst>
            </c:dLbl>
            <c:dLbl>
              <c:idx val="1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8-A7E4-430C-9E3D-D851F3DD4F29}"/>
                </c:ext>
              </c:extLst>
            </c:dLbl>
            <c:dLbl>
              <c:idx val="1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9-A7E4-430C-9E3D-D851F3DD4F29}"/>
                </c:ext>
              </c:extLst>
            </c:dLbl>
            <c:dLbl>
              <c:idx val="1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A-A7E4-430C-9E3D-D851F3DD4F29}"/>
                </c:ext>
              </c:extLst>
            </c:dLbl>
            <c:dLbl>
              <c:idx val="1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B-A7E4-430C-9E3D-D851F3DD4F29}"/>
                </c:ext>
              </c:extLst>
            </c:dLbl>
            <c:dLbl>
              <c:idx val="1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C-A7E4-430C-9E3D-D851F3DD4F29}"/>
                </c:ext>
              </c:extLst>
            </c:dLbl>
            <c:dLbl>
              <c:idx val="1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D-A7E4-430C-9E3D-D851F3DD4F29}"/>
                </c:ext>
              </c:extLst>
            </c:dLbl>
            <c:dLbl>
              <c:idx val="1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E-A7E4-430C-9E3D-D851F3DD4F29}"/>
                </c:ext>
              </c:extLst>
            </c:dLbl>
            <c:dLbl>
              <c:idx val="1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F-A7E4-430C-9E3D-D851F3DD4F29}"/>
                </c:ext>
              </c:extLst>
            </c:dLbl>
            <c:dLbl>
              <c:idx val="1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0-A7E4-430C-9E3D-D851F3DD4F29}"/>
                </c:ext>
              </c:extLst>
            </c:dLbl>
            <c:dLbl>
              <c:idx val="1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1-A7E4-430C-9E3D-D851F3DD4F29}"/>
                </c:ext>
              </c:extLst>
            </c:dLbl>
            <c:dLbl>
              <c:idx val="1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2-A7E4-430C-9E3D-D851F3DD4F29}"/>
                </c:ext>
              </c:extLst>
            </c:dLbl>
            <c:dLbl>
              <c:idx val="1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3-A7E4-430C-9E3D-D851F3DD4F29}"/>
                </c:ext>
              </c:extLst>
            </c:dLbl>
            <c:dLbl>
              <c:idx val="1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4-A7E4-430C-9E3D-D851F3DD4F29}"/>
                </c:ext>
              </c:extLst>
            </c:dLbl>
            <c:dLbl>
              <c:idx val="1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5-A7E4-430C-9E3D-D851F3DD4F29}"/>
                </c:ext>
              </c:extLst>
            </c:dLbl>
            <c:dLbl>
              <c:idx val="1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6-A7E4-430C-9E3D-D851F3DD4F29}"/>
                </c:ext>
              </c:extLst>
            </c:dLbl>
            <c:dLbl>
              <c:idx val="1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7-A7E4-430C-9E3D-D851F3DD4F29}"/>
                </c:ext>
              </c:extLst>
            </c:dLbl>
            <c:dLbl>
              <c:idx val="1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8-A7E4-430C-9E3D-D851F3DD4F29}"/>
                </c:ext>
              </c:extLst>
            </c:dLbl>
            <c:dLbl>
              <c:idx val="1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9-A7E4-430C-9E3D-D851F3DD4F29}"/>
                </c:ext>
              </c:extLst>
            </c:dLbl>
            <c:dLbl>
              <c:idx val="1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A-A7E4-430C-9E3D-D851F3DD4F29}"/>
                </c:ext>
              </c:extLst>
            </c:dLbl>
            <c:dLbl>
              <c:idx val="1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B-A7E4-430C-9E3D-D851F3DD4F29}"/>
                </c:ext>
              </c:extLst>
            </c:dLbl>
            <c:dLbl>
              <c:idx val="1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C-A7E4-430C-9E3D-D851F3DD4F29}"/>
                </c:ext>
              </c:extLst>
            </c:dLbl>
            <c:dLbl>
              <c:idx val="1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D-A7E4-430C-9E3D-D851F3DD4F29}"/>
                </c:ext>
              </c:extLst>
            </c:dLbl>
            <c:dLbl>
              <c:idx val="1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E-A7E4-430C-9E3D-D851F3DD4F29}"/>
                </c:ext>
              </c:extLst>
            </c:dLbl>
            <c:dLbl>
              <c:idx val="1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F-A7E4-430C-9E3D-D851F3DD4F29}"/>
                </c:ext>
              </c:extLst>
            </c:dLbl>
            <c:dLbl>
              <c:idx val="1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0-A7E4-430C-9E3D-D851F3DD4F29}"/>
                </c:ext>
              </c:extLst>
            </c:dLbl>
            <c:dLbl>
              <c:idx val="1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1-A7E4-430C-9E3D-D851F3DD4F29}"/>
                </c:ext>
              </c:extLst>
            </c:dLbl>
            <c:dLbl>
              <c:idx val="1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2-A7E4-430C-9E3D-D851F3DD4F29}"/>
                </c:ext>
              </c:extLst>
            </c:dLbl>
            <c:dLbl>
              <c:idx val="1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3-A7E4-430C-9E3D-D851F3DD4F29}"/>
                </c:ext>
              </c:extLst>
            </c:dLbl>
            <c:dLbl>
              <c:idx val="1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4-A7E4-430C-9E3D-D851F3DD4F29}"/>
                </c:ext>
              </c:extLst>
            </c:dLbl>
            <c:dLbl>
              <c:idx val="1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5-A7E4-430C-9E3D-D851F3DD4F29}"/>
                </c:ext>
              </c:extLst>
            </c:dLbl>
            <c:dLbl>
              <c:idx val="1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6-A7E4-430C-9E3D-D851F3DD4F29}"/>
                </c:ext>
              </c:extLst>
            </c:dLbl>
            <c:dLbl>
              <c:idx val="1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7-A7E4-430C-9E3D-D851F3DD4F29}"/>
                </c:ext>
              </c:extLst>
            </c:dLbl>
            <c:dLbl>
              <c:idx val="1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8-A7E4-430C-9E3D-D851F3DD4F29}"/>
                </c:ext>
              </c:extLst>
            </c:dLbl>
            <c:dLbl>
              <c:idx val="1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9-A7E4-430C-9E3D-D851F3DD4F29}"/>
                </c:ext>
              </c:extLst>
            </c:dLbl>
            <c:dLbl>
              <c:idx val="1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A-A7E4-430C-9E3D-D851F3DD4F29}"/>
                </c:ext>
              </c:extLst>
            </c:dLbl>
            <c:dLbl>
              <c:idx val="1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B-A7E4-430C-9E3D-D851F3DD4F29}"/>
                </c:ext>
              </c:extLst>
            </c:dLbl>
            <c:dLbl>
              <c:idx val="1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C-A7E4-430C-9E3D-D851F3DD4F29}"/>
                </c:ext>
              </c:extLst>
            </c:dLbl>
            <c:dLbl>
              <c:idx val="1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D-A7E4-430C-9E3D-D851F3DD4F29}"/>
                </c:ext>
              </c:extLst>
            </c:dLbl>
            <c:dLbl>
              <c:idx val="1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E-A7E4-430C-9E3D-D851F3DD4F29}"/>
                </c:ext>
              </c:extLst>
            </c:dLbl>
            <c:dLbl>
              <c:idx val="1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F-A7E4-430C-9E3D-D851F3DD4F29}"/>
                </c:ext>
              </c:extLst>
            </c:dLbl>
            <c:dLbl>
              <c:idx val="1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0-A7E4-430C-9E3D-D851F3DD4F29}"/>
                </c:ext>
              </c:extLst>
            </c:dLbl>
            <c:dLbl>
              <c:idx val="1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1-A7E4-430C-9E3D-D851F3DD4F29}"/>
                </c:ext>
              </c:extLst>
            </c:dLbl>
            <c:dLbl>
              <c:idx val="1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2-A7E4-430C-9E3D-D851F3DD4F29}"/>
                </c:ext>
              </c:extLst>
            </c:dLbl>
            <c:dLbl>
              <c:idx val="1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3-A7E4-430C-9E3D-D851F3DD4F29}"/>
                </c:ext>
              </c:extLst>
            </c:dLbl>
            <c:dLbl>
              <c:idx val="1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4-A7E4-430C-9E3D-D851F3DD4F29}"/>
                </c:ext>
              </c:extLst>
            </c:dLbl>
            <c:dLbl>
              <c:idx val="16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5-A7E4-430C-9E3D-D851F3DD4F29}"/>
                </c:ext>
              </c:extLst>
            </c:dLbl>
            <c:dLbl>
              <c:idx val="1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6-A7E4-430C-9E3D-D851F3DD4F29}"/>
                </c:ext>
              </c:extLst>
            </c:dLbl>
            <c:dLbl>
              <c:idx val="1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7-A7E4-430C-9E3D-D851F3DD4F29}"/>
                </c:ext>
              </c:extLst>
            </c:dLbl>
            <c:dLbl>
              <c:idx val="1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8-A7E4-430C-9E3D-D851F3DD4F29}"/>
                </c:ext>
              </c:extLst>
            </c:dLbl>
            <c:dLbl>
              <c:idx val="16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9-A7E4-430C-9E3D-D851F3DD4F29}"/>
                </c:ext>
              </c:extLst>
            </c:dLbl>
            <c:dLbl>
              <c:idx val="1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A-A7E4-430C-9E3D-D851F3DD4F29}"/>
                </c:ext>
              </c:extLst>
            </c:dLbl>
            <c:dLbl>
              <c:idx val="1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B-A7E4-430C-9E3D-D851F3DD4F29}"/>
                </c:ext>
              </c:extLst>
            </c:dLbl>
            <c:dLbl>
              <c:idx val="1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C-A7E4-430C-9E3D-D851F3DD4F29}"/>
                </c:ext>
              </c:extLst>
            </c:dLbl>
            <c:dLbl>
              <c:idx val="1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D-A7E4-430C-9E3D-D851F3DD4F29}"/>
                </c:ext>
              </c:extLst>
            </c:dLbl>
            <c:dLbl>
              <c:idx val="1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E-A7E4-430C-9E3D-D851F3DD4F29}"/>
                </c:ext>
              </c:extLst>
            </c:dLbl>
            <c:dLbl>
              <c:idx val="1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F-A7E4-430C-9E3D-D851F3DD4F29}"/>
                </c:ext>
              </c:extLst>
            </c:dLbl>
            <c:dLbl>
              <c:idx val="1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0-A7E4-430C-9E3D-D851F3DD4F29}"/>
                </c:ext>
              </c:extLst>
            </c:dLbl>
            <c:dLbl>
              <c:idx val="1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1-A7E4-430C-9E3D-D851F3DD4F29}"/>
                </c:ext>
              </c:extLst>
            </c:dLbl>
            <c:dLbl>
              <c:idx val="17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2-A7E4-430C-9E3D-D851F3DD4F29}"/>
                </c:ext>
              </c:extLst>
            </c:dLbl>
            <c:dLbl>
              <c:idx val="1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3-A7E4-430C-9E3D-D851F3DD4F29}"/>
                </c:ext>
              </c:extLst>
            </c:dLbl>
            <c:dLbl>
              <c:idx val="1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4-A7E4-430C-9E3D-D851F3DD4F29}"/>
                </c:ext>
              </c:extLst>
            </c:dLbl>
            <c:dLbl>
              <c:idx val="1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5-A7E4-430C-9E3D-D851F3DD4F29}"/>
                </c:ext>
              </c:extLst>
            </c:dLbl>
            <c:dLbl>
              <c:idx val="1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6-A7E4-430C-9E3D-D851F3DD4F29}"/>
                </c:ext>
              </c:extLst>
            </c:dLbl>
            <c:dLbl>
              <c:idx val="18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7-A7E4-430C-9E3D-D851F3DD4F29}"/>
                </c:ext>
              </c:extLst>
            </c:dLbl>
            <c:dLbl>
              <c:idx val="1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8-A7E4-430C-9E3D-D851F3DD4F29}"/>
                </c:ext>
              </c:extLst>
            </c:dLbl>
            <c:dLbl>
              <c:idx val="1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9-A7E4-430C-9E3D-D851F3DD4F29}"/>
                </c:ext>
              </c:extLst>
            </c:dLbl>
            <c:dLbl>
              <c:idx val="1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A-A7E4-430C-9E3D-D851F3DD4F29}"/>
                </c:ext>
              </c:extLst>
            </c:dLbl>
            <c:dLbl>
              <c:idx val="1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B-A7E4-430C-9E3D-D851F3DD4F29}"/>
                </c:ext>
              </c:extLst>
            </c:dLbl>
            <c:dLbl>
              <c:idx val="1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C-A7E4-430C-9E3D-D851F3DD4F29}"/>
                </c:ext>
              </c:extLst>
            </c:dLbl>
            <c:dLbl>
              <c:idx val="1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D-A7E4-430C-9E3D-D851F3DD4F29}"/>
                </c:ext>
              </c:extLst>
            </c:dLbl>
            <c:dLbl>
              <c:idx val="1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E-A7E4-430C-9E3D-D851F3DD4F29}"/>
                </c:ext>
              </c:extLst>
            </c:dLbl>
            <c:dLbl>
              <c:idx val="1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F-A7E4-430C-9E3D-D851F3DD4F29}"/>
                </c:ext>
              </c:extLst>
            </c:dLbl>
            <c:dLbl>
              <c:idx val="1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0-A7E4-430C-9E3D-D851F3DD4F29}"/>
                </c:ext>
              </c:extLst>
            </c:dLbl>
            <c:dLbl>
              <c:idx val="1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1-A7E4-430C-9E3D-D851F3DD4F29}"/>
                </c:ext>
              </c:extLst>
            </c:dLbl>
            <c:dLbl>
              <c:idx val="1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2-A7E4-430C-9E3D-D851F3DD4F29}"/>
                </c:ext>
              </c:extLst>
            </c:dLbl>
            <c:dLbl>
              <c:idx val="1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3-A7E4-430C-9E3D-D851F3DD4F29}"/>
                </c:ext>
              </c:extLst>
            </c:dLbl>
            <c:dLbl>
              <c:idx val="1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4-A7E4-430C-9E3D-D851F3DD4F29}"/>
                </c:ext>
              </c:extLst>
            </c:dLbl>
            <c:dLbl>
              <c:idx val="1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5-A7E4-430C-9E3D-D851F3DD4F29}"/>
                </c:ext>
              </c:extLst>
            </c:dLbl>
            <c:dLbl>
              <c:idx val="1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6-A7E4-430C-9E3D-D851F3DD4F29}"/>
                </c:ext>
              </c:extLst>
            </c:dLbl>
            <c:dLbl>
              <c:idx val="1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7-A7E4-430C-9E3D-D851F3DD4F29}"/>
                </c:ext>
              </c:extLst>
            </c:dLbl>
            <c:dLbl>
              <c:idx val="1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8-A7E4-430C-9E3D-D851F3DD4F29}"/>
                </c:ext>
              </c:extLst>
            </c:dLbl>
            <c:dLbl>
              <c:idx val="1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9-A7E4-430C-9E3D-D851F3DD4F29}"/>
                </c:ext>
              </c:extLst>
            </c:dLbl>
            <c:dLbl>
              <c:idx val="2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A-A7E4-430C-9E3D-D851F3DD4F29}"/>
                </c:ext>
              </c:extLst>
            </c:dLbl>
            <c:dLbl>
              <c:idx val="2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B-A7E4-430C-9E3D-D851F3DD4F29}"/>
                </c:ext>
              </c:extLst>
            </c:dLbl>
            <c:dLbl>
              <c:idx val="2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C-A7E4-430C-9E3D-D851F3DD4F29}"/>
                </c:ext>
              </c:extLst>
            </c:dLbl>
            <c:dLbl>
              <c:idx val="2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D-A7E4-430C-9E3D-D851F3DD4F29}"/>
                </c:ext>
              </c:extLst>
            </c:dLbl>
            <c:dLbl>
              <c:idx val="20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E-A7E4-430C-9E3D-D851F3DD4F29}"/>
                </c:ext>
              </c:extLst>
            </c:dLbl>
            <c:dLbl>
              <c:idx val="20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F-A7E4-430C-9E3D-D851F3DD4F29}"/>
                </c:ext>
              </c:extLst>
            </c:dLbl>
            <c:dLbl>
              <c:idx val="2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0-A7E4-430C-9E3D-D851F3DD4F29}"/>
                </c:ext>
              </c:extLst>
            </c:dLbl>
            <c:dLbl>
              <c:idx val="2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1-A7E4-430C-9E3D-D851F3DD4F29}"/>
                </c:ext>
              </c:extLst>
            </c:dLbl>
            <c:dLbl>
              <c:idx val="2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2-A7E4-430C-9E3D-D851F3DD4F29}"/>
                </c:ext>
              </c:extLst>
            </c:dLbl>
            <c:dLbl>
              <c:idx val="20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3-A7E4-430C-9E3D-D851F3DD4F29}"/>
                </c:ext>
              </c:extLst>
            </c:dLbl>
            <c:dLbl>
              <c:idx val="2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4-A7E4-430C-9E3D-D851F3DD4F29}"/>
                </c:ext>
              </c:extLst>
            </c:dLbl>
            <c:dLbl>
              <c:idx val="2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5-A7E4-430C-9E3D-D851F3DD4F29}"/>
                </c:ext>
              </c:extLst>
            </c:dLbl>
            <c:dLbl>
              <c:idx val="2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6-A7E4-430C-9E3D-D851F3DD4F29}"/>
                </c:ext>
              </c:extLst>
            </c:dLbl>
            <c:dLbl>
              <c:idx val="2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7-A7E4-430C-9E3D-D851F3DD4F29}"/>
                </c:ext>
              </c:extLst>
            </c:dLbl>
            <c:dLbl>
              <c:idx val="2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8-A7E4-430C-9E3D-D851F3DD4F29}"/>
                </c:ext>
              </c:extLst>
            </c:dLbl>
            <c:dLbl>
              <c:idx val="2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9-A7E4-430C-9E3D-D851F3DD4F29}"/>
                </c:ext>
              </c:extLst>
            </c:dLbl>
            <c:dLbl>
              <c:idx val="2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A-A7E4-430C-9E3D-D851F3DD4F29}"/>
                </c:ext>
              </c:extLst>
            </c:dLbl>
            <c:dLbl>
              <c:idx val="2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B-A7E4-430C-9E3D-D851F3DD4F29}"/>
                </c:ext>
              </c:extLst>
            </c:dLbl>
            <c:dLbl>
              <c:idx val="2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C-A7E4-430C-9E3D-D851F3DD4F29}"/>
                </c:ext>
              </c:extLst>
            </c:dLbl>
            <c:dLbl>
              <c:idx val="219"/>
              <c:layout>
                <c:manualLayout>
                  <c:x val="-0.18286484622114543"/>
                  <c:y val="-0.14001089429006841"/>
                </c:manualLayout>
              </c:layout>
              <c:tx>
                <c:strRef>
                  <c:f>Exhibits!$EK$640</c:f>
                  <c:strCache>
                    <c:ptCount val="1"/>
                    <c:pt idx="0">
                      <c:v>Market reaction: 4th quarter profit fell by 9%</c:v>
                    </c:pt>
                  </c:strCache>
                </c:strRef>
              </c:tx>
              <c:dLblPos val="r"/>
              <c:showLegendKey val="0"/>
              <c:showVal val="1"/>
              <c:showCatName val="0"/>
              <c:showSerName val="0"/>
              <c:showPercent val="0"/>
              <c:showBubbleSize val="0"/>
              <c:extLst>
                <c:ext xmlns:c15="http://schemas.microsoft.com/office/drawing/2012/chart" uri="{CE6537A1-D6FC-4f65-9D91-7224C49458BB}">
                  <c15:layout>
                    <c:manualLayout>
                      <c:w val="0.15785062924826701"/>
                      <c:h val="0.10812332018053662"/>
                    </c:manualLayout>
                  </c15:layout>
                  <c15:dlblFieldTable>
                    <c15:dlblFTEntry>
                      <c15:txfldGUID>{5C786DFC-6BF6-41F7-BFD5-7A8E527ACF2E}</c15:txfldGUID>
                      <c15:f>Exhibits!$EK$640</c15:f>
                      <c15:dlblFieldTableCache>
                        <c:ptCount val="1"/>
                        <c:pt idx="0">
                          <c:v>Market reaction: 4th quarter profit fell by 9%</c:v>
                        </c:pt>
                      </c15:dlblFieldTableCache>
                    </c15:dlblFTEntry>
                  </c15:dlblFieldTable>
                  <c15:showDataLabelsRange val="1"/>
                </c:ext>
                <c:ext xmlns:c16="http://schemas.microsoft.com/office/drawing/2014/chart" uri="{C3380CC4-5D6E-409C-BE32-E72D297353CC}">
                  <c16:uniqueId val="{000000DD-A7E4-430C-9E3D-D851F3DD4F29}"/>
                </c:ext>
              </c:extLst>
            </c:dLbl>
            <c:dLbl>
              <c:idx val="220"/>
              <c:layout>
                <c:manualLayout>
                  <c:x val="-0.13457264957264958"/>
                  <c:y val="-0.32051282051282054"/>
                </c:manualLayout>
              </c:layout>
              <c:tx>
                <c:strRef>
                  <c:f>Exhibits!$EK$640</c:f>
                  <c:strCache>
                    <c:ptCount val="1"/>
                    <c:pt idx="0">
                      <c:v>Market reaction: 4th quarter profit fell by 9%</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{4452637B-2979-48E7-87D8-B121625942A4}</c15:txfldGUID>
                      <c15:f>Exhibits!$EK$640</c15:f>
                      <c15:dlblFieldTableCache>
                        <c:ptCount val="1"/>
                        <c:pt idx="0">
                          <c:v>Market reaction: 4th quarter profit fell by 9%</c:v>
                        </c:pt>
                      </c15:dlblFieldTableCache>
                    </c15:dlblFTEntry>
                  </c15:dlblFieldTable>
                  <c15:showDataLabelsRange val="1"/>
                </c:ext>
                <c:ext xmlns:c16="http://schemas.microsoft.com/office/drawing/2014/chart" uri="{C3380CC4-5D6E-409C-BE32-E72D297353CC}">
                  <c16:uniqueId val="{000000DE-A7E4-430C-9E3D-D851F3DD4F29}"/>
                </c:ext>
              </c:extLst>
            </c:dLbl>
            <c:dLbl>
              <c:idx val="2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F-A7E4-430C-9E3D-D851F3DD4F29}"/>
                </c:ext>
              </c:extLst>
            </c:dLbl>
            <c:dLbl>
              <c:idx val="2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0-A7E4-430C-9E3D-D851F3DD4F29}"/>
                </c:ext>
              </c:extLst>
            </c:dLbl>
            <c:dLbl>
              <c:idx val="2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1-A7E4-430C-9E3D-D851F3DD4F29}"/>
                </c:ext>
              </c:extLst>
            </c:dLbl>
            <c:dLbl>
              <c:idx val="2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2-A7E4-430C-9E3D-D851F3DD4F29}"/>
                </c:ext>
              </c:extLst>
            </c:dLbl>
            <c:dLbl>
              <c:idx val="2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3-A7E4-430C-9E3D-D851F3DD4F29}"/>
                </c:ext>
              </c:extLst>
            </c:dLbl>
            <c:dLbl>
              <c:idx val="2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4-A7E4-430C-9E3D-D851F3DD4F29}"/>
                </c:ext>
              </c:extLst>
            </c:dLbl>
            <c:dLbl>
              <c:idx val="2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5-A7E4-430C-9E3D-D851F3DD4F29}"/>
                </c:ext>
              </c:extLst>
            </c:dLbl>
            <c:dLbl>
              <c:idx val="2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6-A7E4-430C-9E3D-D851F3DD4F29}"/>
                </c:ext>
              </c:extLst>
            </c:dLbl>
            <c:dLbl>
              <c:idx val="2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7-A7E4-430C-9E3D-D851F3DD4F29}"/>
                </c:ext>
              </c:extLst>
            </c:dLbl>
            <c:dLbl>
              <c:idx val="2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8-A7E4-430C-9E3D-D851F3DD4F29}"/>
                </c:ext>
              </c:extLst>
            </c:dLbl>
            <c:dLbl>
              <c:idx val="2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9-A7E4-430C-9E3D-D851F3DD4F29}"/>
                </c:ext>
              </c:extLst>
            </c:dLbl>
            <c:dLbl>
              <c:idx val="2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A-A7E4-430C-9E3D-D851F3DD4F29}"/>
                </c:ext>
              </c:extLst>
            </c:dLbl>
            <c:dLbl>
              <c:idx val="2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B-A7E4-430C-9E3D-D851F3DD4F29}"/>
                </c:ext>
              </c:extLst>
            </c:dLbl>
            <c:dLbl>
              <c:idx val="2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C-A7E4-430C-9E3D-D851F3DD4F29}"/>
                </c:ext>
              </c:extLst>
            </c:dLbl>
            <c:dLbl>
              <c:idx val="2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D-A7E4-430C-9E3D-D851F3DD4F29}"/>
                </c:ext>
              </c:extLst>
            </c:dLbl>
            <c:dLbl>
              <c:idx val="2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E-A7E4-430C-9E3D-D851F3DD4F29}"/>
                </c:ext>
              </c:extLst>
            </c:dLbl>
            <c:dLbl>
              <c:idx val="2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F-A7E4-430C-9E3D-D851F3DD4F29}"/>
                </c:ext>
              </c:extLst>
            </c:dLbl>
            <c:dLbl>
              <c:idx val="2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0-A7E4-430C-9E3D-D851F3DD4F29}"/>
                </c:ext>
              </c:extLst>
            </c:dLbl>
            <c:dLbl>
              <c:idx val="2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1-A7E4-430C-9E3D-D851F3DD4F29}"/>
                </c:ext>
              </c:extLst>
            </c:dLbl>
            <c:dLbl>
              <c:idx val="2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2-A7E4-430C-9E3D-D851F3DD4F29}"/>
                </c:ext>
              </c:extLst>
            </c:dLbl>
            <c:dLbl>
              <c:idx val="2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3-A7E4-430C-9E3D-D851F3DD4F29}"/>
                </c:ext>
              </c:extLst>
            </c:dLbl>
            <c:dLbl>
              <c:idx val="2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4-A7E4-430C-9E3D-D851F3DD4F29}"/>
                </c:ext>
              </c:extLst>
            </c:dLbl>
            <c:dLbl>
              <c:idx val="2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5-A7E4-430C-9E3D-D851F3DD4F29}"/>
                </c:ext>
              </c:extLst>
            </c:dLbl>
            <c:dLbl>
              <c:idx val="2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6-A7E4-430C-9E3D-D851F3DD4F29}"/>
                </c:ext>
              </c:extLst>
            </c:dLbl>
            <c:dLbl>
              <c:idx val="2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7-A7E4-430C-9E3D-D851F3DD4F29}"/>
                </c:ext>
              </c:extLst>
            </c:dLbl>
            <c:dLbl>
              <c:idx val="2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8-A7E4-430C-9E3D-D851F3DD4F29}"/>
                </c:ext>
              </c:extLst>
            </c:dLbl>
            <c:dLbl>
              <c:idx val="2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9-A7E4-430C-9E3D-D851F3DD4F29}"/>
                </c:ext>
              </c:extLst>
            </c:dLbl>
            <c:dLbl>
              <c:idx val="2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A-A7E4-430C-9E3D-D851F3DD4F29}"/>
                </c:ext>
              </c:extLst>
            </c:dLbl>
            <c:dLbl>
              <c:idx val="2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B-A7E4-430C-9E3D-D851F3DD4F29}"/>
                </c:ext>
              </c:extLst>
            </c:dLbl>
            <c:dLbl>
              <c:idx val="2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C-A7E4-430C-9E3D-D851F3DD4F29}"/>
                </c:ext>
              </c:extLst>
            </c:dLbl>
            <c:dLbl>
              <c:idx val="2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D-A7E4-430C-9E3D-D851F3DD4F29}"/>
                </c:ext>
              </c:extLst>
            </c:dLbl>
            <c:dLbl>
              <c:idx val="2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E-A7E4-430C-9E3D-D851F3DD4F29}"/>
                </c:ext>
              </c:extLst>
            </c:dLbl>
            <c:dLbl>
              <c:idx val="2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F-A7E4-430C-9E3D-D851F3DD4F29}"/>
                </c:ext>
              </c:extLst>
            </c:dLbl>
            <c:dLbl>
              <c:idx val="2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0-A7E4-430C-9E3D-D851F3DD4F29}"/>
                </c:ext>
              </c:extLst>
            </c:dLbl>
            <c:dLbl>
              <c:idx val="2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1-A7E4-430C-9E3D-D851F3DD4F29}"/>
                </c:ext>
              </c:extLst>
            </c:dLbl>
            <c:dLbl>
              <c:idx val="2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2-A7E4-430C-9E3D-D851F3DD4F29}"/>
                </c:ext>
              </c:extLst>
            </c:dLbl>
            <c:dLbl>
              <c:idx val="2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3-A7E4-430C-9E3D-D851F3DD4F29}"/>
                </c:ext>
              </c:extLst>
            </c:dLbl>
            <c:dLbl>
              <c:idx val="2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4-A7E4-430C-9E3D-D851F3DD4F29}"/>
                </c:ext>
              </c:extLst>
            </c:dLbl>
            <c:dLbl>
              <c:idx val="2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5-A7E4-430C-9E3D-D851F3DD4F29}"/>
                </c:ext>
              </c:extLst>
            </c:dLbl>
            <c:dLbl>
              <c:idx val="2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6-A7E4-430C-9E3D-D851F3DD4F29}"/>
                </c:ext>
              </c:extLst>
            </c:dLbl>
            <c:dLbl>
              <c:idx val="2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7-A7E4-430C-9E3D-D851F3DD4F29}"/>
                </c:ext>
              </c:extLst>
            </c:dLbl>
            <c:dLbl>
              <c:idx val="2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8-A7E4-430C-9E3D-D851F3DD4F29}"/>
                </c:ext>
              </c:extLst>
            </c:dLbl>
            <c:dLbl>
              <c:idx val="263"/>
              <c:layout>
                <c:manualLayout>
                  <c:x val="-0.22774885998640484"/>
                  <c:y val="-0.21402067098500771"/>
                </c:manualLayout>
              </c:layout>
              <c:tx>
                <c:strRef>
                  <c:f>Exhibits!$EK$596</c:f>
                  <c:strCache>
                    <c:ptCount val="1"/>
                    <c:pt idx="0">
                      <c:v>Share repurchases and intent to sell/refranchise 73 company-owned cafes announced</c:v>
                    </c:pt>
                  </c:strCache>
                </c:strRef>
              </c:tx>
              <c:dLblPos val="r"/>
              <c:showLegendKey val="0"/>
              <c:showVal val="1"/>
              <c:showCatName val="0"/>
              <c:showSerName val="0"/>
              <c:showPercent val="0"/>
              <c:showBubbleSize val="0"/>
              <c:extLst>
                <c:ext xmlns:c15="http://schemas.microsoft.com/office/drawing/2012/chart" uri="{CE6537A1-D6FC-4f65-9D91-7224C49458BB}">
                  <c15:layout>
                    <c:manualLayout>
                      <c:w val="0.2037036539237603"/>
                      <c:h val="0.13179602104891194"/>
                    </c:manualLayout>
                  </c15:layout>
                  <c15:dlblFieldTable>
                    <c15:dlblFTEntry>
                      <c15:txfldGUID>{E09277A5-25E9-47C4-941A-29B38626945C}</c15:txfldGUID>
                      <c15:f>Exhibits!$EK$596</c15:f>
                      <c15:dlblFieldTableCache>
                        <c:ptCount val="1"/>
                        <c:pt idx="0">
                          <c:v>Share repurchases and intent to sell/refranchise 73 company-owned cafes announced</c:v>
                        </c:pt>
                      </c15:dlblFieldTableCache>
                    </c15:dlblFTEntry>
                  </c15:dlblFieldTable>
                  <c15:showDataLabelsRange val="1"/>
                </c:ext>
                <c:ext xmlns:c16="http://schemas.microsoft.com/office/drawing/2014/chart" uri="{C3380CC4-5D6E-409C-BE32-E72D297353CC}">
                  <c16:uniqueId val="{00000109-A7E4-430C-9E3D-D851F3DD4F29}"/>
                </c:ext>
              </c:extLst>
            </c:dLbl>
            <c:dLbl>
              <c:idx val="2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A-A7E4-430C-9E3D-D851F3DD4F29}"/>
                </c:ext>
              </c:extLst>
            </c:dLbl>
            <c:dLbl>
              <c:idx val="2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B-A7E4-430C-9E3D-D851F3DD4F29}"/>
                </c:ext>
              </c:extLst>
            </c:dLbl>
            <c:dLbl>
              <c:idx val="2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C-A7E4-430C-9E3D-D851F3DD4F29}"/>
                </c:ext>
              </c:extLst>
            </c:dLbl>
            <c:dLbl>
              <c:idx val="26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D-A7E4-430C-9E3D-D851F3DD4F29}"/>
                </c:ext>
              </c:extLst>
            </c:dLbl>
            <c:dLbl>
              <c:idx val="2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E-A7E4-430C-9E3D-D851F3DD4F29}"/>
                </c:ext>
              </c:extLst>
            </c:dLbl>
            <c:dLbl>
              <c:idx val="2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F-A7E4-430C-9E3D-D851F3DD4F29}"/>
                </c:ext>
              </c:extLst>
            </c:dLbl>
            <c:dLbl>
              <c:idx val="2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0-A7E4-430C-9E3D-D851F3DD4F29}"/>
                </c:ext>
              </c:extLst>
            </c:dLbl>
            <c:dLbl>
              <c:idx val="2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1-A7E4-430C-9E3D-D851F3DD4F29}"/>
                </c:ext>
              </c:extLst>
            </c:dLbl>
            <c:dLbl>
              <c:idx val="2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2-A7E4-430C-9E3D-D851F3DD4F29}"/>
                </c:ext>
              </c:extLst>
            </c:dLbl>
            <c:dLbl>
              <c:idx val="2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3-A7E4-430C-9E3D-D851F3DD4F29}"/>
                </c:ext>
              </c:extLst>
            </c:dLbl>
            <c:dLbl>
              <c:idx val="2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4-A7E4-430C-9E3D-D851F3DD4F29}"/>
                </c:ext>
              </c:extLst>
            </c:dLbl>
            <c:dLbl>
              <c:idx val="2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5-A7E4-430C-9E3D-D851F3DD4F29}"/>
                </c:ext>
              </c:extLst>
            </c:dLbl>
            <c:dLbl>
              <c:idx val="276"/>
              <c:layout>
                <c:manualLayout>
                  <c:x val="-1.2712197593856209E-3"/>
                  <c:y val="9.910129915137382E-2"/>
                </c:manualLayout>
              </c:layout>
              <c:tx>
                <c:strRef>
                  <c:f>Exhibits!$EK$583</c:f>
                  <c:strCache>
                    <c:ptCount val="1"/>
                    <c:pt idx="0">
                      <c:v>'No no' list of artificial additives introduced</c:v>
                    </c:pt>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8235042735042731"/>
                      <c:h val="3.9494301994301997E-2"/>
                    </c:manualLayout>
                  </c15:layout>
                  <c15:dlblFieldTable>
                    <c15:dlblFTEntry>
                      <c15:txfldGUID>{0CCC7C76-DD20-4C80-B64E-63AA39F1FD91}</c15:txfldGUID>
                      <c15:f>Exhibits!$EK$583</c15:f>
                      <c15:dlblFieldTableCache>
                        <c:ptCount val="1"/>
                        <c:pt idx="0">
                          <c:v>'No no' list of artificial additives introduced</c:v>
                        </c:pt>
                      </c15:dlblFieldTableCache>
                    </c15:dlblFTEntry>
                  </c15:dlblFieldTable>
                  <c15:showDataLabelsRange val="1"/>
                </c:ext>
                <c:ext xmlns:c16="http://schemas.microsoft.com/office/drawing/2014/chart" uri="{C3380CC4-5D6E-409C-BE32-E72D297353CC}">
                  <c16:uniqueId val="{00000116-A7E4-430C-9E3D-D851F3DD4F29}"/>
                </c:ext>
              </c:extLst>
            </c:dLbl>
            <c:dLbl>
              <c:idx val="2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7-A7E4-430C-9E3D-D851F3DD4F29}"/>
                </c:ext>
              </c:extLst>
            </c:dLbl>
            <c:dLbl>
              <c:idx val="2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8-A7E4-430C-9E3D-D851F3DD4F29}"/>
                </c:ext>
              </c:extLst>
            </c:dLbl>
            <c:dLbl>
              <c:idx val="2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9-A7E4-430C-9E3D-D851F3DD4F29}"/>
                </c:ext>
              </c:extLst>
            </c:dLbl>
            <c:dLbl>
              <c:idx val="2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A-A7E4-430C-9E3D-D851F3DD4F29}"/>
                </c:ext>
              </c:extLst>
            </c:dLbl>
            <c:dLbl>
              <c:idx val="28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B-A7E4-430C-9E3D-D851F3DD4F29}"/>
                </c:ext>
              </c:extLst>
            </c:dLbl>
            <c:dLbl>
              <c:idx val="2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C-A7E4-430C-9E3D-D851F3DD4F29}"/>
                </c:ext>
              </c:extLst>
            </c:dLbl>
            <c:dLbl>
              <c:idx val="2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D-A7E4-430C-9E3D-D851F3DD4F29}"/>
                </c:ext>
              </c:extLst>
            </c:dLbl>
            <c:dLbl>
              <c:idx val="2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E-A7E4-430C-9E3D-D851F3DD4F29}"/>
                </c:ext>
              </c:extLst>
            </c:dLbl>
            <c:dLbl>
              <c:idx val="2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F-A7E4-430C-9E3D-D851F3DD4F29}"/>
                </c:ext>
              </c:extLst>
            </c:dLbl>
            <c:dLbl>
              <c:idx val="2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0-A7E4-430C-9E3D-D851F3DD4F29}"/>
                </c:ext>
              </c:extLst>
            </c:dLbl>
            <c:dLbl>
              <c:idx val="2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1-A7E4-430C-9E3D-D851F3DD4F29}"/>
                </c:ext>
              </c:extLst>
            </c:dLbl>
            <c:dLbl>
              <c:idx val="2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2-A7E4-430C-9E3D-D851F3DD4F29}"/>
                </c:ext>
              </c:extLst>
            </c:dLbl>
            <c:dLbl>
              <c:idx val="2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3-A7E4-430C-9E3D-D851F3DD4F29}"/>
                </c:ext>
              </c:extLst>
            </c:dLbl>
            <c:dLbl>
              <c:idx val="2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4-A7E4-430C-9E3D-D851F3DD4F29}"/>
                </c:ext>
              </c:extLst>
            </c:dLbl>
            <c:dLbl>
              <c:idx val="2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5-A7E4-430C-9E3D-D851F3DD4F29}"/>
                </c:ext>
              </c:extLst>
            </c:dLbl>
            <c:dLbl>
              <c:idx val="2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6-A7E4-430C-9E3D-D851F3DD4F29}"/>
                </c:ext>
              </c:extLst>
            </c:dLbl>
            <c:dLbl>
              <c:idx val="2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7-A7E4-430C-9E3D-D851F3DD4F29}"/>
                </c:ext>
              </c:extLst>
            </c:dLbl>
            <c:dLbl>
              <c:idx val="2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8-A7E4-430C-9E3D-D851F3DD4F29}"/>
                </c:ext>
              </c:extLst>
            </c:dLbl>
            <c:dLbl>
              <c:idx val="2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9-A7E4-430C-9E3D-D851F3DD4F29}"/>
                </c:ext>
              </c:extLst>
            </c:dLbl>
            <c:dLbl>
              <c:idx val="2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A-A7E4-430C-9E3D-D851F3DD4F29}"/>
                </c:ext>
              </c:extLst>
            </c:dLbl>
            <c:dLbl>
              <c:idx val="2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B-A7E4-430C-9E3D-D851F3DD4F29}"/>
                </c:ext>
              </c:extLst>
            </c:dLbl>
            <c:dLbl>
              <c:idx val="2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C-A7E4-430C-9E3D-D851F3DD4F29}"/>
                </c:ext>
              </c:extLst>
            </c:dLbl>
            <c:dLbl>
              <c:idx val="2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D-A7E4-430C-9E3D-D851F3DD4F29}"/>
                </c:ext>
              </c:extLst>
            </c:dLbl>
            <c:dLbl>
              <c:idx val="3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E-A7E4-430C-9E3D-D851F3DD4F29}"/>
                </c:ext>
              </c:extLst>
            </c:dLbl>
            <c:dLbl>
              <c:idx val="3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F-A7E4-430C-9E3D-D851F3DD4F29}"/>
                </c:ext>
              </c:extLst>
            </c:dLbl>
            <c:dLbl>
              <c:idx val="3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0-A7E4-430C-9E3D-D851F3DD4F29}"/>
                </c:ext>
              </c:extLst>
            </c:dLbl>
            <c:dLbl>
              <c:idx val="3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1-A7E4-430C-9E3D-D851F3DD4F29}"/>
                </c:ext>
              </c:extLst>
            </c:dLbl>
            <c:dLbl>
              <c:idx val="304"/>
              <c:layout>
                <c:manualLayout>
                  <c:x val="-0.20102026425801253"/>
                  <c:y val="-0.15362586849863752"/>
                </c:manualLayout>
              </c:layout>
              <c:tx>
                <c:strRef>
                  <c:f>Exhibits!$EK$555</c:f>
                  <c:strCache>
                    <c:ptCount val="1"/>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{0E2B59CB-77AF-453F-BE38-E2F946F8EA4A}</c15:txfldGUID>
                      <c15:f>Exhibits!$EK$555</c15:f>
                      <c15:dlblFieldTableCache>
                        <c:ptCount val="1"/>
                      </c15:dlblFieldTableCache>
                    </c15:dlblFTEntry>
                  </c15:dlblFieldTable>
                  <c15:showDataLabelsRange val="1"/>
                </c:ext>
                <c:ext xmlns:c16="http://schemas.microsoft.com/office/drawing/2014/chart" uri="{C3380CC4-5D6E-409C-BE32-E72D297353CC}">
                  <c16:uniqueId val="{00000132-A7E4-430C-9E3D-D851F3DD4F29}"/>
                </c:ext>
              </c:extLst>
            </c:dLbl>
            <c:dLbl>
              <c:idx val="30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3-A7E4-430C-9E3D-D851F3DD4F29}"/>
                </c:ext>
              </c:extLst>
            </c:dLbl>
            <c:dLbl>
              <c:idx val="3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4-A7E4-430C-9E3D-D851F3DD4F29}"/>
                </c:ext>
              </c:extLst>
            </c:dLbl>
            <c:dLbl>
              <c:idx val="3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5-A7E4-430C-9E3D-D851F3DD4F29}"/>
                </c:ext>
              </c:extLst>
            </c:dLbl>
            <c:dLbl>
              <c:idx val="3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6-A7E4-430C-9E3D-D851F3DD4F29}"/>
                </c:ext>
              </c:extLst>
            </c:dLbl>
            <c:dLbl>
              <c:idx val="30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7-A7E4-430C-9E3D-D851F3DD4F29}"/>
                </c:ext>
              </c:extLst>
            </c:dLbl>
            <c:dLbl>
              <c:idx val="3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8-A7E4-430C-9E3D-D851F3DD4F29}"/>
                </c:ext>
              </c:extLst>
            </c:dLbl>
            <c:dLbl>
              <c:idx val="3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9-A7E4-430C-9E3D-D851F3DD4F29}"/>
                </c:ext>
              </c:extLst>
            </c:dLbl>
            <c:dLbl>
              <c:idx val="3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A-A7E4-430C-9E3D-D851F3DD4F29}"/>
                </c:ext>
              </c:extLst>
            </c:dLbl>
            <c:dLbl>
              <c:idx val="3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B-A7E4-430C-9E3D-D851F3DD4F29}"/>
                </c:ext>
              </c:extLst>
            </c:dLbl>
            <c:dLbl>
              <c:idx val="3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C-A7E4-430C-9E3D-D851F3DD4F29}"/>
                </c:ext>
              </c:extLst>
            </c:dLbl>
            <c:dLbl>
              <c:idx val="3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D-A7E4-430C-9E3D-D851F3DD4F29}"/>
                </c:ext>
              </c:extLst>
            </c:dLbl>
            <c:dLbl>
              <c:idx val="3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E-A7E4-430C-9E3D-D851F3DD4F29}"/>
                </c:ext>
              </c:extLst>
            </c:dLbl>
            <c:dLbl>
              <c:idx val="3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F-A7E4-430C-9E3D-D851F3DD4F29}"/>
                </c:ext>
              </c:extLst>
            </c:dLbl>
            <c:dLbl>
              <c:idx val="3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0-A7E4-430C-9E3D-D851F3DD4F29}"/>
                </c:ext>
              </c:extLst>
            </c:dLbl>
            <c:dLbl>
              <c:idx val="3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1-A7E4-430C-9E3D-D851F3DD4F29}"/>
                </c:ext>
              </c:extLst>
            </c:dLbl>
            <c:dLbl>
              <c:idx val="3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2-A7E4-430C-9E3D-D851F3DD4F29}"/>
                </c:ext>
              </c:extLst>
            </c:dLbl>
            <c:dLbl>
              <c:idx val="3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3-A7E4-430C-9E3D-D851F3DD4F29}"/>
                </c:ext>
              </c:extLst>
            </c:dLbl>
            <c:dLbl>
              <c:idx val="3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4-A7E4-430C-9E3D-D851F3DD4F29}"/>
                </c:ext>
              </c:extLst>
            </c:dLbl>
            <c:dLbl>
              <c:idx val="3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5-A7E4-430C-9E3D-D851F3DD4F29}"/>
                </c:ext>
              </c:extLst>
            </c:dLbl>
            <c:dLbl>
              <c:idx val="3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6-A7E4-430C-9E3D-D851F3DD4F29}"/>
                </c:ext>
              </c:extLst>
            </c:dLbl>
            <c:dLbl>
              <c:idx val="3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7-A7E4-430C-9E3D-D851F3DD4F29}"/>
                </c:ext>
              </c:extLst>
            </c:dLbl>
            <c:dLbl>
              <c:idx val="3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8-A7E4-430C-9E3D-D851F3DD4F29}"/>
                </c:ext>
              </c:extLst>
            </c:dLbl>
            <c:dLbl>
              <c:idx val="3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9-A7E4-430C-9E3D-D851F3DD4F29}"/>
                </c:ext>
              </c:extLst>
            </c:dLbl>
            <c:dLbl>
              <c:idx val="3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A-A7E4-430C-9E3D-D851F3DD4F29}"/>
                </c:ext>
              </c:extLst>
            </c:dLbl>
            <c:dLbl>
              <c:idx val="3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B-A7E4-430C-9E3D-D851F3DD4F29}"/>
                </c:ext>
              </c:extLst>
            </c:dLbl>
            <c:dLbl>
              <c:idx val="3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C-A7E4-430C-9E3D-D851F3DD4F29}"/>
                </c:ext>
              </c:extLst>
            </c:dLbl>
            <c:dLbl>
              <c:idx val="3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D-A7E4-430C-9E3D-D851F3DD4F29}"/>
                </c:ext>
              </c:extLst>
            </c:dLbl>
            <c:dLbl>
              <c:idx val="3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E-A7E4-430C-9E3D-D851F3DD4F29}"/>
                </c:ext>
              </c:extLst>
            </c:dLbl>
            <c:dLbl>
              <c:idx val="3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F-A7E4-430C-9E3D-D851F3DD4F29}"/>
                </c:ext>
              </c:extLst>
            </c:dLbl>
            <c:dLbl>
              <c:idx val="3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0-A7E4-430C-9E3D-D851F3DD4F29}"/>
                </c:ext>
              </c:extLst>
            </c:dLbl>
            <c:dLbl>
              <c:idx val="335"/>
              <c:layout>
                <c:manualLayout>
                  <c:x val="-0.23587117333952495"/>
                  <c:y val="-0.2550161149277515"/>
                </c:manualLayout>
              </c:layout>
              <c:tx>
                <c:strRef>
                  <c:f>Exhibits!$EK$524</c:f>
                  <c:strCache>
                    <c:ptCount val="1"/>
                    <c:pt idx="0">
                      <c:v>Panera 2.0 initiative results in same store sales growth of 1.8%</c:v>
                    </c:pt>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1288458133082622"/>
                      <c:h val="8.4252588059908956E-2"/>
                    </c:manualLayout>
                  </c15:layout>
                  <c15:dlblFieldTable>
                    <c15:dlblFTEntry>
                      <c15:txfldGUID>{49752B02-06C4-4B1A-9090-A3AFC6F84776}</c15:txfldGUID>
                      <c15:f>Exhibits!$EK$524</c15:f>
                      <c15:dlblFieldTableCache>
                        <c:ptCount val="1"/>
                        <c:pt idx="0">
                          <c:v>Panera 2.0 initiative results in same store sales growth of 1.8%</c:v>
                        </c:pt>
                      </c15:dlblFieldTableCache>
                    </c15:dlblFTEntry>
                  </c15:dlblFieldTable>
                  <c15:showDataLabelsRange val="1"/>
                </c:ext>
                <c:ext xmlns:c16="http://schemas.microsoft.com/office/drawing/2014/chart" uri="{C3380CC4-5D6E-409C-BE32-E72D297353CC}">
                  <c16:uniqueId val="{00000151-A7E4-430C-9E3D-D851F3DD4F29}"/>
                </c:ext>
              </c:extLst>
            </c:dLbl>
            <c:dLbl>
              <c:idx val="3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2-A7E4-430C-9E3D-D851F3DD4F29}"/>
                </c:ext>
              </c:extLst>
            </c:dLbl>
            <c:dLbl>
              <c:idx val="3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3-A7E4-430C-9E3D-D851F3DD4F29}"/>
                </c:ext>
              </c:extLst>
            </c:dLbl>
            <c:dLbl>
              <c:idx val="3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4-A7E4-430C-9E3D-D851F3DD4F29}"/>
                </c:ext>
              </c:extLst>
            </c:dLbl>
            <c:dLbl>
              <c:idx val="3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5-A7E4-430C-9E3D-D851F3DD4F29}"/>
                </c:ext>
              </c:extLst>
            </c:dLbl>
            <c:dLbl>
              <c:idx val="3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6-A7E4-430C-9E3D-D851F3DD4F29}"/>
                </c:ext>
              </c:extLst>
            </c:dLbl>
            <c:dLbl>
              <c:idx val="3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7-A7E4-430C-9E3D-D851F3DD4F29}"/>
                </c:ext>
              </c:extLst>
            </c:dLbl>
            <c:dLbl>
              <c:idx val="3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8-A7E4-430C-9E3D-D851F3DD4F29}"/>
                </c:ext>
              </c:extLst>
            </c:dLbl>
            <c:dLbl>
              <c:idx val="3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9-A7E4-430C-9E3D-D851F3DD4F29}"/>
                </c:ext>
              </c:extLst>
            </c:dLbl>
            <c:dLbl>
              <c:idx val="3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A-A7E4-430C-9E3D-D851F3DD4F29}"/>
                </c:ext>
              </c:extLst>
            </c:dLbl>
            <c:dLbl>
              <c:idx val="3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B-A7E4-430C-9E3D-D851F3DD4F29}"/>
                </c:ext>
              </c:extLst>
            </c:dLbl>
            <c:dLbl>
              <c:idx val="3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C-A7E4-430C-9E3D-D851F3DD4F29}"/>
                </c:ext>
              </c:extLst>
            </c:dLbl>
            <c:dLbl>
              <c:idx val="3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D-A7E4-430C-9E3D-D851F3DD4F29}"/>
                </c:ext>
              </c:extLst>
            </c:dLbl>
            <c:dLbl>
              <c:idx val="3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E-A7E4-430C-9E3D-D851F3DD4F29}"/>
                </c:ext>
              </c:extLst>
            </c:dLbl>
            <c:dLbl>
              <c:idx val="349"/>
              <c:layout>
                <c:manualLayout>
                  <c:x val="-7.3097728455584848E-2"/>
                  <c:y val="-0.17946675369085771"/>
                </c:manualLayout>
              </c:layout>
              <c:tx>
                <c:strRef>
                  <c:f>Exhibits!$EK$510</c:f>
                  <c:strCache>
                    <c:ptCount val="1"/>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{65A5631C-A20C-480F-BB37-D0F36CE51B43}</c15:txfldGUID>
                      <c15:f>Exhibits!$EK$510</c15:f>
                      <c15:dlblFieldTableCache>
                        <c:ptCount val="1"/>
                      </c15:dlblFieldTableCache>
                    </c15:dlblFTEntry>
                  </c15:dlblFieldTable>
                  <c15:showDataLabelsRange val="1"/>
                </c:ext>
                <c:ext xmlns:c16="http://schemas.microsoft.com/office/drawing/2014/chart" uri="{C3380CC4-5D6E-409C-BE32-E72D297353CC}">
                  <c16:uniqueId val="{0000015F-A7E4-430C-9E3D-D851F3DD4F29}"/>
                </c:ext>
              </c:extLst>
            </c:dLbl>
            <c:dLbl>
              <c:idx val="3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0-A7E4-430C-9E3D-D851F3DD4F29}"/>
                </c:ext>
              </c:extLst>
            </c:dLbl>
            <c:dLbl>
              <c:idx val="3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1-A7E4-430C-9E3D-D851F3DD4F29}"/>
                </c:ext>
              </c:extLst>
            </c:dLbl>
            <c:dLbl>
              <c:idx val="3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2-A7E4-430C-9E3D-D851F3DD4F29}"/>
                </c:ext>
              </c:extLst>
            </c:dLbl>
            <c:dLbl>
              <c:idx val="3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3-A7E4-430C-9E3D-D851F3DD4F29}"/>
                </c:ext>
              </c:extLst>
            </c:dLbl>
            <c:dLbl>
              <c:idx val="3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4-A7E4-430C-9E3D-D851F3DD4F29}"/>
                </c:ext>
              </c:extLst>
            </c:dLbl>
            <c:dLbl>
              <c:idx val="3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5-A7E4-430C-9E3D-D851F3DD4F29}"/>
                </c:ext>
              </c:extLst>
            </c:dLbl>
            <c:dLbl>
              <c:idx val="3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6-A7E4-430C-9E3D-D851F3DD4F29}"/>
                </c:ext>
              </c:extLst>
            </c:dLbl>
            <c:dLbl>
              <c:idx val="3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7-A7E4-430C-9E3D-D851F3DD4F29}"/>
                </c:ext>
              </c:extLst>
            </c:dLbl>
            <c:dLbl>
              <c:idx val="3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8-A7E4-430C-9E3D-D851F3DD4F29}"/>
                </c:ext>
              </c:extLst>
            </c:dLbl>
            <c:dLbl>
              <c:idx val="3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9-A7E4-430C-9E3D-D851F3DD4F29}"/>
                </c:ext>
              </c:extLst>
            </c:dLbl>
            <c:dLbl>
              <c:idx val="3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A-A7E4-430C-9E3D-D851F3DD4F29}"/>
                </c:ext>
              </c:extLst>
            </c:dLbl>
            <c:dLbl>
              <c:idx val="3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B-A7E4-430C-9E3D-D851F3DD4F29}"/>
                </c:ext>
              </c:extLst>
            </c:dLbl>
            <c:dLbl>
              <c:idx val="3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C-A7E4-430C-9E3D-D851F3DD4F29}"/>
                </c:ext>
              </c:extLst>
            </c:dLbl>
            <c:dLbl>
              <c:idx val="36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D-A7E4-430C-9E3D-D851F3DD4F29}"/>
                </c:ext>
              </c:extLst>
            </c:dLbl>
            <c:dLbl>
              <c:idx val="3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E-A7E4-430C-9E3D-D851F3DD4F29}"/>
                </c:ext>
              </c:extLst>
            </c:dLbl>
            <c:dLbl>
              <c:idx val="3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F-A7E4-430C-9E3D-D851F3DD4F29}"/>
                </c:ext>
              </c:extLst>
            </c:dLbl>
            <c:dLbl>
              <c:idx val="3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0-A7E4-430C-9E3D-D851F3DD4F29}"/>
                </c:ext>
              </c:extLst>
            </c:dLbl>
            <c:dLbl>
              <c:idx val="36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1-A7E4-430C-9E3D-D851F3DD4F29}"/>
                </c:ext>
              </c:extLst>
            </c:dLbl>
            <c:dLbl>
              <c:idx val="3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2-A7E4-430C-9E3D-D851F3DD4F29}"/>
                </c:ext>
              </c:extLst>
            </c:dLbl>
            <c:dLbl>
              <c:idx val="3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3-A7E4-430C-9E3D-D851F3DD4F29}"/>
                </c:ext>
              </c:extLst>
            </c:dLbl>
            <c:dLbl>
              <c:idx val="3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4-A7E4-430C-9E3D-D851F3DD4F29}"/>
                </c:ext>
              </c:extLst>
            </c:dLbl>
            <c:dLbl>
              <c:idx val="3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5-A7E4-430C-9E3D-D851F3DD4F29}"/>
                </c:ext>
              </c:extLst>
            </c:dLbl>
            <c:dLbl>
              <c:idx val="3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6-A7E4-430C-9E3D-D851F3DD4F29}"/>
                </c:ext>
              </c:extLst>
            </c:dLbl>
            <c:dLbl>
              <c:idx val="3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7-A7E4-430C-9E3D-D851F3DD4F29}"/>
                </c:ext>
              </c:extLst>
            </c:dLbl>
            <c:dLbl>
              <c:idx val="3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8-A7E4-430C-9E3D-D851F3DD4F29}"/>
                </c:ext>
              </c:extLst>
            </c:dLbl>
            <c:dLbl>
              <c:idx val="3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9-A7E4-430C-9E3D-D851F3DD4F29}"/>
                </c:ext>
              </c:extLst>
            </c:dLbl>
            <c:dLbl>
              <c:idx val="37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A-A7E4-430C-9E3D-D851F3DD4F29}"/>
                </c:ext>
              </c:extLst>
            </c:dLbl>
            <c:dLbl>
              <c:idx val="3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B-A7E4-430C-9E3D-D851F3DD4F29}"/>
                </c:ext>
              </c:extLst>
            </c:dLbl>
            <c:dLbl>
              <c:idx val="3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C-A7E4-430C-9E3D-D851F3DD4F29}"/>
                </c:ext>
              </c:extLst>
            </c:dLbl>
            <c:dLbl>
              <c:idx val="3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D-A7E4-430C-9E3D-D851F3DD4F29}"/>
                </c:ext>
              </c:extLst>
            </c:dLbl>
            <c:dLbl>
              <c:idx val="3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E-A7E4-430C-9E3D-D851F3DD4F29}"/>
                </c:ext>
              </c:extLst>
            </c:dLbl>
            <c:dLbl>
              <c:idx val="38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F-A7E4-430C-9E3D-D851F3DD4F29}"/>
                </c:ext>
              </c:extLst>
            </c:dLbl>
            <c:dLbl>
              <c:idx val="3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0-A7E4-430C-9E3D-D851F3DD4F29}"/>
                </c:ext>
              </c:extLst>
            </c:dLbl>
            <c:dLbl>
              <c:idx val="3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1-A7E4-430C-9E3D-D851F3DD4F29}"/>
                </c:ext>
              </c:extLst>
            </c:dLbl>
            <c:dLbl>
              <c:idx val="3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2-A7E4-430C-9E3D-D851F3DD4F29}"/>
                </c:ext>
              </c:extLst>
            </c:dLbl>
            <c:dLbl>
              <c:idx val="3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3-A7E4-430C-9E3D-D851F3DD4F29}"/>
                </c:ext>
              </c:extLst>
            </c:dLbl>
            <c:dLbl>
              <c:idx val="3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4-A7E4-430C-9E3D-D851F3DD4F29}"/>
                </c:ext>
              </c:extLst>
            </c:dLbl>
            <c:dLbl>
              <c:idx val="3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5-A7E4-430C-9E3D-D851F3DD4F29}"/>
                </c:ext>
              </c:extLst>
            </c:dLbl>
            <c:dLbl>
              <c:idx val="3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6-A7E4-430C-9E3D-D851F3DD4F29}"/>
                </c:ext>
              </c:extLst>
            </c:dLbl>
            <c:dLbl>
              <c:idx val="3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7-A7E4-430C-9E3D-D851F3DD4F29}"/>
                </c:ext>
              </c:extLst>
            </c:dLbl>
            <c:dLbl>
              <c:idx val="3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8-A7E4-430C-9E3D-D851F3DD4F29}"/>
                </c:ext>
              </c:extLst>
            </c:dLbl>
            <c:dLbl>
              <c:idx val="3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9-A7E4-430C-9E3D-D851F3DD4F29}"/>
                </c:ext>
              </c:extLst>
            </c:dLbl>
            <c:dLbl>
              <c:idx val="3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A-A7E4-430C-9E3D-D851F3DD4F29}"/>
                </c:ext>
              </c:extLst>
            </c:dLbl>
            <c:dLbl>
              <c:idx val="3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B-A7E4-430C-9E3D-D851F3DD4F29}"/>
                </c:ext>
              </c:extLst>
            </c:dLbl>
            <c:dLbl>
              <c:idx val="3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C-A7E4-430C-9E3D-D851F3DD4F29}"/>
                </c:ext>
              </c:extLst>
            </c:dLbl>
            <c:dLbl>
              <c:idx val="3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D-A7E4-430C-9E3D-D851F3DD4F29}"/>
                </c:ext>
              </c:extLst>
            </c:dLbl>
            <c:dLbl>
              <c:idx val="3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E-A7E4-430C-9E3D-D851F3DD4F29}"/>
                </c:ext>
              </c:extLst>
            </c:dLbl>
            <c:dLbl>
              <c:idx val="3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8F-A7E4-430C-9E3D-D851F3DD4F29}"/>
                </c:ext>
              </c:extLst>
            </c:dLbl>
            <c:dLbl>
              <c:idx val="3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0-A7E4-430C-9E3D-D851F3DD4F29}"/>
                </c:ext>
              </c:extLst>
            </c:dLbl>
            <c:dLbl>
              <c:idx val="3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1-A7E4-430C-9E3D-D851F3DD4F29}"/>
                </c:ext>
              </c:extLst>
            </c:dLbl>
            <c:dLbl>
              <c:idx val="4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2-A7E4-430C-9E3D-D851F3DD4F29}"/>
                </c:ext>
              </c:extLst>
            </c:dLbl>
            <c:dLbl>
              <c:idx val="4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3-A7E4-430C-9E3D-D851F3DD4F29}"/>
                </c:ext>
              </c:extLst>
            </c:dLbl>
            <c:dLbl>
              <c:idx val="4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4-A7E4-430C-9E3D-D851F3DD4F29}"/>
                </c:ext>
              </c:extLst>
            </c:dLbl>
            <c:dLbl>
              <c:idx val="4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5-A7E4-430C-9E3D-D851F3DD4F29}"/>
                </c:ext>
              </c:extLst>
            </c:dLbl>
            <c:dLbl>
              <c:idx val="40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6-A7E4-430C-9E3D-D851F3DD4F29}"/>
                </c:ext>
              </c:extLst>
            </c:dLbl>
            <c:dLbl>
              <c:idx val="405"/>
              <c:layout>
                <c:manualLayout>
                  <c:x val="-5.6870708325638397E-2"/>
                  <c:y val="-0.32092889956236875"/>
                </c:manualLayout>
              </c:layout>
              <c:tx>
                <c:strRef>
                  <c:f>Exhibits!$EK$454</c:f>
                  <c:strCache>
                    <c:ptCount val="1"/>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layout>
                    <c:manualLayout>
                      <c:w val="8.6130147910615656E-2"/>
                      <c:h val="0.10033666089294628"/>
                    </c:manualLayout>
                  </c15:layout>
                  <c15:dlblFieldTable>
                    <c15:dlblFTEntry>
                      <c15:txfldGUID>{8A71CBBE-39FD-4E7D-88E6-A09253CB9AD8}</c15:txfldGUID>
                      <c15:f>Exhibits!$EK$454</c15:f>
                      <c15:dlblFieldTableCache>
                        <c:ptCount val="1"/>
                      </c15:dlblFieldTableCache>
                    </c15:dlblFTEntry>
                  </c15:dlblFieldTable>
                  <c15:showDataLabelsRange val="1"/>
                </c:ext>
                <c:ext xmlns:c16="http://schemas.microsoft.com/office/drawing/2014/chart" uri="{C3380CC4-5D6E-409C-BE32-E72D297353CC}">
                  <c16:uniqueId val="{00000197-A7E4-430C-9E3D-D851F3DD4F29}"/>
                </c:ext>
              </c:extLst>
            </c:dLbl>
            <c:dLbl>
              <c:idx val="4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8-A7E4-430C-9E3D-D851F3DD4F29}"/>
                </c:ext>
              </c:extLst>
            </c:dLbl>
            <c:dLbl>
              <c:idx val="4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9-A7E4-430C-9E3D-D851F3DD4F29}"/>
                </c:ext>
              </c:extLst>
            </c:dLbl>
            <c:dLbl>
              <c:idx val="4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A-A7E4-430C-9E3D-D851F3DD4F29}"/>
                </c:ext>
              </c:extLst>
            </c:dLbl>
            <c:dLbl>
              <c:idx val="409"/>
              <c:layout>
                <c:manualLayout>
                  <c:x val="-0.26478371915091792"/>
                  <c:y val="-0.4714596772325253"/>
                </c:manualLayout>
              </c:layout>
              <c:tx>
                <c:strRef>
                  <c:f>Exhibits!$EK$450</c:f>
                  <c:strCache>
                    <c:ptCount val="1"/>
                    <c:pt idx="0">
                      <c:v>"Panera Bread is replacing cashiers with kiosks — and it feels dystopian" - Business Week</c:v>
                    </c:pt>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4046100006729929"/>
                      <c:h val="0.11052728985799852"/>
                    </c:manualLayout>
                  </c15:layout>
                  <c15:dlblFieldTable>
                    <c15:dlblFTEntry>
                      <c15:txfldGUID>{0D69E594-412F-40EA-ACDF-D2A0F53C4C5C}</c15:txfldGUID>
                      <c15:f>Exhibits!$EK$450</c15:f>
                      <c15:dlblFieldTableCache>
                        <c:ptCount val="1"/>
                        <c:pt idx="0">
                          <c:v>"Panera Bread is replacing cashiers with kiosks — and it feels dystopian" - Business Week</c:v>
                        </c:pt>
                      </c15:dlblFieldTableCache>
                    </c15:dlblFTEntry>
                  </c15:dlblFieldTable>
                  <c15:showDataLabelsRange val="1"/>
                </c:ext>
                <c:ext xmlns:c16="http://schemas.microsoft.com/office/drawing/2014/chart" uri="{C3380CC4-5D6E-409C-BE32-E72D297353CC}">
                  <c16:uniqueId val="{0000019B-A7E4-430C-9E3D-D851F3DD4F29}"/>
                </c:ext>
              </c:extLst>
            </c:dLbl>
            <c:dLbl>
              <c:idx val="4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C-A7E4-430C-9E3D-D851F3DD4F29}"/>
                </c:ext>
              </c:extLst>
            </c:dLbl>
            <c:dLbl>
              <c:idx val="4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D-A7E4-430C-9E3D-D851F3DD4F29}"/>
                </c:ext>
              </c:extLst>
            </c:dLbl>
            <c:dLbl>
              <c:idx val="4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E-A7E4-430C-9E3D-D851F3DD4F29}"/>
                </c:ext>
              </c:extLst>
            </c:dLbl>
            <c:dLbl>
              <c:idx val="4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9F-A7E4-430C-9E3D-D851F3DD4F29}"/>
                </c:ext>
              </c:extLst>
            </c:dLbl>
            <c:dLbl>
              <c:idx val="4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0-A7E4-430C-9E3D-D851F3DD4F29}"/>
                </c:ext>
              </c:extLst>
            </c:dLbl>
            <c:dLbl>
              <c:idx val="4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1-A7E4-430C-9E3D-D851F3DD4F29}"/>
                </c:ext>
              </c:extLst>
            </c:dLbl>
            <c:dLbl>
              <c:idx val="4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2-A7E4-430C-9E3D-D851F3DD4F29}"/>
                </c:ext>
              </c:extLst>
            </c:dLbl>
            <c:dLbl>
              <c:idx val="4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3-A7E4-430C-9E3D-D851F3DD4F29}"/>
                </c:ext>
              </c:extLst>
            </c:dLbl>
            <c:dLbl>
              <c:idx val="4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4-A7E4-430C-9E3D-D851F3DD4F29}"/>
                </c:ext>
              </c:extLst>
            </c:dLbl>
            <c:dLbl>
              <c:idx val="4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5-A7E4-430C-9E3D-D851F3DD4F29}"/>
                </c:ext>
              </c:extLst>
            </c:dLbl>
            <c:dLbl>
              <c:idx val="4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6-A7E4-430C-9E3D-D851F3DD4F29}"/>
                </c:ext>
              </c:extLst>
            </c:dLbl>
            <c:dLbl>
              <c:idx val="4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7-A7E4-430C-9E3D-D851F3DD4F29}"/>
                </c:ext>
              </c:extLst>
            </c:dLbl>
            <c:dLbl>
              <c:idx val="4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8-A7E4-430C-9E3D-D851F3DD4F29}"/>
                </c:ext>
              </c:extLst>
            </c:dLbl>
            <c:dLbl>
              <c:idx val="4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9-A7E4-430C-9E3D-D851F3DD4F29}"/>
                </c:ext>
              </c:extLst>
            </c:dLbl>
            <c:dLbl>
              <c:idx val="4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A-A7E4-430C-9E3D-D851F3DD4F29}"/>
                </c:ext>
              </c:extLst>
            </c:dLbl>
            <c:dLbl>
              <c:idx val="4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B-A7E4-430C-9E3D-D851F3DD4F29}"/>
                </c:ext>
              </c:extLst>
            </c:dLbl>
            <c:dLbl>
              <c:idx val="4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C-A7E4-430C-9E3D-D851F3DD4F29}"/>
                </c:ext>
              </c:extLst>
            </c:dLbl>
            <c:dLbl>
              <c:idx val="4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D-A7E4-430C-9E3D-D851F3DD4F29}"/>
                </c:ext>
              </c:extLst>
            </c:dLbl>
            <c:dLbl>
              <c:idx val="4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E-A7E4-430C-9E3D-D851F3DD4F29}"/>
                </c:ext>
              </c:extLst>
            </c:dLbl>
            <c:dLbl>
              <c:idx val="4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AF-A7E4-430C-9E3D-D851F3DD4F29}"/>
                </c:ext>
              </c:extLst>
            </c:dLbl>
            <c:dLbl>
              <c:idx val="4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0-A7E4-430C-9E3D-D851F3DD4F29}"/>
                </c:ext>
              </c:extLst>
            </c:dLbl>
            <c:dLbl>
              <c:idx val="4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1-A7E4-430C-9E3D-D851F3DD4F29}"/>
                </c:ext>
              </c:extLst>
            </c:dLbl>
            <c:dLbl>
              <c:idx val="4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2-A7E4-430C-9E3D-D851F3DD4F29}"/>
                </c:ext>
              </c:extLst>
            </c:dLbl>
            <c:dLbl>
              <c:idx val="4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3-A7E4-430C-9E3D-D851F3DD4F29}"/>
                </c:ext>
              </c:extLst>
            </c:dLbl>
            <c:dLbl>
              <c:idx val="4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4-A7E4-430C-9E3D-D851F3DD4F29}"/>
                </c:ext>
              </c:extLst>
            </c:dLbl>
            <c:dLbl>
              <c:idx val="4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5-A7E4-430C-9E3D-D851F3DD4F29}"/>
                </c:ext>
              </c:extLst>
            </c:dLbl>
            <c:dLbl>
              <c:idx val="4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6-A7E4-430C-9E3D-D851F3DD4F29}"/>
                </c:ext>
              </c:extLst>
            </c:dLbl>
            <c:dLbl>
              <c:idx val="4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7-A7E4-430C-9E3D-D851F3DD4F29}"/>
                </c:ext>
              </c:extLst>
            </c:dLbl>
            <c:dLbl>
              <c:idx val="4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8-A7E4-430C-9E3D-D851F3DD4F29}"/>
                </c:ext>
              </c:extLst>
            </c:dLbl>
            <c:dLbl>
              <c:idx val="4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9-A7E4-430C-9E3D-D851F3DD4F29}"/>
                </c:ext>
              </c:extLst>
            </c:dLbl>
            <c:dLbl>
              <c:idx val="4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A-A7E4-430C-9E3D-D851F3DD4F29}"/>
                </c:ext>
              </c:extLst>
            </c:dLbl>
            <c:dLbl>
              <c:idx val="4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B-A7E4-430C-9E3D-D851F3DD4F29}"/>
                </c:ext>
              </c:extLst>
            </c:dLbl>
            <c:dLbl>
              <c:idx val="4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C-A7E4-430C-9E3D-D851F3DD4F29}"/>
                </c:ext>
              </c:extLst>
            </c:dLbl>
            <c:dLbl>
              <c:idx val="4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D-A7E4-430C-9E3D-D851F3DD4F29}"/>
                </c:ext>
              </c:extLst>
            </c:dLbl>
            <c:dLbl>
              <c:idx val="4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E-A7E4-430C-9E3D-D851F3DD4F29}"/>
                </c:ext>
              </c:extLst>
            </c:dLbl>
            <c:dLbl>
              <c:idx val="4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BF-A7E4-430C-9E3D-D851F3DD4F29}"/>
                </c:ext>
              </c:extLst>
            </c:dLbl>
            <c:dLbl>
              <c:idx val="446"/>
              <c:layout>
                <c:manualLayout>
                  <c:x val="-6.4859681001421118E-4"/>
                  <c:y val="6.4587118917827577E-2"/>
                </c:manualLayout>
              </c:layout>
              <c:tx>
                <c:strRef>
                  <c:f>Exhibits!$EK$413</c:f>
                  <c:strCache>
                    <c:ptCount val="1"/>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{DDD228D2-F26E-4EBC-97DC-519D66FCAE28}</c15:txfldGUID>
                      <c15:f>Exhibits!$EK$413</c15:f>
                      <c15:dlblFieldTableCache>
                        <c:ptCount val="1"/>
                      </c15:dlblFieldTableCache>
                    </c15:dlblFTEntry>
                  </c15:dlblFieldTable>
                  <c15:showDataLabelsRange val="1"/>
                </c:ext>
                <c:ext xmlns:c16="http://schemas.microsoft.com/office/drawing/2014/chart" uri="{C3380CC4-5D6E-409C-BE32-E72D297353CC}">
                  <c16:uniqueId val="{000001C0-A7E4-430C-9E3D-D851F3DD4F29}"/>
                </c:ext>
              </c:extLst>
            </c:dLbl>
            <c:dLbl>
              <c:idx val="4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1-A7E4-430C-9E3D-D851F3DD4F29}"/>
                </c:ext>
              </c:extLst>
            </c:dLbl>
            <c:dLbl>
              <c:idx val="4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2-A7E4-430C-9E3D-D851F3DD4F29}"/>
                </c:ext>
              </c:extLst>
            </c:dLbl>
            <c:dLbl>
              <c:idx val="4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3-A7E4-430C-9E3D-D851F3DD4F29}"/>
                </c:ext>
              </c:extLst>
            </c:dLbl>
            <c:dLbl>
              <c:idx val="4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4-A7E4-430C-9E3D-D851F3DD4F29}"/>
                </c:ext>
              </c:extLst>
            </c:dLbl>
            <c:dLbl>
              <c:idx val="4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5-A7E4-430C-9E3D-D851F3DD4F29}"/>
                </c:ext>
              </c:extLst>
            </c:dLbl>
            <c:dLbl>
              <c:idx val="4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6-A7E4-430C-9E3D-D851F3DD4F29}"/>
                </c:ext>
              </c:extLst>
            </c:dLbl>
            <c:dLbl>
              <c:idx val="4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7-A7E4-430C-9E3D-D851F3DD4F29}"/>
                </c:ext>
              </c:extLst>
            </c:dLbl>
            <c:dLbl>
              <c:idx val="4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8-A7E4-430C-9E3D-D851F3DD4F29}"/>
                </c:ext>
              </c:extLst>
            </c:dLbl>
            <c:dLbl>
              <c:idx val="4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9-A7E4-430C-9E3D-D851F3DD4F29}"/>
                </c:ext>
              </c:extLst>
            </c:dLbl>
            <c:dLbl>
              <c:idx val="4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A-A7E4-430C-9E3D-D851F3DD4F29}"/>
                </c:ext>
              </c:extLst>
            </c:dLbl>
            <c:dLbl>
              <c:idx val="4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B-A7E4-430C-9E3D-D851F3DD4F29}"/>
                </c:ext>
              </c:extLst>
            </c:dLbl>
            <c:dLbl>
              <c:idx val="4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C-A7E4-430C-9E3D-D851F3DD4F29}"/>
                </c:ext>
              </c:extLst>
            </c:dLbl>
            <c:dLbl>
              <c:idx val="4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D-A7E4-430C-9E3D-D851F3DD4F29}"/>
                </c:ext>
              </c:extLst>
            </c:dLbl>
            <c:dLbl>
              <c:idx val="4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E-A7E4-430C-9E3D-D851F3DD4F29}"/>
                </c:ext>
              </c:extLst>
            </c:dLbl>
            <c:dLbl>
              <c:idx val="4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CF-A7E4-430C-9E3D-D851F3DD4F29}"/>
                </c:ext>
              </c:extLst>
            </c:dLbl>
            <c:dLbl>
              <c:idx val="4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0-A7E4-430C-9E3D-D851F3DD4F29}"/>
                </c:ext>
              </c:extLst>
            </c:dLbl>
            <c:dLbl>
              <c:idx val="46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1-A7E4-430C-9E3D-D851F3DD4F29}"/>
                </c:ext>
              </c:extLst>
            </c:dLbl>
            <c:dLbl>
              <c:idx val="4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2-A7E4-430C-9E3D-D851F3DD4F29}"/>
                </c:ext>
              </c:extLst>
            </c:dLbl>
            <c:dLbl>
              <c:idx val="4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3-A7E4-430C-9E3D-D851F3DD4F29}"/>
                </c:ext>
              </c:extLst>
            </c:dLbl>
            <c:dLbl>
              <c:idx val="4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4-A7E4-430C-9E3D-D851F3DD4F29}"/>
                </c:ext>
              </c:extLst>
            </c:dLbl>
            <c:dLbl>
              <c:idx val="467"/>
              <c:layout>
                <c:manualLayout>
                  <c:x val="-0.10680728654419382"/>
                  <c:y val="-0.45206454456314127"/>
                </c:manualLayout>
              </c:layout>
              <c:tx>
                <c:strRef>
                  <c:f>Exhibits!$EK$392</c:f>
                  <c:strCache>
                    <c:ptCount val="1"/>
                    <c:pt idx="0">
                      <c:v>Panera 2.0 - 16% of sales are ordered and paid for digitally</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{76DA5C6C-3907-4766-8131-29831A9C876B}</c15:txfldGUID>
                      <c15:f>Exhibits!$EK$392</c15:f>
                      <c15:dlblFieldTableCache>
                        <c:ptCount val="1"/>
                        <c:pt idx="0">
                          <c:v>Panera 2.0 - 16% of sales are ordered and paid for digitally</c:v>
                        </c:pt>
                      </c15:dlblFieldTableCache>
                    </c15:dlblFTEntry>
                  </c15:dlblFieldTable>
                  <c15:showDataLabelsRange val="1"/>
                </c:ext>
                <c:ext xmlns:c16="http://schemas.microsoft.com/office/drawing/2014/chart" uri="{C3380CC4-5D6E-409C-BE32-E72D297353CC}">
                  <c16:uniqueId val="{000001D5-A7E4-430C-9E3D-D851F3DD4F29}"/>
                </c:ext>
              </c:extLst>
            </c:dLbl>
            <c:dLbl>
              <c:idx val="4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6-A7E4-430C-9E3D-D851F3DD4F29}"/>
                </c:ext>
              </c:extLst>
            </c:dLbl>
            <c:dLbl>
              <c:idx val="4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7-A7E4-430C-9E3D-D851F3DD4F29}"/>
                </c:ext>
              </c:extLst>
            </c:dLbl>
            <c:dLbl>
              <c:idx val="4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8-A7E4-430C-9E3D-D851F3DD4F29}"/>
                </c:ext>
              </c:extLst>
            </c:dLbl>
            <c:dLbl>
              <c:idx val="4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9-A7E4-430C-9E3D-D851F3DD4F29}"/>
                </c:ext>
              </c:extLst>
            </c:dLbl>
            <c:dLbl>
              <c:idx val="4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A-A7E4-430C-9E3D-D851F3DD4F29}"/>
                </c:ext>
              </c:extLst>
            </c:dLbl>
            <c:dLbl>
              <c:idx val="4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B-A7E4-430C-9E3D-D851F3DD4F29}"/>
                </c:ext>
              </c:extLst>
            </c:dLbl>
            <c:dLbl>
              <c:idx val="4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C-A7E4-430C-9E3D-D851F3DD4F29}"/>
                </c:ext>
              </c:extLst>
            </c:dLbl>
            <c:dLbl>
              <c:idx val="4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D-A7E4-430C-9E3D-D851F3DD4F29}"/>
                </c:ext>
              </c:extLst>
            </c:dLbl>
            <c:dLbl>
              <c:idx val="47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E-A7E4-430C-9E3D-D851F3DD4F29}"/>
                </c:ext>
              </c:extLst>
            </c:dLbl>
            <c:dLbl>
              <c:idx val="4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DF-A7E4-430C-9E3D-D851F3DD4F29}"/>
                </c:ext>
              </c:extLst>
            </c:dLbl>
            <c:dLbl>
              <c:idx val="4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0-A7E4-430C-9E3D-D851F3DD4F29}"/>
                </c:ext>
              </c:extLst>
            </c:dLbl>
            <c:dLbl>
              <c:idx val="4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1-A7E4-430C-9E3D-D851F3DD4F29}"/>
                </c:ext>
              </c:extLst>
            </c:dLbl>
            <c:dLbl>
              <c:idx val="4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2-A7E4-430C-9E3D-D851F3DD4F29}"/>
                </c:ext>
              </c:extLst>
            </c:dLbl>
            <c:dLbl>
              <c:idx val="48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3-A7E4-430C-9E3D-D851F3DD4F29}"/>
                </c:ext>
              </c:extLst>
            </c:dLbl>
            <c:dLbl>
              <c:idx val="4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4-A7E4-430C-9E3D-D851F3DD4F29}"/>
                </c:ext>
              </c:extLst>
            </c:dLbl>
            <c:dLbl>
              <c:idx val="4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5-A7E4-430C-9E3D-D851F3DD4F29}"/>
                </c:ext>
              </c:extLst>
            </c:dLbl>
            <c:dLbl>
              <c:idx val="4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6-A7E4-430C-9E3D-D851F3DD4F29}"/>
                </c:ext>
              </c:extLst>
            </c:dLbl>
            <c:dLbl>
              <c:idx val="4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7-A7E4-430C-9E3D-D851F3DD4F29}"/>
                </c:ext>
              </c:extLst>
            </c:dLbl>
            <c:dLbl>
              <c:idx val="4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8-A7E4-430C-9E3D-D851F3DD4F29}"/>
                </c:ext>
              </c:extLst>
            </c:dLbl>
            <c:dLbl>
              <c:idx val="4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9-A7E4-430C-9E3D-D851F3DD4F29}"/>
                </c:ext>
              </c:extLst>
            </c:dLbl>
            <c:dLbl>
              <c:idx val="4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A-A7E4-430C-9E3D-D851F3DD4F29}"/>
                </c:ext>
              </c:extLst>
            </c:dLbl>
            <c:dLbl>
              <c:idx val="4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B-A7E4-430C-9E3D-D851F3DD4F29}"/>
                </c:ext>
              </c:extLst>
            </c:dLbl>
            <c:dLbl>
              <c:idx val="4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C-A7E4-430C-9E3D-D851F3DD4F29}"/>
                </c:ext>
              </c:extLst>
            </c:dLbl>
            <c:dLbl>
              <c:idx val="4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D-A7E4-430C-9E3D-D851F3DD4F29}"/>
                </c:ext>
              </c:extLst>
            </c:dLbl>
            <c:dLbl>
              <c:idx val="4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E-A7E4-430C-9E3D-D851F3DD4F29}"/>
                </c:ext>
              </c:extLst>
            </c:dLbl>
            <c:dLbl>
              <c:idx val="4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EF-A7E4-430C-9E3D-D851F3DD4F29}"/>
                </c:ext>
              </c:extLst>
            </c:dLbl>
            <c:dLbl>
              <c:idx val="4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0-A7E4-430C-9E3D-D851F3DD4F29}"/>
                </c:ext>
              </c:extLst>
            </c:dLbl>
            <c:dLbl>
              <c:idx val="4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1-A7E4-430C-9E3D-D851F3DD4F29}"/>
                </c:ext>
              </c:extLst>
            </c:dLbl>
            <c:dLbl>
              <c:idx val="4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2-A7E4-430C-9E3D-D851F3DD4F29}"/>
                </c:ext>
              </c:extLst>
            </c:dLbl>
            <c:dLbl>
              <c:idx val="4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3-A7E4-430C-9E3D-D851F3DD4F29}"/>
                </c:ext>
              </c:extLst>
            </c:dLbl>
            <c:dLbl>
              <c:idx val="4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4-A7E4-430C-9E3D-D851F3DD4F29}"/>
                </c:ext>
              </c:extLst>
            </c:dLbl>
            <c:dLbl>
              <c:idx val="4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5-A7E4-430C-9E3D-D851F3DD4F29}"/>
                </c:ext>
              </c:extLst>
            </c:dLbl>
            <c:dLbl>
              <c:idx val="5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6-A7E4-430C-9E3D-D851F3DD4F29}"/>
                </c:ext>
              </c:extLst>
            </c:dLbl>
            <c:dLbl>
              <c:idx val="5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7-A7E4-430C-9E3D-D851F3DD4F29}"/>
                </c:ext>
              </c:extLst>
            </c:dLbl>
            <c:dLbl>
              <c:idx val="5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8-A7E4-430C-9E3D-D851F3DD4F29}"/>
                </c:ext>
              </c:extLst>
            </c:dLbl>
            <c:dLbl>
              <c:idx val="5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9-A7E4-430C-9E3D-D851F3DD4F29}"/>
                </c:ext>
              </c:extLst>
            </c:dLbl>
            <c:dLbl>
              <c:idx val="50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A-A7E4-430C-9E3D-D851F3DD4F29}"/>
                </c:ext>
              </c:extLst>
            </c:dLbl>
            <c:dLbl>
              <c:idx val="50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B-A7E4-430C-9E3D-D851F3DD4F29}"/>
                </c:ext>
              </c:extLst>
            </c:dLbl>
            <c:dLbl>
              <c:idx val="5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C-A7E4-430C-9E3D-D851F3DD4F29}"/>
                </c:ext>
              </c:extLst>
            </c:dLbl>
            <c:dLbl>
              <c:idx val="5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D-A7E4-430C-9E3D-D851F3DD4F29}"/>
                </c:ext>
              </c:extLst>
            </c:dLbl>
            <c:dLbl>
              <c:idx val="5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E-A7E4-430C-9E3D-D851F3DD4F29}"/>
                </c:ext>
              </c:extLst>
            </c:dLbl>
            <c:dLbl>
              <c:idx val="50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FF-A7E4-430C-9E3D-D851F3DD4F29}"/>
                </c:ext>
              </c:extLst>
            </c:dLbl>
            <c:dLbl>
              <c:idx val="5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0-A7E4-430C-9E3D-D851F3DD4F29}"/>
                </c:ext>
              </c:extLst>
            </c:dLbl>
            <c:dLbl>
              <c:idx val="5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1-A7E4-430C-9E3D-D851F3DD4F29}"/>
                </c:ext>
              </c:extLst>
            </c:dLbl>
            <c:dLbl>
              <c:idx val="5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2-A7E4-430C-9E3D-D851F3DD4F29}"/>
                </c:ext>
              </c:extLst>
            </c:dLbl>
            <c:dLbl>
              <c:idx val="5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3-A7E4-430C-9E3D-D851F3DD4F29}"/>
                </c:ext>
              </c:extLst>
            </c:dLbl>
            <c:dLbl>
              <c:idx val="5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4-A7E4-430C-9E3D-D851F3DD4F29}"/>
                </c:ext>
              </c:extLst>
            </c:dLbl>
            <c:dLbl>
              <c:idx val="5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5-A7E4-430C-9E3D-D851F3DD4F29}"/>
                </c:ext>
              </c:extLst>
            </c:dLbl>
            <c:dLbl>
              <c:idx val="5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6-A7E4-430C-9E3D-D851F3DD4F29}"/>
                </c:ext>
              </c:extLst>
            </c:dLbl>
            <c:dLbl>
              <c:idx val="5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7-A7E4-430C-9E3D-D851F3DD4F29}"/>
                </c:ext>
              </c:extLst>
            </c:dLbl>
            <c:dLbl>
              <c:idx val="5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8-A7E4-430C-9E3D-D851F3DD4F29}"/>
                </c:ext>
              </c:extLst>
            </c:dLbl>
            <c:dLbl>
              <c:idx val="5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9-A7E4-430C-9E3D-D851F3DD4F29}"/>
                </c:ext>
              </c:extLst>
            </c:dLbl>
            <c:dLbl>
              <c:idx val="5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A-A7E4-430C-9E3D-D851F3DD4F29}"/>
                </c:ext>
              </c:extLst>
            </c:dLbl>
            <c:dLbl>
              <c:idx val="5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B-A7E4-430C-9E3D-D851F3DD4F29}"/>
                </c:ext>
              </c:extLst>
            </c:dLbl>
            <c:dLbl>
              <c:idx val="5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C-A7E4-430C-9E3D-D851F3DD4F29}"/>
                </c:ext>
              </c:extLst>
            </c:dLbl>
            <c:dLbl>
              <c:idx val="5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D-A7E4-430C-9E3D-D851F3DD4F29}"/>
                </c:ext>
              </c:extLst>
            </c:dLbl>
            <c:dLbl>
              <c:idx val="5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E-A7E4-430C-9E3D-D851F3DD4F29}"/>
                </c:ext>
              </c:extLst>
            </c:dLbl>
            <c:dLbl>
              <c:idx val="5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0F-A7E4-430C-9E3D-D851F3DD4F29}"/>
                </c:ext>
              </c:extLst>
            </c:dLbl>
            <c:dLbl>
              <c:idx val="5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0-A7E4-430C-9E3D-D851F3DD4F29}"/>
                </c:ext>
              </c:extLst>
            </c:dLbl>
            <c:dLbl>
              <c:idx val="5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1-A7E4-430C-9E3D-D851F3DD4F29}"/>
                </c:ext>
              </c:extLst>
            </c:dLbl>
            <c:dLbl>
              <c:idx val="5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2-A7E4-430C-9E3D-D851F3DD4F29}"/>
                </c:ext>
              </c:extLst>
            </c:dLbl>
            <c:dLbl>
              <c:idx val="5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3-A7E4-430C-9E3D-D851F3DD4F29}"/>
                </c:ext>
              </c:extLst>
            </c:dLbl>
            <c:dLbl>
              <c:idx val="5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4-A7E4-430C-9E3D-D851F3DD4F29}"/>
                </c:ext>
              </c:extLst>
            </c:dLbl>
            <c:dLbl>
              <c:idx val="5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5-A7E4-430C-9E3D-D851F3DD4F29}"/>
                </c:ext>
              </c:extLst>
            </c:dLbl>
            <c:dLbl>
              <c:idx val="5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6-A7E4-430C-9E3D-D851F3DD4F29}"/>
                </c:ext>
              </c:extLst>
            </c:dLbl>
            <c:dLbl>
              <c:idx val="5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7-A7E4-430C-9E3D-D851F3DD4F29}"/>
                </c:ext>
              </c:extLst>
            </c:dLbl>
            <c:dLbl>
              <c:idx val="5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8-A7E4-430C-9E3D-D851F3DD4F29}"/>
                </c:ext>
              </c:extLst>
            </c:dLbl>
            <c:dLbl>
              <c:idx val="5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9-A7E4-430C-9E3D-D851F3DD4F29}"/>
                </c:ext>
              </c:extLst>
            </c:dLbl>
            <c:dLbl>
              <c:idx val="5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A-A7E4-430C-9E3D-D851F3DD4F29}"/>
                </c:ext>
              </c:extLst>
            </c:dLbl>
            <c:dLbl>
              <c:idx val="5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B-A7E4-430C-9E3D-D851F3DD4F29}"/>
                </c:ext>
              </c:extLst>
            </c:dLbl>
            <c:dLbl>
              <c:idx val="5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C-A7E4-430C-9E3D-D851F3DD4F29}"/>
                </c:ext>
              </c:extLst>
            </c:dLbl>
            <c:dLbl>
              <c:idx val="5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D-A7E4-430C-9E3D-D851F3DD4F29}"/>
                </c:ext>
              </c:extLst>
            </c:dLbl>
            <c:dLbl>
              <c:idx val="5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E-A7E4-430C-9E3D-D851F3DD4F29}"/>
                </c:ext>
              </c:extLst>
            </c:dLbl>
            <c:dLbl>
              <c:idx val="5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1F-A7E4-430C-9E3D-D851F3DD4F29}"/>
                </c:ext>
              </c:extLst>
            </c:dLbl>
            <c:dLbl>
              <c:idx val="5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0-A7E4-430C-9E3D-D851F3DD4F29}"/>
                </c:ext>
              </c:extLst>
            </c:dLbl>
            <c:dLbl>
              <c:idx val="5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1-A7E4-430C-9E3D-D851F3DD4F29}"/>
                </c:ext>
              </c:extLst>
            </c:dLbl>
            <c:dLbl>
              <c:idx val="5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2-A7E4-430C-9E3D-D851F3DD4F29}"/>
                </c:ext>
              </c:extLst>
            </c:dLbl>
            <c:dLbl>
              <c:idx val="5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3-A7E4-430C-9E3D-D851F3DD4F29}"/>
                </c:ext>
              </c:extLst>
            </c:dLbl>
            <c:dLbl>
              <c:idx val="5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4-A7E4-430C-9E3D-D851F3DD4F29}"/>
                </c:ext>
              </c:extLst>
            </c:dLbl>
            <c:dLbl>
              <c:idx val="5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5-A7E4-430C-9E3D-D851F3DD4F29}"/>
                </c:ext>
              </c:extLst>
            </c:dLbl>
            <c:dLbl>
              <c:idx val="5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6-A7E4-430C-9E3D-D851F3DD4F29}"/>
                </c:ext>
              </c:extLst>
            </c:dLbl>
            <c:dLbl>
              <c:idx val="5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7-A7E4-430C-9E3D-D851F3DD4F29}"/>
                </c:ext>
              </c:extLst>
            </c:dLbl>
            <c:dLbl>
              <c:idx val="5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8-A7E4-430C-9E3D-D851F3DD4F29}"/>
                </c:ext>
              </c:extLst>
            </c:dLbl>
            <c:dLbl>
              <c:idx val="5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9-A7E4-430C-9E3D-D851F3DD4F29}"/>
                </c:ext>
              </c:extLst>
            </c:dLbl>
            <c:dLbl>
              <c:idx val="5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A-A7E4-430C-9E3D-D851F3DD4F29}"/>
                </c:ext>
              </c:extLst>
            </c:dLbl>
            <c:dLbl>
              <c:idx val="5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B-A7E4-430C-9E3D-D851F3DD4F29}"/>
                </c:ext>
              </c:extLst>
            </c:dLbl>
            <c:dLbl>
              <c:idx val="5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C-A7E4-430C-9E3D-D851F3DD4F29}"/>
                </c:ext>
              </c:extLst>
            </c:dLbl>
            <c:dLbl>
              <c:idx val="5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D-A7E4-430C-9E3D-D851F3DD4F29}"/>
                </c:ext>
              </c:extLst>
            </c:dLbl>
            <c:dLbl>
              <c:idx val="5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E-A7E4-430C-9E3D-D851F3DD4F29}"/>
                </c:ext>
              </c:extLst>
            </c:dLbl>
            <c:dLbl>
              <c:idx val="5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2F-A7E4-430C-9E3D-D851F3DD4F29}"/>
                </c:ext>
              </c:extLst>
            </c:dLbl>
            <c:dLbl>
              <c:idx val="5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0-A7E4-430C-9E3D-D851F3DD4F29}"/>
                </c:ext>
              </c:extLst>
            </c:dLbl>
            <c:dLbl>
              <c:idx val="5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1-A7E4-430C-9E3D-D851F3DD4F29}"/>
                </c:ext>
              </c:extLst>
            </c:dLbl>
            <c:dLbl>
              <c:idx val="5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2-A7E4-430C-9E3D-D851F3DD4F29}"/>
                </c:ext>
              </c:extLst>
            </c:dLbl>
            <c:dLbl>
              <c:idx val="5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3-A7E4-430C-9E3D-D851F3DD4F29}"/>
                </c:ext>
              </c:extLst>
            </c:dLbl>
            <c:dLbl>
              <c:idx val="5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4-A7E4-430C-9E3D-D851F3DD4F29}"/>
                </c:ext>
              </c:extLst>
            </c:dLbl>
            <c:dLbl>
              <c:idx val="56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5-A7E4-430C-9E3D-D851F3DD4F29}"/>
                </c:ext>
              </c:extLst>
            </c:dLbl>
            <c:dLbl>
              <c:idx val="5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6-A7E4-430C-9E3D-D851F3DD4F29}"/>
                </c:ext>
              </c:extLst>
            </c:dLbl>
            <c:dLbl>
              <c:idx val="5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7-A7E4-430C-9E3D-D851F3DD4F29}"/>
                </c:ext>
              </c:extLst>
            </c:dLbl>
            <c:dLbl>
              <c:idx val="5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8-A7E4-430C-9E3D-D851F3DD4F29}"/>
                </c:ext>
              </c:extLst>
            </c:dLbl>
            <c:dLbl>
              <c:idx val="56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9-A7E4-430C-9E3D-D851F3DD4F29}"/>
                </c:ext>
              </c:extLst>
            </c:dLbl>
            <c:dLbl>
              <c:idx val="5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A-A7E4-430C-9E3D-D851F3DD4F29}"/>
                </c:ext>
              </c:extLst>
            </c:dLbl>
            <c:dLbl>
              <c:idx val="5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B-A7E4-430C-9E3D-D851F3DD4F29}"/>
                </c:ext>
              </c:extLst>
            </c:dLbl>
            <c:dLbl>
              <c:idx val="5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C-A7E4-430C-9E3D-D851F3DD4F29}"/>
                </c:ext>
              </c:extLst>
            </c:dLbl>
            <c:dLbl>
              <c:idx val="5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D-A7E4-430C-9E3D-D851F3DD4F29}"/>
                </c:ext>
              </c:extLst>
            </c:dLbl>
            <c:dLbl>
              <c:idx val="5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E-A7E4-430C-9E3D-D851F3DD4F29}"/>
                </c:ext>
              </c:extLst>
            </c:dLbl>
            <c:dLbl>
              <c:idx val="5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3F-A7E4-430C-9E3D-D851F3DD4F29}"/>
                </c:ext>
              </c:extLst>
            </c:dLbl>
            <c:dLbl>
              <c:idx val="5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0-A7E4-430C-9E3D-D851F3DD4F29}"/>
                </c:ext>
              </c:extLst>
            </c:dLbl>
            <c:dLbl>
              <c:idx val="5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1-A7E4-430C-9E3D-D851F3DD4F29}"/>
                </c:ext>
              </c:extLst>
            </c:dLbl>
            <c:dLbl>
              <c:idx val="57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2-A7E4-430C-9E3D-D851F3DD4F29}"/>
                </c:ext>
              </c:extLst>
            </c:dLbl>
            <c:dLbl>
              <c:idx val="5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3-A7E4-430C-9E3D-D851F3DD4F29}"/>
                </c:ext>
              </c:extLst>
            </c:dLbl>
            <c:dLbl>
              <c:idx val="5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4-A7E4-430C-9E3D-D851F3DD4F29}"/>
                </c:ext>
              </c:extLst>
            </c:dLbl>
            <c:dLbl>
              <c:idx val="5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5-A7E4-430C-9E3D-D851F3DD4F29}"/>
                </c:ext>
              </c:extLst>
            </c:dLbl>
            <c:dLbl>
              <c:idx val="5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6-A7E4-430C-9E3D-D851F3DD4F29}"/>
                </c:ext>
              </c:extLst>
            </c:dLbl>
            <c:dLbl>
              <c:idx val="58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7-A7E4-430C-9E3D-D851F3DD4F29}"/>
                </c:ext>
              </c:extLst>
            </c:dLbl>
            <c:dLbl>
              <c:idx val="5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8-A7E4-430C-9E3D-D851F3DD4F29}"/>
                </c:ext>
              </c:extLst>
            </c:dLbl>
            <c:dLbl>
              <c:idx val="5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9-A7E4-430C-9E3D-D851F3DD4F29}"/>
                </c:ext>
              </c:extLst>
            </c:dLbl>
            <c:dLbl>
              <c:idx val="5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A-A7E4-430C-9E3D-D851F3DD4F29}"/>
                </c:ext>
              </c:extLst>
            </c:dLbl>
            <c:dLbl>
              <c:idx val="5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B-A7E4-430C-9E3D-D851F3DD4F29}"/>
                </c:ext>
              </c:extLst>
            </c:dLbl>
            <c:dLbl>
              <c:idx val="5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C-A7E4-430C-9E3D-D851F3DD4F29}"/>
                </c:ext>
              </c:extLst>
            </c:dLbl>
            <c:dLbl>
              <c:idx val="5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D-A7E4-430C-9E3D-D851F3DD4F29}"/>
                </c:ext>
              </c:extLst>
            </c:dLbl>
            <c:dLbl>
              <c:idx val="5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E-A7E4-430C-9E3D-D851F3DD4F29}"/>
                </c:ext>
              </c:extLst>
            </c:dLbl>
            <c:dLbl>
              <c:idx val="5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4F-A7E4-430C-9E3D-D851F3DD4F29}"/>
                </c:ext>
              </c:extLst>
            </c:dLbl>
            <c:dLbl>
              <c:idx val="5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0-A7E4-430C-9E3D-D851F3DD4F29}"/>
                </c:ext>
              </c:extLst>
            </c:dLbl>
            <c:dLbl>
              <c:idx val="5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1-A7E4-430C-9E3D-D851F3DD4F29}"/>
                </c:ext>
              </c:extLst>
            </c:dLbl>
            <c:dLbl>
              <c:idx val="5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2-A7E4-430C-9E3D-D851F3DD4F29}"/>
                </c:ext>
              </c:extLst>
            </c:dLbl>
            <c:dLbl>
              <c:idx val="5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3-A7E4-430C-9E3D-D851F3DD4F29}"/>
                </c:ext>
              </c:extLst>
            </c:dLbl>
            <c:dLbl>
              <c:idx val="5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4-A7E4-430C-9E3D-D851F3DD4F29}"/>
                </c:ext>
              </c:extLst>
            </c:dLbl>
            <c:dLbl>
              <c:idx val="5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5-A7E4-430C-9E3D-D851F3DD4F29}"/>
                </c:ext>
              </c:extLst>
            </c:dLbl>
            <c:dLbl>
              <c:idx val="5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6-A7E4-430C-9E3D-D851F3DD4F29}"/>
                </c:ext>
              </c:extLst>
            </c:dLbl>
            <c:dLbl>
              <c:idx val="5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7-A7E4-430C-9E3D-D851F3DD4F29}"/>
                </c:ext>
              </c:extLst>
            </c:dLbl>
            <c:dLbl>
              <c:idx val="5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8-A7E4-430C-9E3D-D851F3DD4F29}"/>
                </c:ext>
              </c:extLst>
            </c:dLbl>
            <c:dLbl>
              <c:idx val="5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9-A7E4-430C-9E3D-D851F3DD4F29}"/>
                </c:ext>
              </c:extLst>
            </c:dLbl>
            <c:dLbl>
              <c:idx val="6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A-A7E4-430C-9E3D-D851F3DD4F29}"/>
                </c:ext>
              </c:extLst>
            </c:dLbl>
            <c:dLbl>
              <c:idx val="6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B-A7E4-430C-9E3D-D851F3DD4F29}"/>
                </c:ext>
              </c:extLst>
            </c:dLbl>
            <c:dLbl>
              <c:idx val="6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C-A7E4-430C-9E3D-D851F3DD4F29}"/>
                </c:ext>
              </c:extLst>
            </c:dLbl>
            <c:dLbl>
              <c:idx val="6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D-A7E4-430C-9E3D-D851F3DD4F29}"/>
                </c:ext>
              </c:extLst>
            </c:dLbl>
            <c:dLbl>
              <c:idx val="60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E-A7E4-430C-9E3D-D851F3DD4F29}"/>
                </c:ext>
              </c:extLst>
            </c:dLbl>
            <c:dLbl>
              <c:idx val="60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5F-A7E4-430C-9E3D-D851F3DD4F29}"/>
                </c:ext>
              </c:extLst>
            </c:dLbl>
            <c:dLbl>
              <c:idx val="6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0-A7E4-430C-9E3D-D851F3DD4F29}"/>
                </c:ext>
              </c:extLst>
            </c:dLbl>
            <c:dLbl>
              <c:idx val="6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1-A7E4-430C-9E3D-D851F3DD4F29}"/>
                </c:ext>
              </c:extLst>
            </c:dLbl>
            <c:dLbl>
              <c:idx val="6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2-A7E4-430C-9E3D-D851F3DD4F29}"/>
                </c:ext>
              </c:extLst>
            </c:dLbl>
            <c:dLbl>
              <c:idx val="60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3-A7E4-430C-9E3D-D851F3DD4F29}"/>
                </c:ext>
              </c:extLst>
            </c:dLbl>
            <c:dLbl>
              <c:idx val="6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4-A7E4-430C-9E3D-D851F3DD4F29}"/>
                </c:ext>
              </c:extLst>
            </c:dLbl>
            <c:dLbl>
              <c:idx val="6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5-A7E4-430C-9E3D-D851F3DD4F29}"/>
                </c:ext>
              </c:extLst>
            </c:dLbl>
            <c:dLbl>
              <c:idx val="6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6-A7E4-430C-9E3D-D851F3DD4F29}"/>
                </c:ext>
              </c:extLst>
            </c:dLbl>
            <c:dLbl>
              <c:idx val="6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7-A7E4-430C-9E3D-D851F3DD4F29}"/>
                </c:ext>
              </c:extLst>
            </c:dLbl>
            <c:dLbl>
              <c:idx val="6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8-A7E4-430C-9E3D-D851F3DD4F29}"/>
                </c:ext>
              </c:extLst>
            </c:dLbl>
            <c:dLbl>
              <c:idx val="615"/>
              <c:layout>
                <c:manualLayout>
                  <c:x val="-9.1304939239140362E-2"/>
                  <c:y val="-0.15038172759085031"/>
                </c:manualLayout>
              </c:layout>
              <c:tx>
                <c:strRef>
                  <c:f>Exhibits!$EK$244</c:f>
                  <c:strCache>
                    <c:ptCount val="1"/>
                    <c:pt idx="0">
                      <c:v>"Daaaaaamn Panera, Back at it Again with the Pseudoscience." article  attacks Panera Bread marketing campaign and gains attention from major news outlets such as Forbes</c:v>
                    </c:pt>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4615384615384617"/>
                      <c:h val="0.19430894488474132"/>
                    </c:manualLayout>
                  </c15:layout>
                  <c15:dlblFieldTable>
                    <c15:dlblFTEntry>
                      <c15:txfldGUID>{EE646A7E-5D12-4E4D-9F4A-A7467F08E0B5}</c15:txfldGUID>
                      <c15:f>Exhibits!$EK$244</c15:f>
                      <c15:dlblFieldTableCache>
                        <c:ptCount val="1"/>
                        <c:pt idx="0">
                          <c:v>"Daaaaaamn Panera, Back at it Again with the Pseudoscience." article  attacks Panera Bread marketing campaign and gains attention from major news outlets such as Forbes</c:v>
                        </c:pt>
                      </c15:dlblFieldTableCache>
                    </c15:dlblFTEntry>
                  </c15:dlblFieldTable>
                  <c15:showDataLabelsRange val="1"/>
                </c:ext>
                <c:ext xmlns:c16="http://schemas.microsoft.com/office/drawing/2014/chart" uri="{C3380CC4-5D6E-409C-BE32-E72D297353CC}">
                  <c16:uniqueId val="{00000269-A7E4-430C-9E3D-D851F3DD4F29}"/>
                </c:ext>
              </c:extLst>
            </c:dLbl>
            <c:dLbl>
              <c:idx val="6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A-A7E4-430C-9E3D-D851F3DD4F29}"/>
                </c:ext>
              </c:extLst>
            </c:dLbl>
            <c:dLbl>
              <c:idx val="6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B-A7E4-430C-9E3D-D851F3DD4F29}"/>
                </c:ext>
              </c:extLst>
            </c:dLbl>
            <c:dLbl>
              <c:idx val="6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C-A7E4-430C-9E3D-D851F3DD4F29}"/>
                </c:ext>
              </c:extLst>
            </c:dLbl>
            <c:dLbl>
              <c:idx val="6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D-A7E4-430C-9E3D-D851F3DD4F29}"/>
                </c:ext>
              </c:extLst>
            </c:dLbl>
            <c:dLbl>
              <c:idx val="6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E-A7E4-430C-9E3D-D851F3DD4F29}"/>
                </c:ext>
              </c:extLst>
            </c:dLbl>
            <c:dLbl>
              <c:idx val="62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6F-A7E4-430C-9E3D-D851F3DD4F29}"/>
                </c:ext>
              </c:extLst>
            </c:dLbl>
            <c:dLbl>
              <c:idx val="6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0-A7E4-430C-9E3D-D851F3DD4F29}"/>
                </c:ext>
              </c:extLst>
            </c:dLbl>
            <c:dLbl>
              <c:idx val="6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1-A7E4-430C-9E3D-D851F3DD4F29}"/>
                </c:ext>
              </c:extLst>
            </c:dLbl>
            <c:dLbl>
              <c:idx val="6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2-A7E4-430C-9E3D-D851F3DD4F29}"/>
                </c:ext>
              </c:extLst>
            </c:dLbl>
            <c:dLbl>
              <c:idx val="625"/>
              <c:layout>
                <c:manualLayout>
                  <c:x val="-0.11364135453217609"/>
                  <c:y val="7.8347711849515028E-2"/>
                </c:manualLayout>
              </c:layout>
              <c:tx>
                <c:strRef>
                  <c:f>Exhibits!$EK$234</c:f>
                  <c:strCache>
                    <c:ptCount val="1"/>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{41B208F2-56C3-4571-A78C-20BFD6950DBC}</c15:txfldGUID>
                      <c15:f>Exhibits!$EK$234</c15:f>
                      <c15:dlblFieldTableCache>
                        <c:ptCount val="1"/>
                      </c15:dlblFieldTableCache>
                    </c15:dlblFTEntry>
                  </c15:dlblFieldTable>
                  <c15:showDataLabelsRange val="1"/>
                </c:ext>
                <c:ext xmlns:c16="http://schemas.microsoft.com/office/drawing/2014/chart" uri="{C3380CC4-5D6E-409C-BE32-E72D297353CC}">
                  <c16:uniqueId val="{00000273-A7E4-430C-9E3D-D851F3DD4F29}"/>
                </c:ext>
              </c:extLst>
            </c:dLbl>
            <c:dLbl>
              <c:idx val="6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4-A7E4-430C-9E3D-D851F3DD4F29}"/>
                </c:ext>
              </c:extLst>
            </c:dLbl>
            <c:dLbl>
              <c:idx val="6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5-A7E4-430C-9E3D-D851F3DD4F29}"/>
                </c:ext>
              </c:extLst>
            </c:dLbl>
            <c:dLbl>
              <c:idx val="6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6-A7E4-430C-9E3D-D851F3DD4F29}"/>
                </c:ext>
              </c:extLst>
            </c:dLbl>
            <c:dLbl>
              <c:idx val="6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7-A7E4-430C-9E3D-D851F3DD4F29}"/>
                </c:ext>
              </c:extLst>
            </c:dLbl>
            <c:dLbl>
              <c:idx val="6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8-A7E4-430C-9E3D-D851F3DD4F29}"/>
                </c:ext>
              </c:extLst>
            </c:dLbl>
            <c:dLbl>
              <c:idx val="6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9-A7E4-430C-9E3D-D851F3DD4F29}"/>
                </c:ext>
              </c:extLst>
            </c:dLbl>
            <c:dLbl>
              <c:idx val="6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A-A7E4-430C-9E3D-D851F3DD4F29}"/>
                </c:ext>
              </c:extLst>
            </c:dLbl>
            <c:dLbl>
              <c:idx val="6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B-A7E4-430C-9E3D-D851F3DD4F29}"/>
                </c:ext>
              </c:extLst>
            </c:dLbl>
            <c:dLbl>
              <c:idx val="6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C-A7E4-430C-9E3D-D851F3DD4F29}"/>
                </c:ext>
              </c:extLst>
            </c:dLbl>
            <c:dLbl>
              <c:idx val="6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D-A7E4-430C-9E3D-D851F3DD4F29}"/>
                </c:ext>
              </c:extLst>
            </c:dLbl>
            <c:dLbl>
              <c:idx val="6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E-A7E4-430C-9E3D-D851F3DD4F29}"/>
                </c:ext>
              </c:extLst>
            </c:dLbl>
            <c:dLbl>
              <c:idx val="6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7F-A7E4-430C-9E3D-D851F3DD4F29}"/>
                </c:ext>
              </c:extLst>
            </c:dLbl>
            <c:dLbl>
              <c:idx val="6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0-A7E4-430C-9E3D-D851F3DD4F29}"/>
                </c:ext>
              </c:extLst>
            </c:dLbl>
            <c:dLbl>
              <c:idx val="6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1-A7E4-430C-9E3D-D851F3DD4F29}"/>
                </c:ext>
              </c:extLst>
            </c:dLbl>
            <c:dLbl>
              <c:idx val="6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2-A7E4-430C-9E3D-D851F3DD4F29}"/>
                </c:ext>
              </c:extLst>
            </c:dLbl>
            <c:dLbl>
              <c:idx val="6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3-A7E4-430C-9E3D-D851F3DD4F29}"/>
                </c:ext>
              </c:extLst>
            </c:dLbl>
            <c:dLbl>
              <c:idx val="6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4-A7E4-430C-9E3D-D851F3DD4F29}"/>
                </c:ext>
              </c:extLst>
            </c:dLbl>
            <c:dLbl>
              <c:idx val="6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5-A7E4-430C-9E3D-D851F3DD4F29}"/>
                </c:ext>
              </c:extLst>
            </c:dLbl>
            <c:dLbl>
              <c:idx val="6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6-A7E4-430C-9E3D-D851F3DD4F29}"/>
                </c:ext>
              </c:extLst>
            </c:dLbl>
            <c:dLbl>
              <c:idx val="6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7-A7E4-430C-9E3D-D851F3DD4F29}"/>
                </c:ext>
              </c:extLst>
            </c:dLbl>
            <c:dLbl>
              <c:idx val="6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8-A7E4-430C-9E3D-D851F3DD4F29}"/>
                </c:ext>
              </c:extLst>
            </c:dLbl>
            <c:dLbl>
              <c:idx val="6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9-A7E4-430C-9E3D-D851F3DD4F29}"/>
                </c:ext>
              </c:extLst>
            </c:dLbl>
            <c:dLbl>
              <c:idx val="6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A-A7E4-430C-9E3D-D851F3DD4F29}"/>
                </c:ext>
              </c:extLst>
            </c:dLbl>
            <c:dLbl>
              <c:idx val="6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B-A7E4-430C-9E3D-D851F3DD4F29}"/>
                </c:ext>
              </c:extLst>
            </c:dLbl>
            <c:dLbl>
              <c:idx val="6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C-A7E4-430C-9E3D-D851F3DD4F29}"/>
                </c:ext>
              </c:extLst>
            </c:dLbl>
            <c:dLbl>
              <c:idx val="6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D-A7E4-430C-9E3D-D851F3DD4F29}"/>
                </c:ext>
              </c:extLst>
            </c:dLbl>
            <c:dLbl>
              <c:idx val="6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E-A7E4-430C-9E3D-D851F3DD4F29}"/>
                </c:ext>
              </c:extLst>
            </c:dLbl>
            <c:dLbl>
              <c:idx val="6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8F-A7E4-430C-9E3D-D851F3DD4F29}"/>
                </c:ext>
              </c:extLst>
            </c:dLbl>
            <c:dLbl>
              <c:idx val="6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0-A7E4-430C-9E3D-D851F3DD4F29}"/>
                </c:ext>
              </c:extLst>
            </c:dLbl>
            <c:dLbl>
              <c:idx val="6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1-A7E4-430C-9E3D-D851F3DD4F29}"/>
                </c:ext>
              </c:extLst>
            </c:dLbl>
            <c:dLbl>
              <c:idx val="6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2-A7E4-430C-9E3D-D851F3DD4F29}"/>
                </c:ext>
              </c:extLst>
            </c:dLbl>
            <c:dLbl>
              <c:idx val="6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3-A7E4-430C-9E3D-D851F3DD4F29}"/>
                </c:ext>
              </c:extLst>
            </c:dLbl>
            <c:dLbl>
              <c:idx val="65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4-A7E4-430C-9E3D-D851F3DD4F29}"/>
                </c:ext>
              </c:extLst>
            </c:dLbl>
            <c:dLbl>
              <c:idx val="65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5-A7E4-430C-9E3D-D851F3DD4F29}"/>
                </c:ext>
              </c:extLst>
            </c:dLbl>
            <c:dLbl>
              <c:idx val="66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6-A7E4-430C-9E3D-D851F3DD4F29}"/>
                </c:ext>
              </c:extLst>
            </c:dLbl>
            <c:dLbl>
              <c:idx val="66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7-A7E4-430C-9E3D-D851F3DD4F29}"/>
                </c:ext>
              </c:extLst>
            </c:dLbl>
            <c:dLbl>
              <c:idx val="66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8-A7E4-430C-9E3D-D851F3DD4F29}"/>
                </c:ext>
              </c:extLst>
            </c:dLbl>
            <c:dLbl>
              <c:idx val="66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9-A7E4-430C-9E3D-D851F3DD4F29}"/>
                </c:ext>
              </c:extLst>
            </c:dLbl>
            <c:dLbl>
              <c:idx val="66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A-A7E4-430C-9E3D-D851F3DD4F29}"/>
                </c:ext>
              </c:extLst>
            </c:dLbl>
            <c:dLbl>
              <c:idx val="66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B-A7E4-430C-9E3D-D851F3DD4F29}"/>
                </c:ext>
              </c:extLst>
            </c:dLbl>
            <c:dLbl>
              <c:idx val="66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C-A7E4-430C-9E3D-D851F3DD4F29}"/>
                </c:ext>
              </c:extLst>
            </c:dLbl>
            <c:dLbl>
              <c:idx val="66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D-A7E4-430C-9E3D-D851F3DD4F29}"/>
                </c:ext>
              </c:extLst>
            </c:dLbl>
            <c:dLbl>
              <c:idx val="66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E-A7E4-430C-9E3D-D851F3DD4F29}"/>
                </c:ext>
              </c:extLst>
            </c:dLbl>
            <c:dLbl>
              <c:idx val="66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9F-A7E4-430C-9E3D-D851F3DD4F29}"/>
                </c:ext>
              </c:extLst>
            </c:dLbl>
            <c:dLbl>
              <c:idx val="67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0-A7E4-430C-9E3D-D851F3DD4F29}"/>
                </c:ext>
              </c:extLst>
            </c:dLbl>
            <c:dLbl>
              <c:idx val="67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1-A7E4-430C-9E3D-D851F3DD4F29}"/>
                </c:ext>
              </c:extLst>
            </c:dLbl>
            <c:dLbl>
              <c:idx val="67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2-A7E4-430C-9E3D-D851F3DD4F29}"/>
                </c:ext>
              </c:extLst>
            </c:dLbl>
            <c:dLbl>
              <c:idx val="67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3-A7E4-430C-9E3D-D851F3DD4F29}"/>
                </c:ext>
              </c:extLst>
            </c:dLbl>
            <c:dLbl>
              <c:idx val="67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4-A7E4-430C-9E3D-D851F3DD4F29}"/>
                </c:ext>
              </c:extLst>
            </c:dLbl>
            <c:dLbl>
              <c:idx val="67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5-A7E4-430C-9E3D-D851F3DD4F29}"/>
                </c:ext>
              </c:extLst>
            </c:dLbl>
            <c:dLbl>
              <c:idx val="67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6-A7E4-430C-9E3D-D851F3DD4F29}"/>
                </c:ext>
              </c:extLst>
            </c:dLbl>
            <c:dLbl>
              <c:idx val="67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7-A7E4-430C-9E3D-D851F3DD4F29}"/>
                </c:ext>
              </c:extLst>
            </c:dLbl>
            <c:dLbl>
              <c:idx val="67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8-A7E4-430C-9E3D-D851F3DD4F29}"/>
                </c:ext>
              </c:extLst>
            </c:dLbl>
            <c:dLbl>
              <c:idx val="67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9-A7E4-430C-9E3D-D851F3DD4F29}"/>
                </c:ext>
              </c:extLst>
            </c:dLbl>
            <c:dLbl>
              <c:idx val="68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A-A7E4-430C-9E3D-D851F3DD4F29}"/>
                </c:ext>
              </c:extLst>
            </c:dLbl>
            <c:dLbl>
              <c:idx val="681"/>
              <c:layout>
                <c:manualLayout>
                  <c:x val="-6.4353358096860019E-2"/>
                  <c:y val="0.20462537243954695"/>
                </c:manualLayout>
              </c:layout>
              <c:tx>
                <c:strRef>
                  <c:f>Exhibits!$EK$178</c:f>
                  <c:strCache>
                    <c:ptCount val="1"/>
                    <c:pt idx="0">
                      <c:v>Blaine Hurst appointed President</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{9251096B-4AD3-42CD-9555-2CCB948D87CF}</c15:txfldGUID>
                      <c15:f>Exhibits!$EK$178</c15:f>
                      <c15:dlblFieldTableCache>
                        <c:ptCount val="1"/>
                        <c:pt idx="0">
                          <c:v>Blaine Hurst appointed President</c:v>
                        </c:pt>
                      </c15:dlblFieldTableCache>
                    </c15:dlblFTEntry>
                  </c15:dlblFieldTable>
                  <c15:showDataLabelsRange val="1"/>
                </c:ext>
                <c:ext xmlns:c16="http://schemas.microsoft.com/office/drawing/2014/chart" uri="{C3380CC4-5D6E-409C-BE32-E72D297353CC}">
                  <c16:uniqueId val="{000002AB-A7E4-430C-9E3D-D851F3DD4F29}"/>
                </c:ext>
              </c:extLst>
            </c:dLbl>
            <c:dLbl>
              <c:idx val="68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C-A7E4-430C-9E3D-D851F3DD4F29}"/>
                </c:ext>
              </c:extLst>
            </c:dLbl>
            <c:dLbl>
              <c:idx val="68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D-A7E4-430C-9E3D-D851F3DD4F29}"/>
                </c:ext>
              </c:extLst>
            </c:dLbl>
            <c:dLbl>
              <c:idx val="68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E-A7E4-430C-9E3D-D851F3DD4F29}"/>
                </c:ext>
              </c:extLst>
            </c:dLbl>
            <c:dLbl>
              <c:idx val="68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AF-A7E4-430C-9E3D-D851F3DD4F29}"/>
                </c:ext>
              </c:extLst>
            </c:dLbl>
            <c:dLbl>
              <c:idx val="68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0-A7E4-430C-9E3D-D851F3DD4F29}"/>
                </c:ext>
              </c:extLst>
            </c:dLbl>
            <c:dLbl>
              <c:idx val="68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1-A7E4-430C-9E3D-D851F3DD4F29}"/>
                </c:ext>
              </c:extLst>
            </c:dLbl>
            <c:dLbl>
              <c:idx val="68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2-A7E4-430C-9E3D-D851F3DD4F29}"/>
                </c:ext>
              </c:extLst>
            </c:dLbl>
            <c:dLbl>
              <c:idx val="68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3-A7E4-430C-9E3D-D851F3DD4F29}"/>
                </c:ext>
              </c:extLst>
            </c:dLbl>
            <c:dLbl>
              <c:idx val="69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4-A7E4-430C-9E3D-D851F3DD4F29}"/>
                </c:ext>
              </c:extLst>
            </c:dLbl>
            <c:dLbl>
              <c:idx val="69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5-A7E4-430C-9E3D-D851F3DD4F29}"/>
                </c:ext>
              </c:extLst>
            </c:dLbl>
            <c:dLbl>
              <c:idx val="69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6-A7E4-430C-9E3D-D851F3DD4F29}"/>
                </c:ext>
              </c:extLst>
            </c:dLbl>
            <c:dLbl>
              <c:idx val="69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7-A7E4-430C-9E3D-D851F3DD4F29}"/>
                </c:ext>
              </c:extLst>
            </c:dLbl>
            <c:dLbl>
              <c:idx val="69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8-A7E4-430C-9E3D-D851F3DD4F29}"/>
                </c:ext>
              </c:extLst>
            </c:dLbl>
            <c:dLbl>
              <c:idx val="69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9-A7E4-430C-9E3D-D851F3DD4F29}"/>
                </c:ext>
              </c:extLst>
            </c:dLbl>
            <c:dLbl>
              <c:idx val="69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A-A7E4-430C-9E3D-D851F3DD4F29}"/>
                </c:ext>
              </c:extLst>
            </c:dLbl>
            <c:dLbl>
              <c:idx val="69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B-A7E4-430C-9E3D-D851F3DD4F29}"/>
                </c:ext>
              </c:extLst>
            </c:dLbl>
            <c:dLbl>
              <c:idx val="69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C-A7E4-430C-9E3D-D851F3DD4F29}"/>
                </c:ext>
              </c:extLst>
            </c:dLbl>
            <c:dLbl>
              <c:idx val="69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D-A7E4-430C-9E3D-D851F3DD4F29}"/>
                </c:ext>
              </c:extLst>
            </c:dLbl>
            <c:dLbl>
              <c:idx val="70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E-A7E4-430C-9E3D-D851F3DD4F29}"/>
                </c:ext>
              </c:extLst>
            </c:dLbl>
            <c:dLbl>
              <c:idx val="70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BF-A7E4-430C-9E3D-D851F3DD4F29}"/>
                </c:ext>
              </c:extLst>
            </c:dLbl>
            <c:dLbl>
              <c:idx val="70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0-A7E4-430C-9E3D-D851F3DD4F29}"/>
                </c:ext>
              </c:extLst>
            </c:dLbl>
            <c:dLbl>
              <c:idx val="70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1-A7E4-430C-9E3D-D851F3DD4F29}"/>
                </c:ext>
              </c:extLst>
            </c:dLbl>
            <c:dLbl>
              <c:idx val="704"/>
              <c:layout>
                <c:manualLayout>
                  <c:x val="-7.6759061833688705E-2"/>
                  <c:y val="-0.37732252782961112"/>
                </c:manualLayout>
              </c:layout>
              <c:tx>
                <c:strRef>
                  <c:f>Exhibits!$EK$155</c:f>
                  <c:strCache>
                    <c:ptCount val="1"/>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layout>
                    <c:manualLayout>
                      <c:w val="0.13652452025586354"/>
                      <c:h val="9.0860786397449503E-2"/>
                    </c:manualLayout>
                  </c15:layout>
                  <c15:dlblFieldTable>
                    <c15:dlblFTEntry>
                      <c15:txfldGUID>{A304C500-1F6C-486C-946F-1FDBDFBC92F3}</c15:txfldGUID>
                      <c15:f>Exhibits!$EK$155</c15:f>
                      <c15:dlblFieldTableCache>
                        <c:ptCount val="1"/>
                      </c15:dlblFieldTableCache>
                    </c15:dlblFTEntry>
                  </c15:dlblFieldTable>
                  <c15:showDataLabelsRange val="1"/>
                </c:ext>
                <c:ext xmlns:c16="http://schemas.microsoft.com/office/drawing/2014/chart" uri="{C3380CC4-5D6E-409C-BE32-E72D297353CC}">
                  <c16:uniqueId val="{000002C2-A7E4-430C-9E3D-D851F3DD4F29}"/>
                </c:ext>
              </c:extLst>
            </c:dLbl>
            <c:dLbl>
              <c:idx val="70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3-A7E4-430C-9E3D-D851F3DD4F29}"/>
                </c:ext>
              </c:extLst>
            </c:dLbl>
            <c:dLbl>
              <c:idx val="70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4-A7E4-430C-9E3D-D851F3DD4F29}"/>
                </c:ext>
              </c:extLst>
            </c:dLbl>
            <c:dLbl>
              <c:idx val="70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5-A7E4-430C-9E3D-D851F3DD4F29}"/>
                </c:ext>
              </c:extLst>
            </c:dLbl>
            <c:dLbl>
              <c:idx val="70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6-A7E4-430C-9E3D-D851F3DD4F29}"/>
                </c:ext>
              </c:extLst>
            </c:dLbl>
            <c:dLbl>
              <c:idx val="70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7-A7E4-430C-9E3D-D851F3DD4F29}"/>
                </c:ext>
              </c:extLst>
            </c:dLbl>
            <c:dLbl>
              <c:idx val="71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8-A7E4-430C-9E3D-D851F3DD4F29}"/>
                </c:ext>
              </c:extLst>
            </c:dLbl>
            <c:dLbl>
              <c:idx val="71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9-A7E4-430C-9E3D-D851F3DD4F29}"/>
                </c:ext>
              </c:extLst>
            </c:dLbl>
            <c:dLbl>
              <c:idx val="71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A-A7E4-430C-9E3D-D851F3DD4F29}"/>
                </c:ext>
              </c:extLst>
            </c:dLbl>
            <c:dLbl>
              <c:idx val="71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B-A7E4-430C-9E3D-D851F3DD4F29}"/>
                </c:ext>
              </c:extLst>
            </c:dLbl>
            <c:dLbl>
              <c:idx val="71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C-A7E4-430C-9E3D-D851F3DD4F29}"/>
                </c:ext>
              </c:extLst>
            </c:dLbl>
            <c:dLbl>
              <c:idx val="71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D-A7E4-430C-9E3D-D851F3DD4F29}"/>
                </c:ext>
              </c:extLst>
            </c:dLbl>
            <c:dLbl>
              <c:idx val="71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E-A7E4-430C-9E3D-D851F3DD4F29}"/>
                </c:ext>
              </c:extLst>
            </c:dLbl>
            <c:dLbl>
              <c:idx val="71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CF-A7E4-430C-9E3D-D851F3DD4F29}"/>
                </c:ext>
              </c:extLst>
            </c:dLbl>
            <c:dLbl>
              <c:idx val="71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0-A7E4-430C-9E3D-D851F3DD4F29}"/>
                </c:ext>
              </c:extLst>
            </c:dLbl>
            <c:dLbl>
              <c:idx val="71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1-A7E4-430C-9E3D-D851F3DD4F29}"/>
                </c:ext>
              </c:extLst>
            </c:dLbl>
            <c:dLbl>
              <c:idx val="72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2-A7E4-430C-9E3D-D851F3DD4F29}"/>
                </c:ext>
              </c:extLst>
            </c:dLbl>
            <c:dLbl>
              <c:idx val="721"/>
              <c:layout>
                <c:manualLayout>
                  <c:x val="-1.4936832172781045E-2"/>
                  <c:y val="-0.28518802965712803"/>
                </c:manualLayout>
              </c:layout>
              <c:tx>
                <c:strRef>
                  <c:f>Exhibits!$EK$138</c:f>
                  <c:strCache>
                    <c:ptCount val="1"/>
                    <c:pt idx="0">
                      <c:v>Strong Q3 profits stemming from delivery and Panera 2.0 initiatives</c:v>
                    </c:pt>
                  </c:strCache>
                </c:strRef>
              </c:tx>
              <c:spPr>
                <a:noFill/>
                <a:ln>
                  <a:noFill/>
                </a:ln>
                <a:effectLst/>
              </c:spPr>
              <c:txPr>
                <a:bodyPr rot="0" spcFirstLastPara="1" vertOverflow="clip" horzOverflow="clip" vert="horz" wrap="square" lIns="38100" tIns="19050" rIns="38100" bIns="19050" anchor="ctr" anchorCtr="0">
                  <a:no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5129326986241207"/>
                      <c:h val="0.16724411708143266"/>
                    </c:manualLayout>
                  </c15:layout>
                  <c15:dlblFieldTable>
                    <c15:dlblFTEntry>
                      <c15:txfldGUID>{0140092A-729E-41A8-9306-E413F0346771}</c15:txfldGUID>
                      <c15:f>Exhibits!$EK$138</c15:f>
                      <c15:dlblFieldTableCache>
                        <c:ptCount val="1"/>
                        <c:pt idx="0">
                          <c:v>Strong Q3 profits stemming from delivery and Panera 2.0 initiatives</c:v>
                        </c:pt>
                      </c15:dlblFieldTableCache>
                    </c15:dlblFTEntry>
                  </c15:dlblFieldTable>
                  <c15:showDataLabelsRange val="1"/>
                </c:ext>
                <c:ext xmlns:c16="http://schemas.microsoft.com/office/drawing/2014/chart" uri="{C3380CC4-5D6E-409C-BE32-E72D297353CC}">
                  <c16:uniqueId val="{000002D3-A7E4-430C-9E3D-D851F3DD4F29}"/>
                </c:ext>
              </c:extLst>
            </c:dLbl>
            <c:dLbl>
              <c:idx val="72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4-A7E4-430C-9E3D-D851F3DD4F29}"/>
                </c:ext>
              </c:extLst>
            </c:dLbl>
            <c:dLbl>
              <c:idx val="72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5-A7E4-430C-9E3D-D851F3DD4F29}"/>
                </c:ext>
              </c:extLst>
            </c:dLbl>
            <c:dLbl>
              <c:idx val="72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6-A7E4-430C-9E3D-D851F3DD4F29}"/>
                </c:ext>
              </c:extLst>
            </c:dLbl>
            <c:dLbl>
              <c:idx val="72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7-A7E4-430C-9E3D-D851F3DD4F29}"/>
                </c:ext>
              </c:extLst>
            </c:dLbl>
            <c:dLbl>
              <c:idx val="72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8-A7E4-430C-9E3D-D851F3DD4F29}"/>
                </c:ext>
              </c:extLst>
            </c:dLbl>
            <c:dLbl>
              <c:idx val="72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9-A7E4-430C-9E3D-D851F3DD4F29}"/>
                </c:ext>
              </c:extLst>
            </c:dLbl>
            <c:dLbl>
              <c:idx val="72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A-A7E4-430C-9E3D-D851F3DD4F29}"/>
                </c:ext>
              </c:extLst>
            </c:dLbl>
            <c:dLbl>
              <c:idx val="72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B-A7E4-430C-9E3D-D851F3DD4F29}"/>
                </c:ext>
              </c:extLst>
            </c:dLbl>
            <c:dLbl>
              <c:idx val="73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C-A7E4-430C-9E3D-D851F3DD4F29}"/>
                </c:ext>
              </c:extLst>
            </c:dLbl>
            <c:dLbl>
              <c:idx val="73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D-A7E4-430C-9E3D-D851F3DD4F29}"/>
                </c:ext>
              </c:extLst>
            </c:dLbl>
            <c:dLbl>
              <c:idx val="73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E-A7E4-430C-9E3D-D851F3DD4F29}"/>
                </c:ext>
              </c:extLst>
            </c:dLbl>
            <c:dLbl>
              <c:idx val="73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DF-A7E4-430C-9E3D-D851F3DD4F29}"/>
                </c:ext>
              </c:extLst>
            </c:dLbl>
            <c:dLbl>
              <c:idx val="73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0-A7E4-430C-9E3D-D851F3DD4F29}"/>
                </c:ext>
              </c:extLst>
            </c:dLbl>
            <c:dLbl>
              <c:idx val="73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1-A7E4-430C-9E3D-D851F3DD4F29}"/>
                </c:ext>
              </c:extLst>
            </c:dLbl>
            <c:dLbl>
              <c:idx val="73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2-A7E4-430C-9E3D-D851F3DD4F29}"/>
                </c:ext>
              </c:extLst>
            </c:dLbl>
            <c:dLbl>
              <c:idx val="73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3-A7E4-430C-9E3D-D851F3DD4F29}"/>
                </c:ext>
              </c:extLst>
            </c:dLbl>
            <c:dLbl>
              <c:idx val="73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4-A7E4-430C-9E3D-D851F3DD4F29}"/>
                </c:ext>
              </c:extLst>
            </c:dLbl>
            <c:dLbl>
              <c:idx val="73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5-A7E4-430C-9E3D-D851F3DD4F29}"/>
                </c:ext>
              </c:extLst>
            </c:dLbl>
            <c:dLbl>
              <c:idx val="74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6-A7E4-430C-9E3D-D851F3DD4F29}"/>
                </c:ext>
              </c:extLst>
            </c:dLbl>
            <c:dLbl>
              <c:idx val="74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7-A7E4-430C-9E3D-D851F3DD4F29}"/>
                </c:ext>
              </c:extLst>
            </c:dLbl>
            <c:dLbl>
              <c:idx val="74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8-A7E4-430C-9E3D-D851F3DD4F29}"/>
                </c:ext>
              </c:extLst>
            </c:dLbl>
            <c:dLbl>
              <c:idx val="74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9-A7E4-430C-9E3D-D851F3DD4F29}"/>
                </c:ext>
              </c:extLst>
            </c:dLbl>
            <c:dLbl>
              <c:idx val="74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A-A7E4-430C-9E3D-D851F3DD4F29}"/>
                </c:ext>
              </c:extLst>
            </c:dLbl>
            <c:dLbl>
              <c:idx val="74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B-A7E4-430C-9E3D-D851F3DD4F29}"/>
                </c:ext>
              </c:extLst>
            </c:dLbl>
            <c:dLbl>
              <c:idx val="74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C-A7E4-430C-9E3D-D851F3DD4F29}"/>
                </c:ext>
              </c:extLst>
            </c:dLbl>
            <c:dLbl>
              <c:idx val="74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D-A7E4-430C-9E3D-D851F3DD4F29}"/>
                </c:ext>
              </c:extLst>
            </c:dLbl>
            <c:dLbl>
              <c:idx val="748"/>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E-A7E4-430C-9E3D-D851F3DD4F29}"/>
                </c:ext>
              </c:extLst>
            </c:dLbl>
            <c:dLbl>
              <c:idx val="749"/>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EF-A7E4-430C-9E3D-D851F3DD4F29}"/>
                </c:ext>
              </c:extLst>
            </c:dLbl>
            <c:dLbl>
              <c:idx val="750"/>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0-A7E4-430C-9E3D-D851F3DD4F29}"/>
                </c:ext>
              </c:extLst>
            </c:dLbl>
            <c:dLbl>
              <c:idx val="751"/>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1-A7E4-430C-9E3D-D851F3DD4F29}"/>
                </c:ext>
              </c:extLst>
            </c:dLbl>
            <c:dLbl>
              <c:idx val="752"/>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2-A7E4-430C-9E3D-D851F3DD4F29}"/>
                </c:ext>
              </c:extLst>
            </c:dLbl>
            <c:dLbl>
              <c:idx val="753"/>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3-A7E4-430C-9E3D-D851F3DD4F29}"/>
                </c:ext>
              </c:extLst>
            </c:dLbl>
            <c:dLbl>
              <c:idx val="754"/>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4-A7E4-430C-9E3D-D851F3DD4F29}"/>
                </c:ext>
              </c:extLst>
            </c:dLbl>
            <c:dLbl>
              <c:idx val="755"/>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5-A7E4-430C-9E3D-D851F3DD4F29}"/>
                </c:ext>
              </c:extLst>
            </c:dLbl>
            <c:dLbl>
              <c:idx val="756"/>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6-A7E4-430C-9E3D-D851F3DD4F29}"/>
                </c:ext>
              </c:extLst>
            </c:dLbl>
            <c:dLbl>
              <c:idx val="757"/>
              <c:tx>
                <c:rich>
                  <a:bodyPr/>
                  <a:lstStyle/>
                  <a:p>
                    <a:endParaRPr lang="en-US"/>
                  </a:p>
                </c:rich>
              </c:tx>
              <c:dLblPos val="l"/>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2F7-A7E4-430C-9E3D-D851F3DD4F29}"/>
                </c:ext>
              </c:extLst>
            </c:dLbl>
            <c:spPr>
              <a:noFill/>
              <a:ln>
                <a:noFill/>
              </a:ln>
              <a:effectLst/>
            </c:spPr>
            <c:txPr>
              <a:bodyPr rot="0" spcFirstLastPara="1" vertOverflow="clip" horzOverflow="clip" vert="horz" wrap="square" lIns="38100" tIns="19050" rIns="38100" bIns="19050" anchor="ctr" anchorCtr="0">
                <a:spAutoFit/>
              </a:bodyPr>
              <a:lstStyle/>
              <a:p>
                <a:pPr algn="ctr">
                  <a:defRPr sz="700" b="0" i="0" u="none" strike="noStrike" kern="1200" baseline="0">
                    <a:solidFill>
                      <a:schemeClr val="tx1">
                        <a:lumMod val="75000"/>
                        <a:lumOff val="25000"/>
                      </a:schemeClr>
                    </a:solidFill>
                    <a:latin typeface="+mn-lt"/>
                    <a:ea typeface="+mn-ea"/>
                    <a:cs typeface="+mn-cs"/>
                  </a:defRPr>
                </a:pPr>
                <a:endParaRPr lang="es-AR"/>
              </a:p>
            </c:txPr>
            <c:dLblPos val="l"/>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6350" cap="flat" cmpd="sng" algn="ctr">
                      <a:solidFill>
                        <a:schemeClr val="tx1">
                          <a:lumMod val="35000"/>
                          <a:lumOff val="65000"/>
                        </a:schemeClr>
                      </a:solidFill>
                      <a:round/>
                    </a:ln>
                    <a:effectLst/>
                  </c:spPr>
                </c15:leaderLines>
              </c:ext>
            </c:extLst>
          </c:dLbls>
          <c:cat>
            <c:numRef>
              <c:f>Exhibits!$EE$102:$EE$859</c:f>
              <c:numCache>
                <c:formatCode>m/d/yyyy</c:formatCode>
                <c:ptCount val="758"/>
                <c:pt idx="0">
                  <c:v>42825</c:v>
                </c:pt>
                <c:pt idx="1">
                  <c:v>42824</c:v>
                </c:pt>
                <c:pt idx="2">
                  <c:v>42823</c:v>
                </c:pt>
                <c:pt idx="3">
                  <c:v>42822</c:v>
                </c:pt>
                <c:pt idx="4">
                  <c:v>42821</c:v>
                </c:pt>
                <c:pt idx="5">
                  <c:v>42818</c:v>
                </c:pt>
                <c:pt idx="6">
                  <c:v>42817</c:v>
                </c:pt>
                <c:pt idx="7">
                  <c:v>42816</c:v>
                </c:pt>
                <c:pt idx="8">
                  <c:v>42815</c:v>
                </c:pt>
                <c:pt idx="9">
                  <c:v>42814</c:v>
                </c:pt>
                <c:pt idx="10">
                  <c:v>42811</c:v>
                </c:pt>
                <c:pt idx="11">
                  <c:v>42810</c:v>
                </c:pt>
                <c:pt idx="12">
                  <c:v>42809</c:v>
                </c:pt>
                <c:pt idx="13">
                  <c:v>42808</c:v>
                </c:pt>
                <c:pt idx="14">
                  <c:v>42807</c:v>
                </c:pt>
                <c:pt idx="15">
                  <c:v>42804</c:v>
                </c:pt>
                <c:pt idx="16">
                  <c:v>42803</c:v>
                </c:pt>
                <c:pt idx="17">
                  <c:v>42802</c:v>
                </c:pt>
                <c:pt idx="18">
                  <c:v>42801</c:v>
                </c:pt>
                <c:pt idx="19">
                  <c:v>42800</c:v>
                </c:pt>
                <c:pt idx="20">
                  <c:v>42797</c:v>
                </c:pt>
                <c:pt idx="21">
                  <c:v>42796</c:v>
                </c:pt>
                <c:pt idx="22">
                  <c:v>42795</c:v>
                </c:pt>
                <c:pt idx="23">
                  <c:v>42794</c:v>
                </c:pt>
                <c:pt idx="24">
                  <c:v>42793</c:v>
                </c:pt>
                <c:pt idx="25">
                  <c:v>42790</c:v>
                </c:pt>
                <c:pt idx="26">
                  <c:v>42789</c:v>
                </c:pt>
                <c:pt idx="27">
                  <c:v>42788</c:v>
                </c:pt>
                <c:pt idx="28">
                  <c:v>42787</c:v>
                </c:pt>
                <c:pt idx="29">
                  <c:v>42783</c:v>
                </c:pt>
                <c:pt idx="30">
                  <c:v>42782</c:v>
                </c:pt>
                <c:pt idx="31">
                  <c:v>42781</c:v>
                </c:pt>
                <c:pt idx="32">
                  <c:v>42780</c:v>
                </c:pt>
                <c:pt idx="33">
                  <c:v>42779</c:v>
                </c:pt>
                <c:pt idx="34">
                  <c:v>42776</c:v>
                </c:pt>
                <c:pt idx="35">
                  <c:v>42775</c:v>
                </c:pt>
                <c:pt idx="36">
                  <c:v>42774</c:v>
                </c:pt>
                <c:pt idx="37">
                  <c:v>42773</c:v>
                </c:pt>
                <c:pt idx="38">
                  <c:v>42772</c:v>
                </c:pt>
                <c:pt idx="39">
                  <c:v>42769</c:v>
                </c:pt>
                <c:pt idx="40">
                  <c:v>42768</c:v>
                </c:pt>
                <c:pt idx="41">
                  <c:v>42767</c:v>
                </c:pt>
                <c:pt idx="42">
                  <c:v>42766</c:v>
                </c:pt>
                <c:pt idx="43">
                  <c:v>42765</c:v>
                </c:pt>
                <c:pt idx="44">
                  <c:v>42762</c:v>
                </c:pt>
                <c:pt idx="45">
                  <c:v>42761</c:v>
                </c:pt>
                <c:pt idx="46">
                  <c:v>42760</c:v>
                </c:pt>
                <c:pt idx="47">
                  <c:v>42759</c:v>
                </c:pt>
                <c:pt idx="48">
                  <c:v>42758</c:v>
                </c:pt>
                <c:pt idx="49">
                  <c:v>42755</c:v>
                </c:pt>
                <c:pt idx="50">
                  <c:v>42754</c:v>
                </c:pt>
                <c:pt idx="51">
                  <c:v>42753</c:v>
                </c:pt>
                <c:pt idx="52">
                  <c:v>42752</c:v>
                </c:pt>
                <c:pt idx="53">
                  <c:v>42748</c:v>
                </c:pt>
                <c:pt idx="54">
                  <c:v>42747</c:v>
                </c:pt>
                <c:pt idx="55">
                  <c:v>42746</c:v>
                </c:pt>
                <c:pt idx="56">
                  <c:v>42745</c:v>
                </c:pt>
                <c:pt idx="57">
                  <c:v>42744</c:v>
                </c:pt>
                <c:pt idx="58">
                  <c:v>42741</c:v>
                </c:pt>
                <c:pt idx="59">
                  <c:v>42740</c:v>
                </c:pt>
                <c:pt idx="60">
                  <c:v>42739</c:v>
                </c:pt>
                <c:pt idx="61">
                  <c:v>42738</c:v>
                </c:pt>
                <c:pt idx="62">
                  <c:v>42734</c:v>
                </c:pt>
                <c:pt idx="63">
                  <c:v>42733</c:v>
                </c:pt>
                <c:pt idx="64">
                  <c:v>42732</c:v>
                </c:pt>
                <c:pt idx="65">
                  <c:v>42731</c:v>
                </c:pt>
                <c:pt idx="66">
                  <c:v>42727</c:v>
                </c:pt>
                <c:pt idx="67">
                  <c:v>42726</c:v>
                </c:pt>
                <c:pt idx="68">
                  <c:v>42725</c:v>
                </c:pt>
                <c:pt idx="69">
                  <c:v>42724</c:v>
                </c:pt>
                <c:pt idx="70">
                  <c:v>42723</c:v>
                </c:pt>
                <c:pt idx="71">
                  <c:v>42720</c:v>
                </c:pt>
                <c:pt idx="72">
                  <c:v>42719</c:v>
                </c:pt>
                <c:pt idx="73">
                  <c:v>42718</c:v>
                </c:pt>
                <c:pt idx="74">
                  <c:v>42717</c:v>
                </c:pt>
                <c:pt idx="75">
                  <c:v>42716</c:v>
                </c:pt>
                <c:pt idx="76">
                  <c:v>42713</c:v>
                </c:pt>
                <c:pt idx="77">
                  <c:v>42712</c:v>
                </c:pt>
                <c:pt idx="78">
                  <c:v>42711</c:v>
                </c:pt>
                <c:pt idx="79">
                  <c:v>42710</c:v>
                </c:pt>
                <c:pt idx="80">
                  <c:v>42709</c:v>
                </c:pt>
                <c:pt idx="81">
                  <c:v>42706</c:v>
                </c:pt>
                <c:pt idx="82">
                  <c:v>42705</c:v>
                </c:pt>
                <c:pt idx="83">
                  <c:v>42704</c:v>
                </c:pt>
                <c:pt idx="84">
                  <c:v>42703</c:v>
                </c:pt>
                <c:pt idx="85">
                  <c:v>42702</c:v>
                </c:pt>
                <c:pt idx="86">
                  <c:v>42699</c:v>
                </c:pt>
                <c:pt idx="87">
                  <c:v>42697</c:v>
                </c:pt>
                <c:pt idx="88">
                  <c:v>42696</c:v>
                </c:pt>
                <c:pt idx="89">
                  <c:v>42695</c:v>
                </c:pt>
                <c:pt idx="90">
                  <c:v>42692</c:v>
                </c:pt>
                <c:pt idx="91">
                  <c:v>42691</c:v>
                </c:pt>
                <c:pt idx="92">
                  <c:v>42690</c:v>
                </c:pt>
                <c:pt idx="93">
                  <c:v>42689</c:v>
                </c:pt>
                <c:pt idx="94">
                  <c:v>42688</c:v>
                </c:pt>
                <c:pt idx="95">
                  <c:v>42685</c:v>
                </c:pt>
                <c:pt idx="96">
                  <c:v>42684</c:v>
                </c:pt>
                <c:pt idx="97">
                  <c:v>42683</c:v>
                </c:pt>
                <c:pt idx="98">
                  <c:v>42682</c:v>
                </c:pt>
                <c:pt idx="99">
                  <c:v>42681</c:v>
                </c:pt>
                <c:pt idx="100">
                  <c:v>42678</c:v>
                </c:pt>
                <c:pt idx="101">
                  <c:v>42677</c:v>
                </c:pt>
                <c:pt idx="102">
                  <c:v>42676</c:v>
                </c:pt>
                <c:pt idx="103">
                  <c:v>42675</c:v>
                </c:pt>
                <c:pt idx="104">
                  <c:v>42674</c:v>
                </c:pt>
                <c:pt idx="105">
                  <c:v>42671</c:v>
                </c:pt>
                <c:pt idx="106">
                  <c:v>42670</c:v>
                </c:pt>
                <c:pt idx="107">
                  <c:v>42669</c:v>
                </c:pt>
                <c:pt idx="108">
                  <c:v>42668</c:v>
                </c:pt>
                <c:pt idx="109">
                  <c:v>42667</c:v>
                </c:pt>
                <c:pt idx="110">
                  <c:v>42664</c:v>
                </c:pt>
                <c:pt idx="111">
                  <c:v>42663</c:v>
                </c:pt>
                <c:pt idx="112">
                  <c:v>42662</c:v>
                </c:pt>
                <c:pt idx="113">
                  <c:v>42661</c:v>
                </c:pt>
                <c:pt idx="114">
                  <c:v>42660</c:v>
                </c:pt>
                <c:pt idx="115">
                  <c:v>42657</c:v>
                </c:pt>
                <c:pt idx="116">
                  <c:v>42656</c:v>
                </c:pt>
                <c:pt idx="117">
                  <c:v>42655</c:v>
                </c:pt>
                <c:pt idx="118">
                  <c:v>42654</c:v>
                </c:pt>
                <c:pt idx="119">
                  <c:v>42653</c:v>
                </c:pt>
                <c:pt idx="120">
                  <c:v>42650</c:v>
                </c:pt>
                <c:pt idx="121">
                  <c:v>42649</c:v>
                </c:pt>
                <c:pt idx="122">
                  <c:v>42648</c:v>
                </c:pt>
                <c:pt idx="123">
                  <c:v>42647</c:v>
                </c:pt>
                <c:pt idx="124">
                  <c:v>42646</c:v>
                </c:pt>
                <c:pt idx="125">
                  <c:v>42643</c:v>
                </c:pt>
                <c:pt idx="126">
                  <c:v>42642</c:v>
                </c:pt>
                <c:pt idx="127">
                  <c:v>42641</c:v>
                </c:pt>
                <c:pt idx="128">
                  <c:v>42640</c:v>
                </c:pt>
                <c:pt idx="129">
                  <c:v>42639</c:v>
                </c:pt>
                <c:pt idx="130">
                  <c:v>42636</c:v>
                </c:pt>
                <c:pt idx="131">
                  <c:v>42635</c:v>
                </c:pt>
                <c:pt idx="132">
                  <c:v>42634</c:v>
                </c:pt>
                <c:pt idx="133">
                  <c:v>42633</c:v>
                </c:pt>
                <c:pt idx="134">
                  <c:v>42632</c:v>
                </c:pt>
                <c:pt idx="135">
                  <c:v>42629</c:v>
                </c:pt>
                <c:pt idx="136">
                  <c:v>42628</c:v>
                </c:pt>
                <c:pt idx="137">
                  <c:v>42627</c:v>
                </c:pt>
                <c:pt idx="138">
                  <c:v>42626</c:v>
                </c:pt>
                <c:pt idx="139">
                  <c:v>42625</c:v>
                </c:pt>
                <c:pt idx="140">
                  <c:v>42622</c:v>
                </c:pt>
                <c:pt idx="141">
                  <c:v>42621</c:v>
                </c:pt>
                <c:pt idx="142">
                  <c:v>42620</c:v>
                </c:pt>
                <c:pt idx="143">
                  <c:v>42619</c:v>
                </c:pt>
                <c:pt idx="144">
                  <c:v>42615</c:v>
                </c:pt>
                <c:pt idx="145">
                  <c:v>42614</c:v>
                </c:pt>
                <c:pt idx="146">
                  <c:v>42613</c:v>
                </c:pt>
                <c:pt idx="147">
                  <c:v>42612</c:v>
                </c:pt>
                <c:pt idx="148">
                  <c:v>42611</c:v>
                </c:pt>
                <c:pt idx="149">
                  <c:v>42608</c:v>
                </c:pt>
                <c:pt idx="150">
                  <c:v>42607</c:v>
                </c:pt>
                <c:pt idx="151">
                  <c:v>42606</c:v>
                </c:pt>
                <c:pt idx="152">
                  <c:v>42605</c:v>
                </c:pt>
                <c:pt idx="153">
                  <c:v>42604</c:v>
                </c:pt>
                <c:pt idx="154">
                  <c:v>42601</c:v>
                </c:pt>
                <c:pt idx="155">
                  <c:v>42600</c:v>
                </c:pt>
                <c:pt idx="156">
                  <c:v>42599</c:v>
                </c:pt>
                <c:pt idx="157">
                  <c:v>42598</c:v>
                </c:pt>
                <c:pt idx="158">
                  <c:v>42597</c:v>
                </c:pt>
                <c:pt idx="159">
                  <c:v>42594</c:v>
                </c:pt>
                <c:pt idx="160">
                  <c:v>42593</c:v>
                </c:pt>
                <c:pt idx="161">
                  <c:v>42592</c:v>
                </c:pt>
                <c:pt idx="162">
                  <c:v>42591</c:v>
                </c:pt>
                <c:pt idx="163">
                  <c:v>42590</c:v>
                </c:pt>
                <c:pt idx="164">
                  <c:v>42587</c:v>
                </c:pt>
                <c:pt idx="165">
                  <c:v>42586</c:v>
                </c:pt>
                <c:pt idx="166">
                  <c:v>42585</c:v>
                </c:pt>
                <c:pt idx="167">
                  <c:v>42584</c:v>
                </c:pt>
                <c:pt idx="168">
                  <c:v>42583</c:v>
                </c:pt>
                <c:pt idx="169">
                  <c:v>42580</c:v>
                </c:pt>
                <c:pt idx="170">
                  <c:v>42579</c:v>
                </c:pt>
                <c:pt idx="171">
                  <c:v>42578</c:v>
                </c:pt>
                <c:pt idx="172">
                  <c:v>42577</c:v>
                </c:pt>
                <c:pt idx="173">
                  <c:v>42576</c:v>
                </c:pt>
                <c:pt idx="174">
                  <c:v>42573</c:v>
                </c:pt>
                <c:pt idx="175">
                  <c:v>42572</c:v>
                </c:pt>
                <c:pt idx="176">
                  <c:v>42571</c:v>
                </c:pt>
                <c:pt idx="177">
                  <c:v>42570</c:v>
                </c:pt>
                <c:pt idx="178">
                  <c:v>42569</c:v>
                </c:pt>
                <c:pt idx="179">
                  <c:v>42566</c:v>
                </c:pt>
                <c:pt idx="180">
                  <c:v>42565</c:v>
                </c:pt>
                <c:pt idx="181">
                  <c:v>42564</c:v>
                </c:pt>
                <c:pt idx="182">
                  <c:v>42563</c:v>
                </c:pt>
                <c:pt idx="183">
                  <c:v>42562</c:v>
                </c:pt>
                <c:pt idx="184">
                  <c:v>42559</c:v>
                </c:pt>
                <c:pt idx="185">
                  <c:v>42558</c:v>
                </c:pt>
                <c:pt idx="186">
                  <c:v>42557</c:v>
                </c:pt>
                <c:pt idx="187">
                  <c:v>42556</c:v>
                </c:pt>
                <c:pt idx="188">
                  <c:v>42552</c:v>
                </c:pt>
                <c:pt idx="189">
                  <c:v>42551</c:v>
                </c:pt>
                <c:pt idx="190">
                  <c:v>42550</c:v>
                </c:pt>
                <c:pt idx="191">
                  <c:v>42549</c:v>
                </c:pt>
                <c:pt idx="192">
                  <c:v>42548</c:v>
                </c:pt>
                <c:pt idx="193">
                  <c:v>42545</c:v>
                </c:pt>
                <c:pt idx="194">
                  <c:v>42544</c:v>
                </c:pt>
                <c:pt idx="195">
                  <c:v>42543</c:v>
                </c:pt>
                <c:pt idx="196">
                  <c:v>42542</c:v>
                </c:pt>
                <c:pt idx="197">
                  <c:v>42541</c:v>
                </c:pt>
                <c:pt idx="198">
                  <c:v>42538</c:v>
                </c:pt>
                <c:pt idx="199">
                  <c:v>42537</c:v>
                </c:pt>
                <c:pt idx="200">
                  <c:v>42536</c:v>
                </c:pt>
                <c:pt idx="201">
                  <c:v>42535</c:v>
                </c:pt>
                <c:pt idx="202">
                  <c:v>42534</c:v>
                </c:pt>
                <c:pt idx="203">
                  <c:v>42531</c:v>
                </c:pt>
                <c:pt idx="204">
                  <c:v>42530</c:v>
                </c:pt>
                <c:pt idx="205">
                  <c:v>42529</c:v>
                </c:pt>
                <c:pt idx="206">
                  <c:v>42528</c:v>
                </c:pt>
                <c:pt idx="207">
                  <c:v>42527</c:v>
                </c:pt>
                <c:pt idx="208">
                  <c:v>42524</c:v>
                </c:pt>
                <c:pt idx="209">
                  <c:v>42523</c:v>
                </c:pt>
                <c:pt idx="210">
                  <c:v>42522</c:v>
                </c:pt>
                <c:pt idx="211">
                  <c:v>42521</c:v>
                </c:pt>
                <c:pt idx="212">
                  <c:v>42517</c:v>
                </c:pt>
                <c:pt idx="213">
                  <c:v>42516</c:v>
                </c:pt>
                <c:pt idx="214">
                  <c:v>42515</c:v>
                </c:pt>
                <c:pt idx="215">
                  <c:v>42514</c:v>
                </c:pt>
                <c:pt idx="216">
                  <c:v>42513</c:v>
                </c:pt>
                <c:pt idx="217">
                  <c:v>42510</c:v>
                </c:pt>
                <c:pt idx="218">
                  <c:v>42509</c:v>
                </c:pt>
                <c:pt idx="219">
                  <c:v>42508</c:v>
                </c:pt>
                <c:pt idx="220">
                  <c:v>42507</c:v>
                </c:pt>
                <c:pt idx="221">
                  <c:v>42506</c:v>
                </c:pt>
                <c:pt idx="222">
                  <c:v>42503</c:v>
                </c:pt>
                <c:pt idx="223">
                  <c:v>42502</c:v>
                </c:pt>
                <c:pt idx="224">
                  <c:v>42501</c:v>
                </c:pt>
                <c:pt idx="225">
                  <c:v>42500</c:v>
                </c:pt>
                <c:pt idx="226">
                  <c:v>42499</c:v>
                </c:pt>
                <c:pt idx="227">
                  <c:v>42496</c:v>
                </c:pt>
                <c:pt idx="228">
                  <c:v>42495</c:v>
                </c:pt>
                <c:pt idx="229">
                  <c:v>42494</c:v>
                </c:pt>
                <c:pt idx="230">
                  <c:v>42493</c:v>
                </c:pt>
                <c:pt idx="231">
                  <c:v>42492</c:v>
                </c:pt>
                <c:pt idx="232">
                  <c:v>42489</c:v>
                </c:pt>
                <c:pt idx="233">
                  <c:v>42488</c:v>
                </c:pt>
                <c:pt idx="234">
                  <c:v>42487</c:v>
                </c:pt>
                <c:pt idx="235">
                  <c:v>42486</c:v>
                </c:pt>
                <c:pt idx="236">
                  <c:v>42485</c:v>
                </c:pt>
                <c:pt idx="237">
                  <c:v>42482</c:v>
                </c:pt>
                <c:pt idx="238">
                  <c:v>42481</c:v>
                </c:pt>
                <c:pt idx="239">
                  <c:v>42480</c:v>
                </c:pt>
                <c:pt idx="240">
                  <c:v>42479</c:v>
                </c:pt>
                <c:pt idx="241">
                  <c:v>42478</c:v>
                </c:pt>
                <c:pt idx="242">
                  <c:v>42475</c:v>
                </c:pt>
                <c:pt idx="243">
                  <c:v>42474</c:v>
                </c:pt>
                <c:pt idx="244">
                  <c:v>42473</c:v>
                </c:pt>
                <c:pt idx="245">
                  <c:v>42472</c:v>
                </c:pt>
                <c:pt idx="246">
                  <c:v>42471</c:v>
                </c:pt>
                <c:pt idx="247">
                  <c:v>42468</c:v>
                </c:pt>
                <c:pt idx="248">
                  <c:v>42467</c:v>
                </c:pt>
                <c:pt idx="249">
                  <c:v>42466</c:v>
                </c:pt>
                <c:pt idx="250">
                  <c:v>42465</c:v>
                </c:pt>
                <c:pt idx="251">
                  <c:v>42464</c:v>
                </c:pt>
                <c:pt idx="252">
                  <c:v>42461</c:v>
                </c:pt>
                <c:pt idx="253">
                  <c:v>42460</c:v>
                </c:pt>
                <c:pt idx="254">
                  <c:v>42459</c:v>
                </c:pt>
                <c:pt idx="255">
                  <c:v>42458</c:v>
                </c:pt>
                <c:pt idx="256">
                  <c:v>42457</c:v>
                </c:pt>
                <c:pt idx="257">
                  <c:v>42453</c:v>
                </c:pt>
                <c:pt idx="258">
                  <c:v>42452</c:v>
                </c:pt>
                <c:pt idx="259">
                  <c:v>42451</c:v>
                </c:pt>
                <c:pt idx="260">
                  <c:v>42450</c:v>
                </c:pt>
                <c:pt idx="261">
                  <c:v>42447</c:v>
                </c:pt>
                <c:pt idx="262">
                  <c:v>42446</c:v>
                </c:pt>
                <c:pt idx="263">
                  <c:v>42445</c:v>
                </c:pt>
                <c:pt idx="264">
                  <c:v>42444</c:v>
                </c:pt>
                <c:pt idx="265">
                  <c:v>42443</c:v>
                </c:pt>
                <c:pt idx="266">
                  <c:v>42440</c:v>
                </c:pt>
                <c:pt idx="267">
                  <c:v>42439</c:v>
                </c:pt>
                <c:pt idx="268">
                  <c:v>42438</c:v>
                </c:pt>
                <c:pt idx="269">
                  <c:v>42437</c:v>
                </c:pt>
                <c:pt idx="270">
                  <c:v>42436</c:v>
                </c:pt>
                <c:pt idx="271">
                  <c:v>42433</c:v>
                </c:pt>
                <c:pt idx="272">
                  <c:v>42432</c:v>
                </c:pt>
                <c:pt idx="273">
                  <c:v>42431</c:v>
                </c:pt>
                <c:pt idx="274">
                  <c:v>42430</c:v>
                </c:pt>
                <c:pt idx="275">
                  <c:v>42429</c:v>
                </c:pt>
                <c:pt idx="276">
                  <c:v>42426</c:v>
                </c:pt>
                <c:pt idx="277">
                  <c:v>42425</c:v>
                </c:pt>
                <c:pt idx="278">
                  <c:v>42424</c:v>
                </c:pt>
                <c:pt idx="279">
                  <c:v>42423</c:v>
                </c:pt>
                <c:pt idx="280">
                  <c:v>42422</c:v>
                </c:pt>
                <c:pt idx="281">
                  <c:v>42419</c:v>
                </c:pt>
                <c:pt idx="282">
                  <c:v>42418</c:v>
                </c:pt>
                <c:pt idx="283">
                  <c:v>42417</c:v>
                </c:pt>
                <c:pt idx="284">
                  <c:v>42416</c:v>
                </c:pt>
                <c:pt idx="285">
                  <c:v>42412</c:v>
                </c:pt>
                <c:pt idx="286">
                  <c:v>42411</c:v>
                </c:pt>
                <c:pt idx="287">
                  <c:v>42410</c:v>
                </c:pt>
                <c:pt idx="288">
                  <c:v>42409</c:v>
                </c:pt>
                <c:pt idx="289">
                  <c:v>42408</c:v>
                </c:pt>
                <c:pt idx="290">
                  <c:v>42405</c:v>
                </c:pt>
                <c:pt idx="291">
                  <c:v>42404</c:v>
                </c:pt>
                <c:pt idx="292">
                  <c:v>42403</c:v>
                </c:pt>
                <c:pt idx="293">
                  <c:v>42402</c:v>
                </c:pt>
                <c:pt idx="294">
                  <c:v>42401</c:v>
                </c:pt>
                <c:pt idx="295">
                  <c:v>42398</c:v>
                </c:pt>
                <c:pt idx="296">
                  <c:v>42397</c:v>
                </c:pt>
                <c:pt idx="297">
                  <c:v>42396</c:v>
                </c:pt>
                <c:pt idx="298">
                  <c:v>42395</c:v>
                </c:pt>
                <c:pt idx="299">
                  <c:v>42394</c:v>
                </c:pt>
                <c:pt idx="300">
                  <c:v>42391</c:v>
                </c:pt>
                <c:pt idx="301">
                  <c:v>42390</c:v>
                </c:pt>
                <c:pt idx="302">
                  <c:v>42389</c:v>
                </c:pt>
                <c:pt idx="303">
                  <c:v>42388</c:v>
                </c:pt>
                <c:pt idx="304">
                  <c:v>42384</c:v>
                </c:pt>
                <c:pt idx="305">
                  <c:v>42383</c:v>
                </c:pt>
                <c:pt idx="306">
                  <c:v>42382</c:v>
                </c:pt>
                <c:pt idx="307">
                  <c:v>42381</c:v>
                </c:pt>
                <c:pt idx="308">
                  <c:v>42380</c:v>
                </c:pt>
                <c:pt idx="309">
                  <c:v>42377</c:v>
                </c:pt>
                <c:pt idx="310">
                  <c:v>42376</c:v>
                </c:pt>
                <c:pt idx="311">
                  <c:v>42375</c:v>
                </c:pt>
                <c:pt idx="312">
                  <c:v>42374</c:v>
                </c:pt>
                <c:pt idx="313">
                  <c:v>42373</c:v>
                </c:pt>
                <c:pt idx="314">
                  <c:v>42369</c:v>
                </c:pt>
                <c:pt idx="315">
                  <c:v>42368</c:v>
                </c:pt>
                <c:pt idx="316">
                  <c:v>42367</c:v>
                </c:pt>
                <c:pt idx="317">
                  <c:v>42366</c:v>
                </c:pt>
                <c:pt idx="318">
                  <c:v>42362</c:v>
                </c:pt>
                <c:pt idx="319">
                  <c:v>42361</c:v>
                </c:pt>
                <c:pt idx="320">
                  <c:v>42360</c:v>
                </c:pt>
                <c:pt idx="321">
                  <c:v>42359</c:v>
                </c:pt>
                <c:pt idx="322">
                  <c:v>42356</c:v>
                </c:pt>
                <c:pt idx="323">
                  <c:v>42355</c:v>
                </c:pt>
                <c:pt idx="324">
                  <c:v>42354</c:v>
                </c:pt>
                <c:pt idx="325">
                  <c:v>42353</c:v>
                </c:pt>
                <c:pt idx="326">
                  <c:v>42352</c:v>
                </c:pt>
                <c:pt idx="327">
                  <c:v>42349</c:v>
                </c:pt>
                <c:pt idx="328">
                  <c:v>42348</c:v>
                </c:pt>
                <c:pt idx="329">
                  <c:v>42347</c:v>
                </c:pt>
                <c:pt idx="330">
                  <c:v>42346</c:v>
                </c:pt>
                <c:pt idx="331">
                  <c:v>42345</c:v>
                </c:pt>
                <c:pt idx="332">
                  <c:v>42342</c:v>
                </c:pt>
                <c:pt idx="333">
                  <c:v>42341</c:v>
                </c:pt>
                <c:pt idx="334">
                  <c:v>42340</c:v>
                </c:pt>
                <c:pt idx="335">
                  <c:v>42339</c:v>
                </c:pt>
                <c:pt idx="336">
                  <c:v>42338</c:v>
                </c:pt>
                <c:pt idx="337">
                  <c:v>42335</c:v>
                </c:pt>
                <c:pt idx="338">
                  <c:v>42333</c:v>
                </c:pt>
                <c:pt idx="339">
                  <c:v>42332</c:v>
                </c:pt>
                <c:pt idx="340">
                  <c:v>42331</c:v>
                </c:pt>
                <c:pt idx="341">
                  <c:v>42328</c:v>
                </c:pt>
                <c:pt idx="342">
                  <c:v>42327</c:v>
                </c:pt>
                <c:pt idx="343">
                  <c:v>42326</c:v>
                </c:pt>
                <c:pt idx="344">
                  <c:v>42325</c:v>
                </c:pt>
                <c:pt idx="345">
                  <c:v>42324</c:v>
                </c:pt>
                <c:pt idx="346">
                  <c:v>42321</c:v>
                </c:pt>
                <c:pt idx="347">
                  <c:v>42320</c:v>
                </c:pt>
                <c:pt idx="348">
                  <c:v>42319</c:v>
                </c:pt>
                <c:pt idx="349">
                  <c:v>42318</c:v>
                </c:pt>
                <c:pt idx="350">
                  <c:v>42317</c:v>
                </c:pt>
                <c:pt idx="351">
                  <c:v>42314</c:v>
                </c:pt>
                <c:pt idx="352">
                  <c:v>42313</c:v>
                </c:pt>
                <c:pt idx="353">
                  <c:v>42312</c:v>
                </c:pt>
                <c:pt idx="354">
                  <c:v>42311</c:v>
                </c:pt>
                <c:pt idx="355">
                  <c:v>42310</c:v>
                </c:pt>
                <c:pt idx="356">
                  <c:v>42307</c:v>
                </c:pt>
                <c:pt idx="357">
                  <c:v>42306</c:v>
                </c:pt>
                <c:pt idx="358">
                  <c:v>42305</c:v>
                </c:pt>
                <c:pt idx="359">
                  <c:v>42304</c:v>
                </c:pt>
                <c:pt idx="360">
                  <c:v>42303</c:v>
                </c:pt>
                <c:pt idx="361">
                  <c:v>42300</c:v>
                </c:pt>
                <c:pt idx="362">
                  <c:v>42299</c:v>
                </c:pt>
                <c:pt idx="363">
                  <c:v>42298</c:v>
                </c:pt>
                <c:pt idx="364">
                  <c:v>42297</c:v>
                </c:pt>
                <c:pt idx="365">
                  <c:v>42296</c:v>
                </c:pt>
                <c:pt idx="366">
                  <c:v>42293</c:v>
                </c:pt>
                <c:pt idx="367">
                  <c:v>42292</c:v>
                </c:pt>
                <c:pt idx="368">
                  <c:v>42291</c:v>
                </c:pt>
                <c:pt idx="369">
                  <c:v>42290</c:v>
                </c:pt>
                <c:pt idx="370">
                  <c:v>42289</c:v>
                </c:pt>
                <c:pt idx="371">
                  <c:v>42286</c:v>
                </c:pt>
                <c:pt idx="372">
                  <c:v>42285</c:v>
                </c:pt>
                <c:pt idx="373">
                  <c:v>42284</c:v>
                </c:pt>
                <c:pt idx="374">
                  <c:v>42283</c:v>
                </c:pt>
                <c:pt idx="375">
                  <c:v>42282</c:v>
                </c:pt>
                <c:pt idx="376">
                  <c:v>42279</c:v>
                </c:pt>
                <c:pt idx="377">
                  <c:v>42278</c:v>
                </c:pt>
                <c:pt idx="378">
                  <c:v>42277</c:v>
                </c:pt>
                <c:pt idx="379">
                  <c:v>42276</c:v>
                </c:pt>
                <c:pt idx="380">
                  <c:v>42275</c:v>
                </c:pt>
                <c:pt idx="381">
                  <c:v>42272</c:v>
                </c:pt>
                <c:pt idx="382">
                  <c:v>42271</c:v>
                </c:pt>
                <c:pt idx="383">
                  <c:v>42270</c:v>
                </c:pt>
                <c:pt idx="384">
                  <c:v>42269</c:v>
                </c:pt>
                <c:pt idx="385">
                  <c:v>42268</c:v>
                </c:pt>
                <c:pt idx="386">
                  <c:v>42265</c:v>
                </c:pt>
                <c:pt idx="387">
                  <c:v>42264</c:v>
                </c:pt>
                <c:pt idx="388">
                  <c:v>42263</c:v>
                </c:pt>
                <c:pt idx="389">
                  <c:v>42262</c:v>
                </c:pt>
                <c:pt idx="390">
                  <c:v>42261</c:v>
                </c:pt>
                <c:pt idx="391">
                  <c:v>42258</c:v>
                </c:pt>
                <c:pt idx="392">
                  <c:v>42257</c:v>
                </c:pt>
                <c:pt idx="393">
                  <c:v>42256</c:v>
                </c:pt>
                <c:pt idx="394">
                  <c:v>42255</c:v>
                </c:pt>
                <c:pt idx="395">
                  <c:v>42251</c:v>
                </c:pt>
                <c:pt idx="396">
                  <c:v>42250</c:v>
                </c:pt>
                <c:pt idx="397">
                  <c:v>42249</c:v>
                </c:pt>
                <c:pt idx="398">
                  <c:v>42248</c:v>
                </c:pt>
                <c:pt idx="399">
                  <c:v>42247</c:v>
                </c:pt>
                <c:pt idx="400">
                  <c:v>42244</c:v>
                </c:pt>
                <c:pt idx="401">
                  <c:v>42243</c:v>
                </c:pt>
                <c:pt idx="402">
                  <c:v>42242</c:v>
                </c:pt>
                <c:pt idx="403">
                  <c:v>42241</c:v>
                </c:pt>
                <c:pt idx="404">
                  <c:v>42240</c:v>
                </c:pt>
                <c:pt idx="405">
                  <c:v>42237</c:v>
                </c:pt>
                <c:pt idx="406">
                  <c:v>42236</c:v>
                </c:pt>
                <c:pt idx="407">
                  <c:v>42235</c:v>
                </c:pt>
                <c:pt idx="408">
                  <c:v>42234</c:v>
                </c:pt>
                <c:pt idx="409">
                  <c:v>42233</c:v>
                </c:pt>
                <c:pt idx="410">
                  <c:v>42230</c:v>
                </c:pt>
                <c:pt idx="411">
                  <c:v>42229</c:v>
                </c:pt>
                <c:pt idx="412">
                  <c:v>42228</c:v>
                </c:pt>
                <c:pt idx="413">
                  <c:v>42227</c:v>
                </c:pt>
                <c:pt idx="414">
                  <c:v>42226</c:v>
                </c:pt>
                <c:pt idx="415">
                  <c:v>42223</c:v>
                </c:pt>
                <c:pt idx="416">
                  <c:v>42222</c:v>
                </c:pt>
                <c:pt idx="417">
                  <c:v>42221</c:v>
                </c:pt>
                <c:pt idx="418">
                  <c:v>42220</c:v>
                </c:pt>
                <c:pt idx="419">
                  <c:v>42219</c:v>
                </c:pt>
                <c:pt idx="420">
                  <c:v>42216</c:v>
                </c:pt>
                <c:pt idx="421">
                  <c:v>42215</c:v>
                </c:pt>
                <c:pt idx="422">
                  <c:v>42214</c:v>
                </c:pt>
                <c:pt idx="423">
                  <c:v>42213</c:v>
                </c:pt>
                <c:pt idx="424">
                  <c:v>42212</c:v>
                </c:pt>
                <c:pt idx="425">
                  <c:v>42209</c:v>
                </c:pt>
                <c:pt idx="426">
                  <c:v>42208</c:v>
                </c:pt>
                <c:pt idx="427">
                  <c:v>42207</c:v>
                </c:pt>
                <c:pt idx="428">
                  <c:v>42206</c:v>
                </c:pt>
                <c:pt idx="429">
                  <c:v>42205</c:v>
                </c:pt>
                <c:pt idx="430">
                  <c:v>42202</c:v>
                </c:pt>
                <c:pt idx="431">
                  <c:v>42201</c:v>
                </c:pt>
                <c:pt idx="432">
                  <c:v>42200</c:v>
                </c:pt>
                <c:pt idx="433">
                  <c:v>42199</c:v>
                </c:pt>
                <c:pt idx="434">
                  <c:v>42198</c:v>
                </c:pt>
                <c:pt idx="435">
                  <c:v>42195</c:v>
                </c:pt>
                <c:pt idx="436">
                  <c:v>42194</c:v>
                </c:pt>
                <c:pt idx="437">
                  <c:v>42193</c:v>
                </c:pt>
                <c:pt idx="438">
                  <c:v>42192</c:v>
                </c:pt>
                <c:pt idx="439">
                  <c:v>42191</c:v>
                </c:pt>
                <c:pt idx="440">
                  <c:v>42187</c:v>
                </c:pt>
                <c:pt idx="441">
                  <c:v>42186</c:v>
                </c:pt>
                <c:pt idx="442">
                  <c:v>42185</c:v>
                </c:pt>
                <c:pt idx="443">
                  <c:v>42184</c:v>
                </c:pt>
                <c:pt idx="444">
                  <c:v>42181</c:v>
                </c:pt>
                <c:pt idx="445">
                  <c:v>42180</c:v>
                </c:pt>
                <c:pt idx="446">
                  <c:v>42179</c:v>
                </c:pt>
                <c:pt idx="447">
                  <c:v>42178</c:v>
                </c:pt>
                <c:pt idx="448">
                  <c:v>42177</c:v>
                </c:pt>
                <c:pt idx="449">
                  <c:v>42174</c:v>
                </c:pt>
                <c:pt idx="450">
                  <c:v>42173</c:v>
                </c:pt>
                <c:pt idx="451">
                  <c:v>42172</c:v>
                </c:pt>
                <c:pt idx="452">
                  <c:v>42171</c:v>
                </c:pt>
                <c:pt idx="453">
                  <c:v>42170</c:v>
                </c:pt>
                <c:pt idx="454">
                  <c:v>42167</c:v>
                </c:pt>
                <c:pt idx="455">
                  <c:v>42166</c:v>
                </c:pt>
                <c:pt idx="456">
                  <c:v>42165</c:v>
                </c:pt>
                <c:pt idx="457">
                  <c:v>42164</c:v>
                </c:pt>
                <c:pt idx="458">
                  <c:v>42163</c:v>
                </c:pt>
                <c:pt idx="459">
                  <c:v>42160</c:v>
                </c:pt>
                <c:pt idx="460">
                  <c:v>42159</c:v>
                </c:pt>
                <c:pt idx="461">
                  <c:v>42158</c:v>
                </c:pt>
                <c:pt idx="462">
                  <c:v>42157</c:v>
                </c:pt>
                <c:pt idx="463">
                  <c:v>42156</c:v>
                </c:pt>
                <c:pt idx="464">
                  <c:v>42153</c:v>
                </c:pt>
                <c:pt idx="465">
                  <c:v>42152</c:v>
                </c:pt>
                <c:pt idx="466">
                  <c:v>42151</c:v>
                </c:pt>
                <c:pt idx="467">
                  <c:v>42150</c:v>
                </c:pt>
                <c:pt idx="468">
                  <c:v>42146</c:v>
                </c:pt>
                <c:pt idx="469">
                  <c:v>42145</c:v>
                </c:pt>
                <c:pt idx="470">
                  <c:v>42144</c:v>
                </c:pt>
                <c:pt idx="471">
                  <c:v>42143</c:v>
                </c:pt>
                <c:pt idx="472">
                  <c:v>42142</c:v>
                </c:pt>
                <c:pt idx="473">
                  <c:v>42139</c:v>
                </c:pt>
                <c:pt idx="474">
                  <c:v>42138</c:v>
                </c:pt>
                <c:pt idx="475">
                  <c:v>42137</c:v>
                </c:pt>
                <c:pt idx="476">
                  <c:v>42136</c:v>
                </c:pt>
                <c:pt idx="477">
                  <c:v>42135</c:v>
                </c:pt>
                <c:pt idx="478">
                  <c:v>42132</c:v>
                </c:pt>
                <c:pt idx="479">
                  <c:v>42131</c:v>
                </c:pt>
                <c:pt idx="480">
                  <c:v>42130</c:v>
                </c:pt>
                <c:pt idx="481">
                  <c:v>42129</c:v>
                </c:pt>
                <c:pt idx="482">
                  <c:v>42128</c:v>
                </c:pt>
                <c:pt idx="483">
                  <c:v>42125</c:v>
                </c:pt>
                <c:pt idx="484">
                  <c:v>42124</c:v>
                </c:pt>
                <c:pt idx="485">
                  <c:v>42123</c:v>
                </c:pt>
                <c:pt idx="486">
                  <c:v>42122</c:v>
                </c:pt>
                <c:pt idx="487">
                  <c:v>42121</c:v>
                </c:pt>
                <c:pt idx="488">
                  <c:v>42118</c:v>
                </c:pt>
                <c:pt idx="489">
                  <c:v>42117</c:v>
                </c:pt>
                <c:pt idx="490">
                  <c:v>42116</c:v>
                </c:pt>
                <c:pt idx="491">
                  <c:v>42115</c:v>
                </c:pt>
                <c:pt idx="492">
                  <c:v>42114</c:v>
                </c:pt>
                <c:pt idx="493">
                  <c:v>42111</c:v>
                </c:pt>
                <c:pt idx="494">
                  <c:v>42110</c:v>
                </c:pt>
                <c:pt idx="495">
                  <c:v>42109</c:v>
                </c:pt>
                <c:pt idx="496">
                  <c:v>42108</c:v>
                </c:pt>
                <c:pt idx="497">
                  <c:v>42107</c:v>
                </c:pt>
                <c:pt idx="498">
                  <c:v>42104</c:v>
                </c:pt>
                <c:pt idx="499">
                  <c:v>42103</c:v>
                </c:pt>
                <c:pt idx="500">
                  <c:v>42102</c:v>
                </c:pt>
                <c:pt idx="501">
                  <c:v>42101</c:v>
                </c:pt>
                <c:pt idx="502">
                  <c:v>42100</c:v>
                </c:pt>
                <c:pt idx="503">
                  <c:v>42096</c:v>
                </c:pt>
                <c:pt idx="504">
                  <c:v>42095</c:v>
                </c:pt>
                <c:pt idx="505">
                  <c:v>42094</c:v>
                </c:pt>
                <c:pt idx="506">
                  <c:v>42093</c:v>
                </c:pt>
                <c:pt idx="507">
                  <c:v>42090</c:v>
                </c:pt>
                <c:pt idx="508">
                  <c:v>42089</c:v>
                </c:pt>
                <c:pt idx="509">
                  <c:v>42088</c:v>
                </c:pt>
                <c:pt idx="510">
                  <c:v>42087</c:v>
                </c:pt>
                <c:pt idx="511">
                  <c:v>42086</c:v>
                </c:pt>
                <c:pt idx="512">
                  <c:v>42083</c:v>
                </c:pt>
                <c:pt idx="513">
                  <c:v>42082</c:v>
                </c:pt>
                <c:pt idx="514">
                  <c:v>42081</c:v>
                </c:pt>
                <c:pt idx="515">
                  <c:v>42080</c:v>
                </c:pt>
                <c:pt idx="516">
                  <c:v>42079</c:v>
                </c:pt>
                <c:pt idx="517">
                  <c:v>42076</c:v>
                </c:pt>
                <c:pt idx="518">
                  <c:v>42075</c:v>
                </c:pt>
                <c:pt idx="519">
                  <c:v>42074</c:v>
                </c:pt>
                <c:pt idx="520">
                  <c:v>42073</c:v>
                </c:pt>
                <c:pt idx="521">
                  <c:v>42072</c:v>
                </c:pt>
                <c:pt idx="522">
                  <c:v>42069</c:v>
                </c:pt>
                <c:pt idx="523">
                  <c:v>42068</c:v>
                </c:pt>
                <c:pt idx="524">
                  <c:v>42067</c:v>
                </c:pt>
                <c:pt idx="525">
                  <c:v>42066</c:v>
                </c:pt>
                <c:pt idx="526">
                  <c:v>42065</c:v>
                </c:pt>
                <c:pt idx="527">
                  <c:v>42062</c:v>
                </c:pt>
                <c:pt idx="528">
                  <c:v>42061</c:v>
                </c:pt>
                <c:pt idx="529">
                  <c:v>42060</c:v>
                </c:pt>
                <c:pt idx="530">
                  <c:v>42059</c:v>
                </c:pt>
                <c:pt idx="531">
                  <c:v>42058</c:v>
                </c:pt>
                <c:pt idx="532">
                  <c:v>42055</c:v>
                </c:pt>
                <c:pt idx="533">
                  <c:v>42054</c:v>
                </c:pt>
                <c:pt idx="534">
                  <c:v>42053</c:v>
                </c:pt>
                <c:pt idx="535">
                  <c:v>42052</c:v>
                </c:pt>
                <c:pt idx="536">
                  <c:v>42048</c:v>
                </c:pt>
                <c:pt idx="537">
                  <c:v>42047</c:v>
                </c:pt>
                <c:pt idx="538">
                  <c:v>42046</c:v>
                </c:pt>
                <c:pt idx="539">
                  <c:v>42045</c:v>
                </c:pt>
                <c:pt idx="540">
                  <c:v>42044</c:v>
                </c:pt>
                <c:pt idx="541">
                  <c:v>42041</c:v>
                </c:pt>
                <c:pt idx="542">
                  <c:v>42040</c:v>
                </c:pt>
                <c:pt idx="543">
                  <c:v>42039</c:v>
                </c:pt>
                <c:pt idx="544">
                  <c:v>42038</c:v>
                </c:pt>
                <c:pt idx="545">
                  <c:v>42037</c:v>
                </c:pt>
                <c:pt idx="546">
                  <c:v>42034</c:v>
                </c:pt>
                <c:pt idx="547">
                  <c:v>42033</c:v>
                </c:pt>
                <c:pt idx="548">
                  <c:v>42032</c:v>
                </c:pt>
                <c:pt idx="549">
                  <c:v>42031</c:v>
                </c:pt>
                <c:pt idx="550">
                  <c:v>42030</c:v>
                </c:pt>
                <c:pt idx="551">
                  <c:v>42027</c:v>
                </c:pt>
                <c:pt idx="552">
                  <c:v>42026</c:v>
                </c:pt>
                <c:pt idx="553">
                  <c:v>42025</c:v>
                </c:pt>
                <c:pt idx="554">
                  <c:v>42024</c:v>
                </c:pt>
                <c:pt idx="555">
                  <c:v>42020</c:v>
                </c:pt>
                <c:pt idx="556">
                  <c:v>42019</c:v>
                </c:pt>
                <c:pt idx="557">
                  <c:v>42018</c:v>
                </c:pt>
                <c:pt idx="558">
                  <c:v>42017</c:v>
                </c:pt>
                <c:pt idx="559">
                  <c:v>42016</c:v>
                </c:pt>
                <c:pt idx="560">
                  <c:v>42013</c:v>
                </c:pt>
                <c:pt idx="561">
                  <c:v>42012</c:v>
                </c:pt>
                <c:pt idx="562">
                  <c:v>42011</c:v>
                </c:pt>
                <c:pt idx="563">
                  <c:v>42010</c:v>
                </c:pt>
                <c:pt idx="564">
                  <c:v>42009</c:v>
                </c:pt>
                <c:pt idx="565">
                  <c:v>42006</c:v>
                </c:pt>
                <c:pt idx="566">
                  <c:v>42004</c:v>
                </c:pt>
                <c:pt idx="567">
                  <c:v>42003</c:v>
                </c:pt>
                <c:pt idx="568">
                  <c:v>42002</c:v>
                </c:pt>
                <c:pt idx="569">
                  <c:v>41999</c:v>
                </c:pt>
                <c:pt idx="570">
                  <c:v>41997</c:v>
                </c:pt>
                <c:pt idx="571">
                  <c:v>41996</c:v>
                </c:pt>
                <c:pt idx="572">
                  <c:v>41995</c:v>
                </c:pt>
                <c:pt idx="573">
                  <c:v>41992</c:v>
                </c:pt>
                <c:pt idx="574">
                  <c:v>41991</c:v>
                </c:pt>
                <c:pt idx="575">
                  <c:v>41990</c:v>
                </c:pt>
                <c:pt idx="576">
                  <c:v>41989</c:v>
                </c:pt>
                <c:pt idx="577">
                  <c:v>41988</c:v>
                </c:pt>
                <c:pt idx="578">
                  <c:v>41985</c:v>
                </c:pt>
                <c:pt idx="579">
                  <c:v>41984</c:v>
                </c:pt>
                <c:pt idx="580">
                  <c:v>41983</c:v>
                </c:pt>
                <c:pt idx="581">
                  <c:v>41982</c:v>
                </c:pt>
                <c:pt idx="582">
                  <c:v>41981</c:v>
                </c:pt>
                <c:pt idx="583">
                  <c:v>41978</c:v>
                </c:pt>
                <c:pt idx="584">
                  <c:v>41977</c:v>
                </c:pt>
                <c:pt idx="585">
                  <c:v>41976</c:v>
                </c:pt>
                <c:pt idx="586">
                  <c:v>41975</c:v>
                </c:pt>
                <c:pt idx="587">
                  <c:v>41974</c:v>
                </c:pt>
                <c:pt idx="588">
                  <c:v>41971</c:v>
                </c:pt>
                <c:pt idx="589">
                  <c:v>41969</c:v>
                </c:pt>
                <c:pt idx="590">
                  <c:v>41968</c:v>
                </c:pt>
                <c:pt idx="591">
                  <c:v>41967</c:v>
                </c:pt>
                <c:pt idx="592">
                  <c:v>41964</c:v>
                </c:pt>
                <c:pt idx="593">
                  <c:v>41963</c:v>
                </c:pt>
                <c:pt idx="594">
                  <c:v>41962</c:v>
                </c:pt>
                <c:pt idx="595">
                  <c:v>41961</c:v>
                </c:pt>
                <c:pt idx="596">
                  <c:v>41960</c:v>
                </c:pt>
                <c:pt idx="597">
                  <c:v>41957</c:v>
                </c:pt>
                <c:pt idx="598">
                  <c:v>41956</c:v>
                </c:pt>
                <c:pt idx="599">
                  <c:v>41955</c:v>
                </c:pt>
                <c:pt idx="600">
                  <c:v>41954</c:v>
                </c:pt>
                <c:pt idx="601">
                  <c:v>41953</c:v>
                </c:pt>
                <c:pt idx="602">
                  <c:v>41950</c:v>
                </c:pt>
                <c:pt idx="603">
                  <c:v>41949</c:v>
                </c:pt>
                <c:pt idx="604">
                  <c:v>41948</c:v>
                </c:pt>
                <c:pt idx="605">
                  <c:v>41947</c:v>
                </c:pt>
                <c:pt idx="606">
                  <c:v>41946</c:v>
                </c:pt>
                <c:pt idx="607">
                  <c:v>41943</c:v>
                </c:pt>
                <c:pt idx="608">
                  <c:v>41942</c:v>
                </c:pt>
                <c:pt idx="609">
                  <c:v>41941</c:v>
                </c:pt>
                <c:pt idx="610">
                  <c:v>41940</c:v>
                </c:pt>
                <c:pt idx="611">
                  <c:v>41939</c:v>
                </c:pt>
                <c:pt idx="612">
                  <c:v>41936</c:v>
                </c:pt>
                <c:pt idx="613">
                  <c:v>41935</c:v>
                </c:pt>
                <c:pt idx="614">
                  <c:v>41934</c:v>
                </c:pt>
                <c:pt idx="615">
                  <c:v>41933</c:v>
                </c:pt>
                <c:pt idx="616">
                  <c:v>41932</c:v>
                </c:pt>
                <c:pt idx="617">
                  <c:v>41929</c:v>
                </c:pt>
                <c:pt idx="618">
                  <c:v>41928</c:v>
                </c:pt>
                <c:pt idx="619">
                  <c:v>41927</c:v>
                </c:pt>
                <c:pt idx="620">
                  <c:v>41926</c:v>
                </c:pt>
                <c:pt idx="621">
                  <c:v>41925</c:v>
                </c:pt>
                <c:pt idx="622">
                  <c:v>41922</c:v>
                </c:pt>
                <c:pt idx="623">
                  <c:v>41921</c:v>
                </c:pt>
                <c:pt idx="624">
                  <c:v>41920</c:v>
                </c:pt>
                <c:pt idx="625">
                  <c:v>41919</c:v>
                </c:pt>
                <c:pt idx="626">
                  <c:v>41918</c:v>
                </c:pt>
                <c:pt idx="627">
                  <c:v>41915</c:v>
                </c:pt>
                <c:pt idx="628">
                  <c:v>41914</c:v>
                </c:pt>
                <c:pt idx="629">
                  <c:v>41913</c:v>
                </c:pt>
                <c:pt idx="630">
                  <c:v>41912</c:v>
                </c:pt>
                <c:pt idx="631">
                  <c:v>41911</c:v>
                </c:pt>
                <c:pt idx="632">
                  <c:v>41908</c:v>
                </c:pt>
                <c:pt idx="633">
                  <c:v>41907</c:v>
                </c:pt>
                <c:pt idx="634">
                  <c:v>41906</c:v>
                </c:pt>
                <c:pt idx="635">
                  <c:v>41905</c:v>
                </c:pt>
                <c:pt idx="636">
                  <c:v>41904</c:v>
                </c:pt>
                <c:pt idx="637">
                  <c:v>41901</c:v>
                </c:pt>
                <c:pt idx="638">
                  <c:v>41900</c:v>
                </c:pt>
                <c:pt idx="639">
                  <c:v>41899</c:v>
                </c:pt>
                <c:pt idx="640">
                  <c:v>41898</c:v>
                </c:pt>
                <c:pt idx="641">
                  <c:v>41897</c:v>
                </c:pt>
                <c:pt idx="642">
                  <c:v>41894</c:v>
                </c:pt>
                <c:pt idx="643">
                  <c:v>41893</c:v>
                </c:pt>
                <c:pt idx="644">
                  <c:v>41892</c:v>
                </c:pt>
                <c:pt idx="645">
                  <c:v>41891</c:v>
                </c:pt>
                <c:pt idx="646">
                  <c:v>41890</c:v>
                </c:pt>
                <c:pt idx="647">
                  <c:v>41887</c:v>
                </c:pt>
                <c:pt idx="648">
                  <c:v>41886</c:v>
                </c:pt>
                <c:pt idx="649">
                  <c:v>41885</c:v>
                </c:pt>
                <c:pt idx="650">
                  <c:v>41884</c:v>
                </c:pt>
                <c:pt idx="651">
                  <c:v>41880</c:v>
                </c:pt>
                <c:pt idx="652">
                  <c:v>41879</c:v>
                </c:pt>
                <c:pt idx="653">
                  <c:v>41878</c:v>
                </c:pt>
                <c:pt idx="654">
                  <c:v>41877</c:v>
                </c:pt>
                <c:pt idx="655">
                  <c:v>41876</c:v>
                </c:pt>
                <c:pt idx="656">
                  <c:v>41873</c:v>
                </c:pt>
                <c:pt idx="657">
                  <c:v>41872</c:v>
                </c:pt>
                <c:pt idx="658">
                  <c:v>41871</c:v>
                </c:pt>
                <c:pt idx="659">
                  <c:v>41870</c:v>
                </c:pt>
                <c:pt idx="660">
                  <c:v>41869</c:v>
                </c:pt>
                <c:pt idx="661">
                  <c:v>41866</c:v>
                </c:pt>
                <c:pt idx="662">
                  <c:v>41865</c:v>
                </c:pt>
                <c:pt idx="663">
                  <c:v>41864</c:v>
                </c:pt>
                <c:pt idx="664">
                  <c:v>41863</c:v>
                </c:pt>
                <c:pt idx="665">
                  <c:v>41862</c:v>
                </c:pt>
                <c:pt idx="666">
                  <c:v>41859</c:v>
                </c:pt>
                <c:pt idx="667">
                  <c:v>41858</c:v>
                </c:pt>
                <c:pt idx="668">
                  <c:v>41857</c:v>
                </c:pt>
                <c:pt idx="669">
                  <c:v>41856</c:v>
                </c:pt>
                <c:pt idx="670">
                  <c:v>41855</c:v>
                </c:pt>
                <c:pt idx="671">
                  <c:v>41852</c:v>
                </c:pt>
                <c:pt idx="672">
                  <c:v>41851</c:v>
                </c:pt>
                <c:pt idx="673">
                  <c:v>41850</c:v>
                </c:pt>
                <c:pt idx="674">
                  <c:v>41849</c:v>
                </c:pt>
                <c:pt idx="675">
                  <c:v>41848</c:v>
                </c:pt>
                <c:pt idx="676">
                  <c:v>41845</c:v>
                </c:pt>
                <c:pt idx="677">
                  <c:v>41844</c:v>
                </c:pt>
                <c:pt idx="678">
                  <c:v>41843</c:v>
                </c:pt>
                <c:pt idx="679">
                  <c:v>41842</c:v>
                </c:pt>
                <c:pt idx="680">
                  <c:v>41841</c:v>
                </c:pt>
                <c:pt idx="681">
                  <c:v>41838</c:v>
                </c:pt>
                <c:pt idx="682">
                  <c:v>41837</c:v>
                </c:pt>
                <c:pt idx="683">
                  <c:v>41836</c:v>
                </c:pt>
                <c:pt idx="684">
                  <c:v>41835</c:v>
                </c:pt>
                <c:pt idx="685">
                  <c:v>41834</c:v>
                </c:pt>
                <c:pt idx="686">
                  <c:v>41831</c:v>
                </c:pt>
                <c:pt idx="687">
                  <c:v>41830</c:v>
                </c:pt>
                <c:pt idx="688">
                  <c:v>41829</c:v>
                </c:pt>
                <c:pt idx="689">
                  <c:v>41828</c:v>
                </c:pt>
                <c:pt idx="690">
                  <c:v>41827</c:v>
                </c:pt>
                <c:pt idx="691">
                  <c:v>41823</c:v>
                </c:pt>
                <c:pt idx="692">
                  <c:v>41822</c:v>
                </c:pt>
                <c:pt idx="693">
                  <c:v>41821</c:v>
                </c:pt>
                <c:pt idx="694">
                  <c:v>41820</c:v>
                </c:pt>
                <c:pt idx="695">
                  <c:v>41817</c:v>
                </c:pt>
                <c:pt idx="696">
                  <c:v>41816</c:v>
                </c:pt>
                <c:pt idx="697">
                  <c:v>41815</c:v>
                </c:pt>
                <c:pt idx="698">
                  <c:v>41814</c:v>
                </c:pt>
                <c:pt idx="699">
                  <c:v>41813</c:v>
                </c:pt>
                <c:pt idx="700">
                  <c:v>41810</c:v>
                </c:pt>
                <c:pt idx="701">
                  <c:v>41809</c:v>
                </c:pt>
                <c:pt idx="702">
                  <c:v>41808</c:v>
                </c:pt>
                <c:pt idx="703">
                  <c:v>41807</c:v>
                </c:pt>
                <c:pt idx="704">
                  <c:v>41806</c:v>
                </c:pt>
                <c:pt idx="705">
                  <c:v>41803</c:v>
                </c:pt>
                <c:pt idx="706">
                  <c:v>41802</c:v>
                </c:pt>
                <c:pt idx="707">
                  <c:v>41801</c:v>
                </c:pt>
                <c:pt idx="708">
                  <c:v>41800</c:v>
                </c:pt>
                <c:pt idx="709">
                  <c:v>41799</c:v>
                </c:pt>
                <c:pt idx="710">
                  <c:v>41796</c:v>
                </c:pt>
                <c:pt idx="711">
                  <c:v>41795</c:v>
                </c:pt>
                <c:pt idx="712">
                  <c:v>41794</c:v>
                </c:pt>
                <c:pt idx="713">
                  <c:v>41793</c:v>
                </c:pt>
                <c:pt idx="714">
                  <c:v>41792</c:v>
                </c:pt>
                <c:pt idx="715">
                  <c:v>41789</c:v>
                </c:pt>
                <c:pt idx="716">
                  <c:v>41788</c:v>
                </c:pt>
                <c:pt idx="717">
                  <c:v>41787</c:v>
                </c:pt>
                <c:pt idx="718">
                  <c:v>41786</c:v>
                </c:pt>
                <c:pt idx="719">
                  <c:v>41782</c:v>
                </c:pt>
                <c:pt idx="720">
                  <c:v>41781</c:v>
                </c:pt>
                <c:pt idx="721">
                  <c:v>41780</c:v>
                </c:pt>
                <c:pt idx="722">
                  <c:v>41779</c:v>
                </c:pt>
                <c:pt idx="723">
                  <c:v>41778</c:v>
                </c:pt>
                <c:pt idx="724">
                  <c:v>41775</c:v>
                </c:pt>
                <c:pt idx="725">
                  <c:v>41774</c:v>
                </c:pt>
                <c:pt idx="726">
                  <c:v>41773</c:v>
                </c:pt>
                <c:pt idx="727">
                  <c:v>41772</c:v>
                </c:pt>
                <c:pt idx="728">
                  <c:v>41771</c:v>
                </c:pt>
                <c:pt idx="729">
                  <c:v>41768</c:v>
                </c:pt>
                <c:pt idx="730">
                  <c:v>41767</c:v>
                </c:pt>
                <c:pt idx="731">
                  <c:v>41766</c:v>
                </c:pt>
                <c:pt idx="732">
                  <c:v>41765</c:v>
                </c:pt>
                <c:pt idx="733">
                  <c:v>41764</c:v>
                </c:pt>
                <c:pt idx="734">
                  <c:v>41761</c:v>
                </c:pt>
                <c:pt idx="735">
                  <c:v>41760</c:v>
                </c:pt>
                <c:pt idx="736">
                  <c:v>41759</c:v>
                </c:pt>
                <c:pt idx="737">
                  <c:v>41758</c:v>
                </c:pt>
                <c:pt idx="738">
                  <c:v>41757</c:v>
                </c:pt>
                <c:pt idx="739">
                  <c:v>41754</c:v>
                </c:pt>
                <c:pt idx="740">
                  <c:v>41753</c:v>
                </c:pt>
                <c:pt idx="741">
                  <c:v>41752</c:v>
                </c:pt>
                <c:pt idx="742">
                  <c:v>41751</c:v>
                </c:pt>
                <c:pt idx="743">
                  <c:v>41750</c:v>
                </c:pt>
                <c:pt idx="744">
                  <c:v>41746</c:v>
                </c:pt>
                <c:pt idx="745">
                  <c:v>41745</c:v>
                </c:pt>
                <c:pt idx="746">
                  <c:v>41744</c:v>
                </c:pt>
                <c:pt idx="747">
                  <c:v>41743</c:v>
                </c:pt>
                <c:pt idx="748">
                  <c:v>41740</c:v>
                </c:pt>
                <c:pt idx="749">
                  <c:v>41739</c:v>
                </c:pt>
                <c:pt idx="750">
                  <c:v>41738</c:v>
                </c:pt>
                <c:pt idx="751">
                  <c:v>41737</c:v>
                </c:pt>
                <c:pt idx="752">
                  <c:v>41736</c:v>
                </c:pt>
                <c:pt idx="753">
                  <c:v>41733</c:v>
                </c:pt>
                <c:pt idx="754">
                  <c:v>41732</c:v>
                </c:pt>
                <c:pt idx="755">
                  <c:v>41731</c:v>
                </c:pt>
                <c:pt idx="756">
                  <c:v>41730</c:v>
                </c:pt>
                <c:pt idx="757">
                  <c:v>41729</c:v>
                </c:pt>
              </c:numCache>
            </c:numRef>
          </c:cat>
          <c:val>
            <c:numRef>
              <c:f>Exhibits!$EJ$102:$EJ$859</c:f>
              <c:numCache>
                <c:formatCode>General</c:formatCode>
                <c:ptCount val="758"/>
                <c:pt idx="36" formatCode="0%">
                  <c:v>1.3544574518666646</c:v>
                </c:pt>
                <c:pt idx="76" formatCode="0%">
                  <c:v>1.2627785286346982</c:v>
                </c:pt>
                <c:pt idx="142" formatCode="0%">
                  <c:v>1.2691724760912368</c:v>
                </c:pt>
                <c:pt idx="290" formatCode="0%">
                  <c:v>1.1322843943725782</c:v>
                </c:pt>
                <c:pt idx="348" formatCode="0%">
                  <c:v>0.98523393506084478</c:v>
                </c:pt>
                <c:pt idx="422" formatCode="0%">
                  <c:v>1.1742434823881038</c:v>
                </c:pt>
                <c:pt idx="453" formatCode="0%">
                  <c:v>0</c:v>
                </c:pt>
                <c:pt idx="481" formatCode="0%">
                  <c:v>1.0681223885868751</c:v>
                </c:pt>
                <c:pt idx="494" formatCode="0%">
                  <c:v>1.0681597532764378</c:v>
                </c:pt>
                <c:pt idx="538" formatCode="0%">
                  <c:v>1.0172654152447052</c:v>
                </c:pt>
                <c:pt idx="645" formatCode="0%">
                  <c:v>0.88094328464952776</c:v>
                </c:pt>
              </c:numCache>
            </c:numRef>
          </c:val>
          <c:smooth val="0"/>
          <c:extLst>
            <c:ext xmlns:c15="http://schemas.microsoft.com/office/drawing/2012/chart" uri="{02D57815-91ED-43cb-92C2-25804820EDAC}">
              <c15:datalabelsRange>
                <c15:f>Exhibits!$EK$39:$EK$796</c15:f>
                <c15:dlblRangeCache>
                  <c:ptCount val="758"/>
                  <c:pt idx="99">
                    <c:v>Strong Q3 profits stemming from delivery and Panera 2.0 initiatives</c:v>
                  </c:pt>
                  <c:pt idx="139">
                    <c:v>Blaine Hurst appointed President</c:v>
                  </c:pt>
                  <c:pt idx="205">
                    <c:v>"Daaaaaamn Panera, Back at it Again with the Pseudoscience." article  attacks Panera Bread marketing campaign and gains attention from major news outlets such as Forbes</c:v>
                  </c:pt>
                  <c:pt idx="353">
                    <c:v>Panera 2.0 - 16% of sales are ordered and paid for digitally</c:v>
                  </c:pt>
                  <c:pt idx="411">
                    <c:v>"Panera Bread is replacing cashiers with kiosks — and it feels dystopian" - Business Week</c:v>
                  </c:pt>
                  <c:pt idx="485">
                    <c:v>Panera 2.0 initiative results in same store sales growth of 1.8%</c:v>
                  </c:pt>
                  <c:pt idx="544">
                    <c:v>'No no' list of artificial additives introduced</c:v>
                  </c:pt>
                  <c:pt idx="557">
                    <c:v>Share repurchases and intent to sell/refranchise 73 company-owned cafes announced</c:v>
                  </c:pt>
                  <c:pt idx="601">
                    <c:v>Market reaction: 4th quarter profit fell by 9%</c:v>
                  </c:pt>
                  <c:pt idx="708">
                    <c:v>Integration with Apple Pay</c:v>
                  </c:pt>
                </c15:dlblRangeCache>
              </c15:datalabelsRange>
            </c:ext>
            <c:ext xmlns:c16="http://schemas.microsoft.com/office/drawing/2014/chart" uri="{C3380CC4-5D6E-409C-BE32-E72D297353CC}">
              <c16:uniqueId val="{000002F8-A7E4-430C-9E3D-D851F3DD4F29}"/>
            </c:ext>
          </c:extLst>
        </c:ser>
        <c:dLbls>
          <c:showLegendKey val="0"/>
          <c:showVal val="0"/>
          <c:showCatName val="0"/>
          <c:showSerName val="0"/>
          <c:showPercent val="0"/>
          <c:showBubbleSize val="0"/>
        </c:dLbls>
        <c:smooth val="0"/>
        <c:axId val="85054432"/>
        <c:axId val="85054760"/>
      </c:lineChart>
      <c:dateAx>
        <c:axId val="85054432"/>
        <c:scaling>
          <c:orientation val="minMax"/>
        </c:scaling>
        <c:delete val="0"/>
        <c:axPos val="b"/>
        <c:numFmt formatCode="m/d/yyyy" sourceLinked="1"/>
        <c:majorTickMark val="cross"/>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85054760"/>
        <c:crosses val="autoZero"/>
        <c:auto val="1"/>
        <c:lblOffset val="100"/>
        <c:baseTimeUnit val="days"/>
        <c:majorUnit val="1"/>
        <c:majorTimeUnit val="years"/>
        <c:minorUnit val="4"/>
        <c:minorTimeUnit val="months"/>
      </c:dateAx>
      <c:valAx>
        <c:axId val="85054760"/>
        <c:scaling>
          <c:orientation val="minMax"/>
          <c:max val="2"/>
          <c:min val="0.8"/>
        </c:scaling>
        <c:delete val="0"/>
        <c:axPos val="l"/>
        <c:numFmt formatCode="0%" sourceLinked="1"/>
        <c:majorTickMark val="cross"/>
        <c:minorTickMark val="in"/>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85054432"/>
        <c:crosses val="autoZero"/>
        <c:crossBetween val="between"/>
        <c:min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88553009513022"/>
          <c:y val="3.9361925437749974E-2"/>
          <c:w val="0.80978192854938857"/>
          <c:h val="0.79577105841878892"/>
        </c:manualLayout>
      </c:layout>
      <c:lineChart>
        <c:grouping val="standard"/>
        <c:varyColors val="0"/>
        <c:ser>
          <c:idx val="0"/>
          <c:order val="0"/>
          <c:tx>
            <c:strRef>
              <c:f>Exhibits!$FV$39</c:f>
              <c:strCache>
                <c:ptCount val="1"/>
                <c:pt idx="0">
                  <c:v>Panera</c:v>
                </c:pt>
              </c:strCache>
            </c:strRef>
          </c:tx>
          <c:spPr>
            <a:ln w="12700" cap="rnd">
              <a:solidFill>
                <a:schemeClr val="accent1"/>
              </a:solidFill>
              <a:round/>
            </a:ln>
            <a:effectLst/>
          </c:spPr>
          <c:marker>
            <c:symbol val="none"/>
          </c:marker>
          <c:cat>
            <c:numRef>
              <c:f>Exhibits!$FU$113:$FU$870</c:f>
              <c:numCache>
                <c:formatCode>m/d/yyyy</c:formatCode>
                <c:ptCount val="758"/>
                <c:pt idx="0">
                  <c:v>42825</c:v>
                </c:pt>
                <c:pt idx="1">
                  <c:v>42824</c:v>
                </c:pt>
                <c:pt idx="2">
                  <c:v>42823</c:v>
                </c:pt>
                <c:pt idx="3">
                  <c:v>42822</c:v>
                </c:pt>
                <c:pt idx="4">
                  <c:v>42821</c:v>
                </c:pt>
                <c:pt idx="5">
                  <c:v>42818</c:v>
                </c:pt>
                <c:pt idx="6">
                  <c:v>42817</c:v>
                </c:pt>
                <c:pt idx="7">
                  <c:v>42816</c:v>
                </c:pt>
                <c:pt idx="8">
                  <c:v>42815</c:v>
                </c:pt>
                <c:pt idx="9">
                  <c:v>42814</c:v>
                </c:pt>
                <c:pt idx="10">
                  <c:v>42811</c:v>
                </c:pt>
                <c:pt idx="11">
                  <c:v>42810</c:v>
                </c:pt>
                <c:pt idx="12">
                  <c:v>42809</c:v>
                </c:pt>
                <c:pt idx="13">
                  <c:v>42808</c:v>
                </c:pt>
                <c:pt idx="14">
                  <c:v>42807</c:v>
                </c:pt>
                <c:pt idx="15">
                  <c:v>42804</c:v>
                </c:pt>
                <c:pt idx="16">
                  <c:v>42803</c:v>
                </c:pt>
                <c:pt idx="17">
                  <c:v>42802</c:v>
                </c:pt>
                <c:pt idx="18">
                  <c:v>42801</c:v>
                </c:pt>
                <c:pt idx="19">
                  <c:v>42800</c:v>
                </c:pt>
                <c:pt idx="20">
                  <c:v>42797</c:v>
                </c:pt>
                <c:pt idx="21">
                  <c:v>42796</c:v>
                </c:pt>
                <c:pt idx="22">
                  <c:v>42795</c:v>
                </c:pt>
                <c:pt idx="23">
                  <c:v>42794</c:v>
                </c:pt>
                <c:pt idx="24">
                  <c:v>42793</c:v>
                </c:pt>
                <c:pt idx="25">
                  <c:v>42790</c:v>
                </c:pt>
                <c:pt idx="26">
                  <c:v>42789</c:v>
                </c:pt>
                <c:pt idx="27">
                  <c:v>42788</c:v>
                </c:pt>
                <c:pt idx="28">
                  <c:v>42787</c:v>
                </c:pt>
                <c:pt idx="29">
                  <c:v>42783</c:v>
                </c:pt>
                <c:pt idx="30">
                  <c:v>42782</c:v>
                </c:pt>
                <c:pt idx="31">
                  <c:v>42781</c:v>
                </c:pt>
                <c:pt idx="32">
                  <c:v>42780</c:v>
                </c:pt>
                <c:pt idx="33">
                  <c:v>42779</c:v>
                </c:pt>
                <c:pt idx="34">
                  <c:v>42776</c:v>
                </c:pt>
                <c:pt idx="35">
                  <c:v>42775</c:v>
                </c:pt>
                <c:pt idx="36">
                  <c:v>42774</c:v>
                </c:pt>
                <c:pt idx="37">
                  <c:v>42773</c:v>
                </c:pt>
                <c:pt idx="38">
                  <c:v>42772</c:v>
                </c:pt>
                <c:pt idx="39">
                  <c:v>42769</c:v>
                </c:pt>
                <c:pt idx="40">
                  <c:v>42768</c:v>
                </c:pt>
                <c:pt idx="41">
                  <c:v>42767</c:v>
                </c:pt>
                <c:pt idx="42">
                  <c:v>42766</c:v>
                </c:pt>
                <c:pt idx="43">
                  <c:v>42765</c:v>
                </c:pt>
                <c:pt idx="44">
                  <c:v>42762</c:v>
                </c:pt>
                <c:pt idx="45">
                  <c:v>42761</c:v>
                </c:pt>
                <c:pt idx="46">
                  <c:v>42760</c:v>
                </c:pt>
                <c:pt idx="47">
                  <c:v>42759</c:v>
                </c:pt>
                <c:pt idx="48">
                  <c:v>42758</c:v>
                </c:pt>
                <c:pt idx="49">
                  <c:v>42755</c:v>
                </c:pt>
                <c:pt idx="50">
                  <c:v>42754</c:v>
                </c:pt>
                <c:pt idx="51">
                  <c:v>42753</c:v>
                </c:pt>
                <c:pt idx="52">
                  <c:v>42752</c:v>
                </c:pt>
                <c:pt idx="53">
                  <c:v>42748</c:v>
                </c:pt>
                <c:pt idx="54">
                  <c:v>42747</c:v>
                </c:pt>
                <c:pt idx="55">
                  <c:v>42746</c:v>
                </c:pt>
                <c:pt idx="56">
                  <c:v>42745</c:v>
                </c:pt>
                <c:pt idx="57">
                  <c:v>42744</c:v>
                </c:pt>
                <c:pt idx="58">
                  <c:v>42741</c:v>
                </c:pt>
                <c:pt idx="59">
                  <c:v>42740</c:v>
                </c:pt>
                <c:pt idx="60">
                  <c:v>42739</c:v>
                </c:pt>
                <c:pt idx="61">
                  <c:v>42738</c:v>
                </c:pt>
                <c:pt idx="62">
                  <c:v>42734</c:v>
                </c:pt>
                <c:pt idx="63">
                  <c:v>42733</c:v>
                </c:pt>
                <c:pt idx="64">
                  <c:v>42732</c:v>
                </c:pt>
                <c:pt idx="65">
                  <c:v>42731</c:v>
                </c:pt>
                <c:pt idx="66">
                  <c:v>42727</c:v>
                </c:pt>
                <c:pt idx="67">
                  <c:v>42726</c:v>
                </c:pt>
                <c:pt idx="68">
                  <c:v>42725</c:v>
                </c:pt>
                <c:pt idx="69">
                  <c:v>42724</c:v>
                </c:pt>
                <c:pt idx="70">
                  <c:v>42723</c:v>
                </c:pt>
                <c:pt idx="71">
                  <c:v>42720</c:v>
                </c:pt>
                <c:pt idx="72">
                  <c:v>42719</c:v>
                </c:pt>
                <c:pt idx="73">
                  <c:v>42718</c:v>
                </c:pt>
                <c:pt idx="74">
                  <c:v>42717</c:v>
                </c:pt>
                <c:pt idx="75">
                  <c:v>42716</c:v>
                </c:pt>
                <c:pt idx="76">
                  <c:v>42713</c:v>
                </c:pt>
                <c:pt idx="77">
                  <c:v>42712</c:v>
                </c:pt>
                <c:pt idx="78">
                  <c:v>42711</c:v>
                </c:pt>
                <c:pt idx="79">
                  <c:v>42710</c:v>
                </c:pt>
                <c:pt idx="80">
                  <c:v>42709</c:v>
                </c:pt>
                <c:pt idx="81">
                  <c:v>42706</c:v>
                </c:pt>
                <c:pt idx="82">
                  <c:v>42705</c:v>
                </c:pt>
                <c:pt idx="83">
                  <c:v>42704</c:v>
                </c:pt>
                <c:pt idx="84">
                  <c:v>42703</c:v>
                </c:pt>
                <c:pt idx="85">
                  <c:v>42702</c:v>
                </c:pt>
                <c:pt idx="86">
                  <c:v>42699</c:v>
                </c:pt>
                <c:pt idx="87">
                  <c:v>42697</c:v>
                </c:pt>
                <c:pt idx="88">
                  <c:v>42696</c:v>
                </c:pt>
                <c:pt idx="89">
                  <c:v>42695</c:v>
                </c:pt>
                <c:pt idx="90">
                  <c:v>42692</c:v>
                </c:pt>
                <c:pt idx="91">
                  <c:v>42691</c:v>
                </c:pt>
                <c:pt idx="92">
                  <c:v>42690</c:v>
                </c:pt>
                <c:pt idx="93">
                  <c:v>42689</c:v>
                </c:pt>
                <c:pt idx="94">
                  <c:v>42688</c:v>
                </c:pt>
                <c:pt idx="95">
                  <c:v>42685</c:v>
                </c:pt>
                <c:pt idx="96">
                  <c:v>42684</c:v>
                </c:pt>
                <c:pt idx="97">
                  <c:v>42683</c:v>
                </c:pt>
                <c:pt idx="98">
                  <c:v>42682</c:v>
                </c:pt>
                <c:pt idx="99">
                  <c:v>42681</c:v>
                </c:pt>
                <c:pt idx="100">
                  <c:v>42678</c:v>
                </c:pt>
                <c:pt idx="101">
                  <c:v>42677</c:v>
                </c:pt>
                <c:pt idx="102">
                  <c:v>42676</c:v>
                </c:pt>
                <c:pt idx="103">
                  <c:v>42675</c:v>
                </c:pt>
                <c:pt idx="104">
                  <c:v>42674</c:v>
                </c:pt>
                <c:pt idx="105">
                  <c:v>42671</c:v>
                </c:pt>
                <c:pt idx="106">
                  <c:v>42670</c:v>
                </c:pt>
                <c:pt idx="107">
                  <c:v>42669</c:v>
                </c:pt>
                <c:pt idx="108">
                  <c:v>42668</c:v>
                </c:pt>
                <c:pt idx="109">
                  <c:v>42667</c:v>
                </c:pt>
                <c:pt idx="110">
                  <c:v>42664</c:v>
                </c:pt>
                <c:pt idx="111">
                  <c:v>42663</c:v>
                </c:pt>
                <c:pt idx="112">
                  <c:v>42662</c:v>
                </c:pt>
                <c:pt idx="113">
                  <c:v>42661</c:v>
                </c:pt>
                <c:pt idx="114">
                  <c:v>42660</c:v>
                </c:pt>
                <c:pt idx="115">
                  <c:v>42657</c:v>
                </c:pt>
                <c:pt idx="116">
                  <c:v>42656</c:v>
                </c:pt>
                <c:pt idx="117">
                  <c:v>42655</c:v>
                </c:pt>
                <c:pt idx="118">
                  <c:v>42654</c:v>
                </c:pt>
                <c:pt idx="119">
                  <c:v>42653</c:v>
                </c:pt>
                <c:pt idx="120">
                  <c:v>42650</c:v>
                </c:pt>
                <c:pt idx="121">
                  <c:v>42649</c:v>
                </c:pt>
                <c:pt idx="122">
                  <c:v>42648</c:v>
                </c:pt>
                <c:pt idx="123">
                  <c:v>42647</c:v>
                </c:pt>
                <c:pt idx="124">
                  <c:v>42646</c:v>
                </c:pt>
                <c:pt idx="125">
                  <c:v>42643</c:v>
                </c:pt>
                <c:pt idx="126">
                  <c:v>42642</c:v>
                </c:pt>
                <c:pt idx="127">
                  <c:v>42641</c:v>
                </c:pt>
                <c:pt idx="128">
                  <c:v>42640</c:v>
                </c:pt>
                <c:pt idx="129">
                  <c:v>42639</c:v>
                </c:pt>
                <c:pt idx="130">
                  <c:v>42636</c:v>
                </c:pt>
                <c:pt idx="131">
                  <c:v>42635</c:v>
                </c:pt>
                <c:pt idx="132">
                  <c:v>42634</c:v>
                </c:pt>
                <c:pt idx="133">
                  <c:v>42633</c:v>
                </c:pt>
                <c:pt idx="134">
                  <c:v>42632</c:v>
                </c:pt>
                <c:pt idx="135">
                  <c:v>42629</c:v>
                </c:pt>
                <c:pt idx="136">
                  <c:v>42628</c:v>
                </c:pt>
                <c:pt idx="137">
                  <c:v>42627</c:v>
                </c:pt>
                <c:pt idx="138">
                  <c:v>42626</c:v>
                </c:pt>
                <c:pt idx="139">
                  <c:v>42625</c:v>
                </c:pt>
                <c:pt idx="140">
                  <c:v>42622</c:v>
                </c:pt>
                <c:pt idx="141">
                  <c:v>42621</c:v>
                </c:pt>
                <c:pt idx="142">
                  <c:v>42620</c:v>
                </c:pt>
                <c:pt idx="143">
                  <c:v>42619</c:v>
                </c:pt>
                <c:pt idx="144">
                  <c:v>42615</c:v>
                </c:pt>
                <c:pt idx="145">
                  <c:v>42614</c:v>
                </c:pt>
                <c:pt idx="146">
                  <c:v>42613</c:v>
                </c:pt>
                <c:pt idx="147">
                  <c:v>42612</c:v>
                </c:pt>
                <c:pt idx="148">
                  <c:v>42611</c:v>
                </c:pt>
                <c:pt idx="149">
                  <c:v>42608</c:v>
                </c:pt>
                <c:pt idx="150">
                  <c:v>42607</c:v>
                </c:pt>
                <c:pt idx="151">
                  <c:v>42606</c:v>
                </c:pt>
                <c:pt idx="152">
                  <c:v>42605</c:v>
                </c:pt>
                <c:pt idx="153">
                  <c:v>42604</c:v>
                </c:pt>
                <c:pt idx="154">
                  <c:v>42601</c:v>
                </c:pt>
                <c:pt idx="155">
                  <c:v>42600</c:v>
                </c:pt>
                <c:pt idx="156">
                  <c:v>42599</c:v>
                </c:pt>
                <c:pt idx="157">
                  <c:v>42598</c:v>
                </c:pt>
                <c:pt idx="158">
                  <c:v>42597</c:v>
                </c:pt>
                <c:pt idx="159">
                  <c:v>42594</c:v>
                </c:pt>
                <c:pt idx="160">
                  <c:v>42593</c:v>
                </c:pt>
                <c:pt idx="161">
                  <c:v>42592</c:v>
                </c:pt>
                <c:pt idx="162">
                  <c:v>42591</c:v>
                </c:pt>
                <c:pt idx="163">
                  <c:v>42590</c:v>
                </c:pt>
                <c:pt idx="164">
                  <c:v>42587</c:v>
                </c:pt>
                <c:pt idx="165">
                  <c:v>42586</c:v>
                </c:pt>
                <c:pt idx="166">
                  <c:v>42585</c:v>
                </c:pt>
                <c:pt idx="167">
                  <c:v>42584</c:v>
                </c:pt>
                <c:pt idx="168">
                  <c:v>42583</c:v>
                </c:pt>
                <c:pt idx="169">
                  <c:v>42580</c:v>
                </c:pt>
                <c:pt idx="170">
                  <c:v>42579</c:v>
                </c:pt>
                <c:pt idx="171">
                  <c:v>42578</c:v>
                </c:pt>
                <c:pt idx="172">
                  <c:v>42577</c:v>
                </c:pt>
                <c:pt idx="173">
                  <c:v>42576</c:v>
                </c:pt>
                <c:pt idx="174">
                  <c:v>42573</c:v>
                </c:pt>
                <c:pt idx="175">
                  <c:v>42572</c:v>
                </c:pt>
                <c:pt idx="176">
                  <c:v>42571</c:v>
                </c:pt>
                <c:pt idx="177">
                  <c:v>42570</c:v>
                </c:pt>
                <c:pt idx="178">
                  <c:v>42569</c:v>
                </c:pt>
                <c:pt idx="179">
                  <c:v>42566</c:v>
                </c:pt>
                <c:pt idx="180">
                  <c:v>42565</c:v>
                </c:pt>
                <c:pt idx="181">
                  <c:v>42564</c:v>
                </c:pt>
                <c:pt idx="182">
                  <c:v>42563</c:v>
                </c:pt>
                <c:pt idx="183">
                  <c:v>42562</c:v>
                </c:pt>
                <c:pt idx="184">
                  <c:v>42559</c:v>
                </c:pt>
                <c:pt idx="185">
                  <c:v>42558</c:v>
                </c:pt>
                <c:pt idx="186">
                  <c:v>42557</c:v>
                </c:pt>
                <c:pt idx="187">
                  <c:v>42556</c:v>
                </c:pt>
                <c:pt idx="188">
                  <c:v>42552</c:v>
                </c:pt>
                <c:pt idx="189">
                  <c:v>42551</c:v>
                </c:pt>
                <c:pt idx="190">
                  <c:v>42550</c:v>
                </c:pt>
                <c:pt idx="191">
                  <c:v>42549</c:v>
                </c:pt>
                <c:pt idx="192">
                  <c:v>42548</c:v>
                </c:pt>
                <c:pt idx="193">
                  <c:v>42545</c:v>
                </c:pt>
                <c:pt idx="194">
                  <c:v>42544</c:v>
                </c:pt>
                <c:pt idx="195">
                  <c:v>42543</c:v>
                </c:pt>
                <c:pt idx="196">
                  <c:v>42542</c:v>
                </c:pt>
                <c:pt idx="197">
                  <c:v>42541</c:v>
                </c:pt>
                <c:pt idx="198">
                  <c:v>42538</c:v>
                </c:pt>
                <c:pt idx="199">
                  <c:v>42537</c:v>
                </c:pt>
                <c:pt idx="200">
                  <c:v>42536</c:v>
                </c:pt>
                <c:pt idx="201">
                  <c:v>42535</c:v>
                </c:pt>
                <c:pt idx="202">
                  <c:v>42534</c:v>
                </c:pt>
                <c:pt idx="203">
                  <c:v>42531</c:v>
                </c:pt>
                <c:pt idx="204">
                  <c:v>42530</c:v>
                </c:pt>
                <c:pt idx="205">
                  <c:v>42529</c:v>
                </c:pt>
                <c:pt idx="206">
                  <c:v>42528</c:v>
                </c:pt>
                <c:pt idx="207">
                  <c:v>42527</c:v>
                </c:pt>
                <c:pt idx="208">
                  <c:v>42524</c:v>
                </c:pt>
                <c:pt idx="209">
                  <c:v>42523</c:v>
                </c:pt>
                <c:pt idx="210">
                  <c:v>42522</c:v>
                </c:pt>
                <c:pt idx="211">
                  <c:v>42521</c:v>
                </c:pt>
                <c:pt idx="212">
                  <c:v>42517</c:v>
                </c:pt>
                <c:pt idx="213">
                  <c:v>42516</c:v>
                </c:pt>
                <c:pt idx="214">
                  <c:v>42515</c:v>
                </c:pt>
                <c:pt idx="215">
                  <c:v>42514</c:v>
                </c:pt>
                <c:pt idx="216">
                  <c:v>42513</c:v>
                </c:pt>
                <c:pt idx="217">
                  <c:v>42510</c:v>
                </c:pt>
                <c:pt idx="218">
                  <c:v>42509</c:v>
                </c:pt>
                <c:pt idx="219">
                  <c:v>42508</c:v>
                </c:pt>
                <c:pt idx="220">
                  <c:v>42507</c:v>
                </c:pt>
                <c:pt idx="221">
                  <c:v>42506</c:v>
                </c:pt>
                <c:pt idx="222">
                  <c:v>42503</c:v>
                </c:pt>
                <c:pt idx="223">
                  <c:v>42502</c:v>
                </c:pt>
                <c:pt idx="224">
                  <c:v>42501</c:v>
                </c:pt>
                <c:pt idx="225">
                  <c:v>42500</c:v>
                </c:pt>
                <c:pt idx="226">
                  <c:v>42499</c:v>
                </c:pt>
                <c:pt idx="227">
                  <c:v>42496</c:v>
                </c:pt>
                <c:pt idx="228">
                  <c:v>42495</c:v>
                </c:pt>
                <c:pt idx="229">
                  <c:v>42494</c:v>
                </c:pt>
                <c:pt idx="230">
                  <c:v>42493</c:v>
                </c:pt>
                <c:pt idx="231">
                  <c:v>42492</c:v>
                </c:pt>
                <c:pt idx="232">
                  <c:v>42489</c:v>
                </c:pt>
                <c:pt idx="233">
                  <c:v>42488</c:v>
                </c:pt>
                <c:pt idx="234">
                  <c:v>42487</c:v>
                </c:pt>
                <c:pt idx="235">
                  <c:v>42486</c:v>
                </c:pt>
                <c:pt idx="236">
                  <c:v>42485</c:v>
                </c:pt>
                <c:pt idx="237">
                  <c:v>42482</c:v>
                </c:pt>
                <c:pt idx="238">
                  <c:v>42481</c:v>
                </c:pt>
                <c:pt idx="239">
                  <c:v>42480</c:v>
                </c:pt>
                <c:pt idx="240">
                  <c:v>42479</c:v>
                </c:pt>
                <c:pt idx="241">
                  <c:v>42478</c:v>
                </c:pt>
                <c:pt idx="242">
                  <c:v>42475</c:v>
                </c:pt>
                <c:pt idx="243">
                  <c:v>42474</c:v>
                </c:pt>
                <c:pt idx="244">
                  <c:v>42473</c:v>
                </c:pt>
                <c:pt idx="245">
                  <c:v>42472</c:v>
                </c:pt>
                <c:pt idx="246">
                  <c:v>42471</c:v>
                </c:pt>
                <c:pt idx="247">
                  <c:v>42468</c:v>
                </c:pt>
                <c:pt idx="248">
                  <c:v>42467</c:v>
                </c:pt>
                <c:pt idx="249">
                  <c:v>42466</c:v>
                </c:pt>
                <c:pt idx="250">
                  <c:v>42465</c:v>
                </c:pt>
                <c:pt idx="251">
                  <c:v>42464</c:v>
                </c:pt>
                <c:pt idx="252">
                  <c:v>42461</c:v>
                </c:pt>
                <c:pt idx="253">
                  <c:v>42460</c:v>
                </c:pt>
                <c:pt idx="254">
                  <c:v>42459</c:v>
                </c:pt>
                <c:pt idx="255">
                  <c:v>42458</c:v>
                </c:pt>
                <c:pt idx="256">
                  <c:v>42457</c:v>
                </c:pt>
                <c:pt idx="257">
                  <c:v>42453</c:v>
                </c:pt>
                <c:pt idx="258">
                  <c:v>42452</c:v>
                </c:pt>
                <c:pt idx="259">
                  <c:v>42451</c:v>
                </c:pt>
                <c:pt idx="260">
                  <c:v>42450</c:v>
                </c:pt>
                <c:pt idx="261">
                  <c:v>42447</c:v>
                </c:pt>
                <c:pt idx="262">
                  <c:v>42446</c:v>
                </c:pt>
                <c:pt idx="263">
                  <c:v>42445</c:v>
                </c:pt>
                <c:pt idx="264">
                  <c:v>42444</c:v>
                </c:pt>
                <c:pt idx="265">
                  <c:v>42443</c:v>
                </c:pt>
                <c:pt idx="266">
                  <c:v>42440</c:v>
                </c:pt>
                <c:pt idx="267">
                  <c:v>42439</c:v>
                </c:pt>
                <c:pt idx="268">
                  <c:v>42438</c:v>
                </c:pt>
                <c:pt idx="269">
                  <c:v>42437</c:v>
                </c:pt>
                <c:pt idx="270">
                  <c:v>42436</c:v>
                </c:pt>
                <c:pt idx="271">
                  <c:v>42433</c:v>
                </c:pt>
                <c:pt idx="272">
                  <c:v>42432</c:v>
                </c:pt>
                <c:pt idx="273">
                  <c:v>42431</c:v>
                </c:pt>
                <c:pt idx="274">
                  <c:v>42430</c:v>
                </c:pt>
                <c:pt idx="275">
                  <c:v>42429</c:v>
                </c:pt>
                <c:pt idx="276">
                  <c:v>42426</c:v>
                </c:pt>
                <c:pt idx="277">
                  <c:v>42425</c:v>
                </c:pt>
                <c:pt idx="278">
                  <c:v>42424</c:v>
                </c:pt>
                <c:pt idx="279">
                  <c:v>42423</c:v>
                </c:pt>
                <c:pt idx="280">
                  <c:v>42422</c:v>
                </c:pt>
                <c:pt idx="281">
                  <c:v>42419</c:v>
                </c:pt>
                <c:pt idx="282">
                  <c:v>42418</c:v>
                </c:pt>
                <c:pt idx="283">
                  <c:v>42417</c:v>
                </c:pt>
                <c:pt idx="284">
                  <c:v>42416</c:v>
                </c:pt>
                <c:pt idx="285">
                  <c:v>42412</c:v>
                </c:pt>
                <c:pt idx="286">
                  <c:v>42411</c:v>
                </c:pt>
                <c:pt idx="287">
                  <c:v>42410</c:v>
                </c:pt>
                <c:pt idx="288">
                  <c:v>42409</c:v>
                </c:pt>
                <c:pt idx="289">
                  <c:v>42408</c:v>
                </c:pt>
                <c:pt idx="290">
                  <c:v>42405</c:v>
                </c:pt>
                <c:pt idx="291">
                  <c:v>42404</c:v>
                </c:pt>
                <c:pt idx="292">
                  <c:v>42403</c:v>
                </c:pt>
                <c:pt idx="293">
                  <c:v>42402</c:v>
                </c:pt>
                <c:pt idx="294">
                  <c:v>42401</c:v>
                </c:pt>
                <c:pt idx="295">
                  <c:v>42398</c:v>
                </c:pt>
                <c:pt idx="296">
                  <c:v>42397</c:v>
                </c:pt>
                <c:pt idx="297">
                  <c:v>42396</c:v>
                </c:pt>
                <c:pt idx="298">
                  <c:v>42395</c:v>
                </c:pt>
                <c:pt idx="299">
                  <c:v>42394</c:v>
                </c:pt>
                <c:pt idx="300">
                  <c:v>42391</c:v>
                </c:pt>
                <c:pt idx="301">
                  <c:v>42390</c:v>
                </c:pt>
                <c:pt idx="302">
                  <c:v>42389</c:v>
                </c:pt>
                <c:pt idx="303">
                  <c:v>42388</c:v>
                </c:pt>
                <c:pt idx="304">
                  <c:v>42384</c:v>
                </c:pt>
                <c:pt idx="305">
                  <c:v>42383</c:v>
                </c:pt>
                <c:pt idx="306">
                  <c:v>42382</c:v>
                </c:pt>
                <c:pt idx="307">
                  <c:v>42381</c:v>
                </c:pt>
                <c:pt idx="308">
                  <c:v>42380</c:v>
                </c:pt>
                <c:pt idx="309">
                  <c:v>42377</c:v>
                </c:pt>
                <c:pt idx="310">
                  <c:v>42376</c:v>
                </c:pt>
                <c:pt idx="311">
                  <c:v>42375</c:v>
                </c:pt>
                <c:pt idx="312">
                  <c:v>42374</c:v>
                </c:pt>
                <c:pt idx="313">
                  <c:v>42373</c:v>
                </c:pt>
                <c:pt idx="314">
                  <c:v>42369</c:v>
                </c:pt>
                <c:pt idx="315">
                  <c:v>42368</c:v>
                </c:pt>
                <c:pt idx="316">
                  <c:v>42367</c:v>
                </c:pt>
                <c:pt idx="317">
                  <c:v>42366</c:v>
                </c:pt>
                <c:pt idx="318">
                  <c:v>42362</c:v>
                </c:pt>
                <c:pt idx="319">
                  <c:v>42361</c:v>
                </c:pt>
                <c:pt idx="320">
                  <c:v>42360</c:v>
                </c:pt>
                <c:pt idx="321">
                  <c:v>42359</c:v>
                </c:pt>
                <c:pt idx="322">
                  <c:v>42356</c:v>
                </c:pt>
                <c:pt idx="323">
                  <c:v>42355</c:v>
                </c:pt>
                <c:pt idx="324">
                  <c:v>42354</c:v>
                </c:pt>
                <c:pt idx="325">
                  <c:v>42353</c:v>
                </c:pt>
                <c:pt idx="326">
                  <c:v>42352</c:v>
                </c:pt>
                <c:pt idx="327">
                  <c:v>42349</c:v>
                </c:pt>
                <c:pt idx="328">
                  <c:v>42348</c:v>
                </c:pt>
                <c:pt idx="329">
                  <c:v>42347</c:v>
                </c:pt>
                <c:pt idx="330">
                  <c:v>42346</c:v>
                </c:pt>
                <c:pt idx="331">
                  <c:v>42345</c:v>
                </c:pt>
                <c:pt idx="332">
                  <c:v>42342</c:v>
                </c:pt>
                <c:pt idx="333">
                  <c:v>42341</c:v>
                </c:pt>
                <c:pt idx="334">
                  <c:v>42340</c:v>
                </c:pt>
                <c:pt idx="335">
                  <c:v>42339</c:v>
                </c:pt>
                <c:pt idx="336">
                  <c:v>42338</c:v>
                </c:pt>
                <c:pt idx="337">
                  <c:v>42335</c:v>
                </c:pt>
                <c:pt idx="338">
                  <c:v>42333</c:v>
                </c:pt>
                <c:pt idx="339">
                  <c:v>42332</c:v>
                </c:pt>
                <c:pt idx="340">
                  <c:v>42331</c:v>
                </c:pt>
                <c:pt idx="341">
                  <c:v>42328</c:v>
                </c:pt>
                <c:pt idx="342">
                  <c:v>42327</c:v>
                </c:pt>
                <c:pt idx="343">
                  <c:v>42326</c:v>
                </c:pt>
                <c:pt idx="344">
                  <c:v>42325</c:v>
                </c:pt>
                <c:pt idx="345">
                  <c:v>42324</c:v>
                </c:pt>
                <c:pt idx="346">
                  <c:v>42321</c:v>
                </c:pt>
                <c:pt idx="347">
                  <c:v>42320</c:v>
                </c:pt>
                <c:pt idx="348">
                  <c:v>42319</c:v>
                </c:pt>
                <c:pt idx="349">
                  <c:v>42318</c:v>
                </c:pt>
                <c:pt idx="350">
                  <c:v>42317</c:v>
                </c:pt>
                <c:pt idx="351">
                  <c:v>42314</c:v>
                </c:pt>
                <c:pt idx="352">
                  <c:v>42313</c:v>
                </c:pt>
                <c:pt idx="353">
                  <c:v>42312</c:v>
                </c:pt>
                <c:pt idx="354">
                  <c:v>42311</c:v>
                </c:pt>
                <c:pt idx="355">
                  <c:v>42310</c:v>
                </c:pt>
                <c:pt idx="356">
                  <c:v>42307</c:v>
                </c:pt>
                <c:pt idx="357">
                  <c:v>42306</c:v>
                </c:pt>
                <c:pt idx="358">
                  <c:v>42305</c:v>
                </c:pt>
                <c:pt idx="359">
                  <c:v>42304</c:v>
                </c:pt>
                <c:pt idx="360">
                  <c:v>42303</c:v>
                </c:pt>
                <c:pt idx="361">
                  <c:v>42300</c:v>
                </c:pt>
                <c:pt idx="362">
                  <c:v>42299</c:v>
                </c:pt>
                <c:pt idx="363">
                  <c:v>42298</c:v>
                </c:pt>
                <c:pt idx="364">
                  <c:v>42297</c:v>
                </c:pt>
                <c:pt idx="365">
                  <c:v>42296</c:v>
                </c:pt>
                <c:pt idx="366">
                  <c:v>42293</c:v>
                </c:pt>
                <c:pt idx="367">
                  <c:v>42292</c:v>
                </c:pt>
                <c:pt idx="368">
                  <c:v>42291</c:v>
                </c:pt>
                <c:pt idx="369">
                  <c:v>42290</c:v>
                </c:pt>
                <c:pt idx="370">
                  <c:v>42289</c:v>
                </c:pt>
                <c:pt idx="371">
                  <c:v>42286</c:v>
                </c:pt>
                <c:pt idx="372">
                  <c:v>42285</c:v>
                </c:pt>
                <c:pt idx="373">
                  <c:v>42284</c:v>
                </c:pt>
                <c:pt idx="374">
                  <c:v>42283</c:v>
                </c:pt>
                <c:pt idx="375">
                  <c:v>42282</c:v>
                </c:pt>
                <c:pt idx="376">
                  <c:v>42279</c:v>
                </c:pt>
                <c:pt idx="377">
                  <c:v>42278</c:v>
                </c:pt>
                <c:pt idx="378">
                  <c:v>42277</c:v>
                </c:pt>
                <c:pt idx="379">
                  <c:v>42276</c:v>
                </c:pt>
                <c:pt idx="380">
                  <c:v>42275</c:v>
                </c:pt>
                <c:pt idx="381">
                  <c:v>42272</c:v>
                </c:pt>
                <c:pt idx="382">
                  <c:v>42271</c:v>
                </c:pt>
                <c:pt idx="383">
                  <c:v>42270</c:v>
                </c:pt>
                <c:pt idx="384">
                  <c:v>42269</c:v>
                </c:pt>
                <c:pt idx="385">
                  <c:v>42268</c:v>
                </c:pt>
                <c:pt idx="386">
                  <c:v>42265</c:v>
                </c:pt>
                <c:pt idx="387">
                  <c:v>42264</c:v>
                </c:pt>
                <c:pt idx="388">
                  <c:v>42263</c:v>
                </c:pt>
                <c:pt idx="389">
                  <c:v>42262</c:v>
                </c:pt>
                <c:pt idx="390">
                  <c:v>42261</c:v>
                </c:pt>
                <c:pt idx="391">
                  <c:v>42258</c:v>
                </c:pt>
                <c:pt idx="392">
                  <c:v>42257</c:v>
                </c:pt>
                <c:pt idx="393">
                  <c:v>42256</c:v>
                </c:pt>
                <c:pt idx="394">
                  <c:v>42255</c:v>
                </c:pt>
                <c:pt idx="395">
                  <c:v>42251</c:v>
                </c:pt>
                <c:pt idx="396">
                  <c:v>42250</c:v>
                </c:pt>
                <c:pt idx="397">
                  <c:v>42249</c:v>
                </c:pt>
                <c:pt idx="398">
                  <c:v>42248</c:v>
                </c:pt>
                <c:pt idx="399">
                  <c:v>42247</c:v>
                </c:pt>
                <c:pt idx="400">
                  <c:v>42244</c:v>
                </c:pt>
                <c:pt idx="401">
                  <c:v>42243</c:v>
                </c:pt>
                <c:pt idx="402">
                  <c:v>42242</c:v>
                </c:pt>
                <c:pt idx="403">
                  <c:v>42241</c:v>
                </c:pt>
                <c:pt idx="404">
                  <c:v>42240</c:v>
                </c:pt>
                <c:pt idx="405">
                  <c:v>42237</c:v>
                </c:pt>
                <c:pt idx="406">
                  <c:v>42236</c:v>
                </c:pt>
                <c:pt idx="407">
                  <c:v>42235</c:v>
                </c:pt>
                <c:pt idx="408">
                  <c:v>42234</c:v>
                </c:pt>
                <c:pt idx="409">
                  <c:v>42233</c:v>
                </c:pt>
                <c:pt idx="410">
                  <c:v>42230</c:v>
                </c:pt>
                <c:pt idx="411">
                  <c:v>42229</c:v>
                </c:pt>
                <c:pt idx="412">
                  <c:v>42228</c:v>
                </c:pt>
                <c:pt idx="413">
                  <c:v>42227</c:v>
                </c:pt>
                <c:pt idx="414">
                  <c:v>42226</c:v>
                </c:pt>
                <c:pt idx="415">
                  <c:v>42223</c:v>
                </c:pt>
                <c:pt idx="416">
                  <c:v>42222</c:v>
                </c:pt>
                <c:pt idx="417">
                  <c:v>42221</c:v>
                </c:pt>
                <c:pt idx="418">
                  <c:v>42220</c:v>
                </c:pt>
                <c:pt idx="419">
                  <c:v>42219</c:v>
                </c:pt>
                <c:pt idx="420">
                  <c:v>42216</c:v>
                </c:pt>
                <c:pt idx="421">
                  <c:v>42215</c:v>
                </c:pt>
                <c:pt idx="422">
                  <c:v>42214</c:v>
                </c:pt>
                <c:pt idx="423">
                  <c:v>42213</c:v>
                </c:pt>
                <c:pt idx="424">
                  <c:v>42212</c:v>
                </c:pt>
                <c:pt idx="425">
                  <c:v>42209</c:v>
                </c:pt>
                <c:pt idx="426">
                  <c:v>42208</c:v>
                </c:pt>
                <c:pt idx="427">
                  <c:v>42207</c:v>
                </c:pt>
                <c:pt idx="428">
                  <c:v>42206</c:v>
                </c:pt>
                <c:pt idx="429">
                  <c:v>42205</c:v>
                </c:pt>
                <c:pt idx="430">
                  <c:v>42202</c:v>
                </c:pt>
                <c:pt idx="431">
                  <c:v>42201</c:v>
                </c:pt>
                <c:pt idx="432">
                  <c:v>42200</c:v>
                </c:pt>
                <c:pt idx="433">
                  <c:v>42199</c:v>
                </c:pt>
                <c:pt idx="434">
                  <c:v>42198</c:v>
                </c:pt>
                <c:pt idx="435">
                  <c:v>42195</c:v>
                </c:pt>
                <c:pt idx="436">
                  <c:v>42194</c:v>
                </c:pt>
                <c:pt idx="437">
                  <c:v>42193</c:v>
                </c:pt>
                <c:pt idx="438">
                  <c:v>42192</c:v>
                </c:pt>
                <c:pt idx="439">
                  <c:v>42191</c:v>
                </c:pt>
                <c:pt idx="440">
                  <c:v>42187</c:v>
                </c:pt>
                <c:pt idx="441">
                  <c:v>42186</c:v>
                </c:pt>
                <c:pt idx="442">
                  <c:v>42185</c:v>
                </c:pt>
                <c:pt idx="443">
                  <c:v>42184</c:v>
                </c:pt>
                <c:pt idx="444">
                  <c:v>42181</c:v>
                </c:pt>
                <c:pt idx="445">
                  <c:v>42180</c:v>
                </c:pt>
                <c:pt idx="446">
                  <c:v>42179</c:v>
                </c:pt>
                <c:pt idx="447">
                  <c:v>42178</c:v>
                </c:pt>
                <c:pt idx="448">
                  <c:v>42177</c:v>
                </c:pt>
                <c:pt idx="449">
                  <c:v>42174</c:v>
                </c:pt>
                <c:pt idx="450">
                  <c:v>42173</c:v>
                </c:pt>
                <c:pt idx="451">
                  <c:v>42172</c:v>
                </c:pt>
                <c:pt idx="452">
                  <c:v>42171</c:v>
                </c:pt>
                <c:pt idx="453">
                  <c:v>42170</c:v>
                </c:pt>
                <c:pt idx="454">
                  <c:v>42167</c:v>
                </c:pt>
                <c:pt idx="455">
                  <c:v>42166</c:v>
                </c:pt>
                <c:pt idx="456">
                  <c:v>42165</c:v>
                </c:pt>
                <c:pt idx="457">
                  <c:v>42164</c:v>
                </c:pt>
                <c:pt idx="458">
                  <c:v>42163</c:v>
                </c:pt>
                <c:pt idx="459">
                  <c:v>42160</c:v>
                </c:pt>
                <c:pt idx="460">
                  <c:v>42159</c:v>
                </c:pt>
                <c:pt idx="461">
                  <c:v>42158</c:v>
                </c:pt>
                <c:pt idx="462">
                  <c:v>42157</c:v>
                </c:pt>
                <c:pt idx="463">
                  <c:v>42156</c:v>
                </c:pt>
                <c:pt idx="464">
                  <c:v>42153</c:v>
                </c:pt>
                <c:pt idx="465">
                  <c:v>42152</c:v>
                </c:pt>
                <c:pt idx="466">
                  <c:v>42151</c:v>
                </c:pt>
                <c:pt idx="467">
                  <c:v>42150</c:v>
                </c:pt>
                <c:pt idx="468">
                  <c:v>42146</c:v>
                </c:pt>
                <c:pt idx="469">
                  <c:v>42145</c:v>
                </c:pt>
                <c:pt idx="470">
                  <c:v>42144</c:v>
                </c:pt>
                <c:pt idx="471">
                  <c:v>42143</c:v>
                </c:pt>
                <c:pt idx="472">
                  <c:v>42142</c:v>
                </c:pt>
                <c:pt idx="473">
                  <c:v>42139</c:v>
                </c:pt>
                <c:pt idx="474">
                  <c:v>42138</c:v>
                </c:pt>
                <c:pt idx="475">
                  <c:v>42137</c:v>
                </c:pt>
                <c:pt idx="476">
                  <c:v>42136</c:v>
                </c:pt>
                <c:pt idx="477">
                  <c:v>42135</c:v>
                </c:pt>
                <c:pt idx="478">
                  <c:v>42132</c:v>
                </c:pt>
                <c:pt idx="479">
                  <c:v>42131</c:v>
                </c:pt>
                <c:pt idx="480">
                  <c:v>42130</c:v>
                </c:pt>
                <c:pt idx="481">
                  <c:v>42129</c:v>
                </c:pt>
                <c:pt idx="482">
                  <c:v>42128</c:v>
                </c:pt>
                <c:pt idx="483">
                  <c:v>42125</c:v>
                </c:pt>
                <c:pt idx="484">
                  <c:v>42124</c:v>
                </c:pt>
                <c:pt idx="485">
                  <c:v>42123</c:v>
                </c:pt>
                <c:pt idx="486">
                  <c:v>42122</c:v>
                </c:pt>
                <c:pt idx="487">
                  <c:v>42121</c:v>
                </c:pt>
                <c:pt idx="488">
                  <c:v>42118</c:v>
                </c:pt>
                <c:pt idx="489">
                  <c:v>42117</c:v>
                </c:pt>
                <c:pt idx="490">
                  <c:v>42116</c:v>
                </c:pt>
                <c:pt idx="491">
                  <c:v>42115</c:v>
                </c:pt>
                <c:pt idx="492">
                  <c:v>42114</c:v>
                </c:pt>
                <c:pt idx="493">
                  <c:v>42111</c:v>
                </c:pt>
                <c:pt idx="494">
                  <c:v>42110</c:v>
                </c:pt>
                <c:pt idx="495">
                  <c:v>42109</c:v>
                </c:pt>
                <c:pt idx="496">
                  <c:v>42108</c:v>
                </c:pt>
                <c:pt idx="497">
                  <c:v>42107</c:v>
                </c:pt>
                <c:pt idx="498">
                  <c:v>42104</c:v>
                </c:pt>
                <c:pt idx="499">
                  <c:v>42103</c:v>
                </c:pt>
                <c:pt idx="500">
                  <c:v>42102</c:v>
                </c:pt>
                <c:pt idx="501">
                  <c:v>42101</c:v>
                </c:pt>
                <c:pt idx="502">
                  <c:v>42100</c:v>
                </c:pt>
                <c:pt idx="503">
                  <c:v>42096</c:v>
                </c:pt>
                <c:pt idx="504">
                  <c:v>42095</c:v>
                </c:pt>
                <c:pt idx="505">
                  <c:v>42094</c:v>
                </c:pt>
                <c:pt idx="506">
                  <c:v>42093</c:v>
                </c:pt>
                <c:pt idx="507">
                  <c:v>42090</c:v>
                </c:pt>
                <c:pt idx="508">
                  <c:v>42089</c:v>
                </c:pt>
                <c:pt idx="509">
                  <c:v>42088</c:v>
                </c:pt>
                <c:pt idx="510">
                  <c:v>42087</c:v>
                </c:pt>
                <c:pt idx="511">
                  <c:v>42086</c:v>
                </c:pt>
                <c:pt idx="512">
                  <c:v>42083</c:v>
                </c:pt>
                <c:pt idx="513">
                  <c:v>42082</c:v>
                </c:pt>
                <c:pt idx="514">
                  <c:v>42081</c:v>
                </c:pt>
                <c:pt idx="515">
                  <c:v>42080</c:v>
                </c:pt>
                <c:pt idx="516">
                  <c:v>42079</c:v>
                </c:pt>
                <c:pt idx="517">
                  <c:v>42076</c:v>
                </c:pt>
                <c:pt idx="518">
                  <c:v>42075</c:v>
                </c:pt>
                <c:pt idx="519">
                  <c:v>42074</c:v>
                </c:pt>
                <c:pt idx="520">
                  <c:v>42073</c:v>
                </c:pt>
                <c:pt idx="521">
                  <c:v>42072</c:v>
                </c:pt>
                <c:pt idx="522">
                  <c:v>42069</c:v>
                </c:pt>
                <c:pt idx="523">
                  <c:v>42068</c:v>
                </c:pt>
                <c:pt idx="524">
                  <c:v>42067</c:v>
                </c:pt>
                <c:pt idx="525">
                  <c:v>42066</c:v>
                </c:pt>
                <c:pt idx="526">
                  <c:v>42065</c:v>
                </c:pt>
                <c:pt idx="527">
                  <c:v>42062</c:v>
                </c:pt>
                <c:pt idx="528">
                  <c:v>42061</c:v>
                </c:pt>
                <c:pt idx="529">
                  <c:v>42060</c:v>
                </c:pt>
                <c:pt idx="530">
                  <c:v>42059</c:v>
                </c:pt>
                <c:pt idx="531">
                  <c:v>42058</c:v>
                </c:pt>
                <c:pt idx="532">
                  <c:v>42055</c:v>
                </c:pt>
                <c:pt idx="533">
                  <c:v>42054</c:v>
                </c:pt>
                <c:pt idx="534">
                  <c:v>42053</c:v>
                </c:pt>
                <c:pt idx="535">
                  <c:v>42052</c:v>
                </c:pt>
                <c:pt idx="536">
                  <c:v>42048</c:v>
                </c:pt>
                <c:pt idx="537">
                  <c:v>42047</c:v>
                </c:pt>
                <c:pt idx="538">
                  <c:v>42046</c:v>
                </c:pt>
                <c:pt idx="539">
                  <c:v>42045</c:v>
                </c:pt>
                <c:pt idx="540">
                  <c:v>42044</c:v>
                </c:pt>
                <c:pt idx="541">
                  <c:v>42041</c:v>
                </c:pt>
                <c:pt idx="542">
                  <c:v>42040</c:v>
                </c:pt>
                <c:pt idx="543">
                  <c:v>42039</c:v>
                </c:pt>
                <c:pt idx="544">
                  <c:v>42038</c:v>
                </c:pt>
                <c:pt idx="545">
                  <c:v>42037</c:v>
                </c:pt>
                <c:pt idx="546">
                  <c:v>42034</c:v>
                </c:pt>
                <c:pt idx="547">
                  <c:v>42033</c:v>
                </c:pt>
                <c:pt idx="548">
                  <c:v>42032</c:v>
                </c:pt>
                <c:pt idx="549">
                  <c:v>42031</c:v>
                </c:pt>
                <c:pt idx="550">
                  <c:v>42030</c:v>
                </c:pt>
                <c:pt idx="551">
                  <c:v>42027</c:v>
                </c:pt>
                <c:pt idx="552">
                  <c:v>42026</c:v>
                </c:pt>
                <c:pt idx="553">
                  <c:v>42025</c:v>
                </c:pt>
                <c:pt idx="554">
                  <c:v>42024</c:v>
                </c:pt>
                <c:pt idx="555">
                  <c:v>42020</c:v>
                </c:pt>
                <c:pt idx="556">
                  <c:v>42019</c:v>
                </c:pt>
                <c:pt idx="557">
                  <c:v>42018</c:v>
                </c:pt>
                <c:pt idx="558">
                  <c:v>42017</c:v>
                </c:pt>
                <c:pt idx="559">
                  <c:v>42016</c:v>
                </c:pt>
                <c:pt idx="560">
                  <c:v>42013</c:v>
                </c:pt>
                <c:pt idx="561">
                  <c:v>42012</c:v>
                </c:pt>
                <c:pt idx="562">
                  <c:v>42011</c:v>
                </c:pt>
                <c:pt idx="563">
                  <c:v>42010</c:v>
                </c:pt>
                <c:pt idx="564">
                  <c:v>42009</c:v>
                </c:pt>
                <c:pt idx="565">
                  <c:v>42006</c:v>
                </c:pt>
                <c:pt idx="566">
                  <c:v>42004</c:v>
                </c:pt>
                <c:pt idx="567">
                  <c:v>42003</c:v>
                </c:pt>
                <c:pt idx="568">
                  <c:v>42002</c:v>
                </c:pt>
                <c:pt idx="569">
                  <c:v>41999</c:v>
                </c:pt>
                <c:pt idx="570">
                  <c:v>41997</c:v>
                </c:pt>
                <c:pt idx="571">
                  <c:v>41996</c:v>
                </c:pt>
                <c:pt idx="572">
                  <c:v>41995</c:v>
                </c:pt>
                <c:pt idx="573">
                  <c:v>41992</c:v>
                </c:pt>
                <c:pt idx="574">
                  <c:v>41991</c:v>
                </c:pt>
                <c:pt idx="575">
                  <c:v>41990</c:v>
                </c:pt>
                <c:pt idx="576">
                  <c:v>41989</c:v>
                </c:pt>
                <c:pt idx="577">
                  <c:v>41988</c:v>
                </c:pt>
                <c:pt idx="578">
                  <c:v>41985</c:v>
                </c:pt>
                <c:pt idx="579">
                  <c:v>41984</c:v>
                </c:pt>
                <c:pt idx="580">
                  <c:v>41983</c:v>
                </c:pt>
                <c:pt idx="581">
                  <c:v>41982</c:v>
                </c:pt>
                <c:pt idx="582">
                  <c:v>41981</c:v>
                </c:pt>
                <c:pt idx="583">
                  <c:v>41978</c:v>
                </c:pt>
                <c:pt idx="584">
                  <c:v>41977</c:v>
                </c:pt>
                <c:pt idx="585">
                  <c:v>41976</c:v>
                </c:pt>
                <c:pt idx="586">
                  <c:v>41975</c:v>
                </c:pt>
                <c:pt idx="587">
                  <c:v>41974</c:v>
                </c:pt>
                <c:pt idx="588">
                  <c:v>41971</c:v>
                </c:pt>
                <c:pt idx="589">
                  <c:v>41969</c:v>
                </c:pt>
                <c:pt idx="590">
                  <c:v>41968</c:v>
                </c:pt>
                <c:pt idx="591">
                  <c:v>41967</c:v>
                </c:pt>
                <c:pt idx="592">
                  <c:v>41964</c:v>
                </c:pt>
                <c:pt idx="593">
                  <c:v>41963</c:v>
                </c:pt>
                <c:pt idx="594">
                  <c:v>41962</c:v>
                </c:pt>
                <c:pt idx="595">
                  <c:v>41961</c:v>
                </c:pt>
                <c:pt idx="596">
                  <c:v>41960</c:v>
                </c:pt>
                <c:pt idx="597">
                  <c:v>41957</c:v>
                </c:pt>
                <c:pt idx="598">
                  <c:v>41956</c:v>
                </c:pt>
                <c:pt idx="599">
                  <c:v>41955</c:v>
                </c:pt>
                <c:pt idx="600">
                  <c:v>41954</c:v>
                </c:pt>
                <c:pt idx="601">
                  <c:v>41953</c:v>
                </c:pt>
                <c:pt idx="602">
                  <c:v>41950</c:v>
                </c:pt>
                <c:pt idx="603">
                  <c:v>41949</c:v>
                </c:pt>
                <c:pt idx="604">
                  <c:v>41948</c:v>
                </c:pt>
                <c:pt idx="605">
                  <c:v>41947</c:v>
                </c:pt>
                <c:pt idx="606">
                  <c:v>41946</c:v>
                </c:pt>
                <c:pt idx="607">
                  <c:v>41943</c:v>
                </c:pt>
                <c:pt idx="608">
                  <c:v>41942</c:v>
                </c:pt>
                <c:pt idx="609">
                  <c:v>41941</c:v>
                </c:pt>
                <c:pt idx="610">
                  <c:v>41940</c:v>
                </c:pt>
                <c:pt idx="611">
                  <c:v>41939</c:v>
                </c:pt>
                <c:pt idx="612">
                  <c:v>41936</c:v>
                </c:pt>
                <c:pt idx="613">
                  <c:v>41935</c:v>
                </c:pt>
                <c:pt idx="614">
                  <c:v>41934</c:v>
                </c:pt>
                <c:pt idx="615">
                  <c:v>41933</c:v>
                </c:pt>
                <c:pt idx="616">
                  <c:v>41932</c:v>
                </c:pt>
                <c:pt idx="617">
                  <c:v>41929</c:v>
                </c:pt>
                <c:pt idx="618">
                  <c:v>41928</c:v>
                </c:pt>
                <c:pt idx="619">
                  <c:v>41927</c:v>
                </c:pt>
                <c:pt idx="620">
                  <c:v>41926</c:v>
                </c:pt>
                <c:pt idx="621">
                  <c:v>41925</c:v>
                </c:pt>
                <c:pt idx="622">
                  <c:v>41922</c:v>
                </c:pt>
                <c:pt idx="623">
                  <c:v>41921</c:v>
                </c:pt>
                <c:pt idx="624">
                  <c:v>41920</c:v>
                </c:pt>
                <c:pt idx="625">
                  <c:v>41919</c:v>
                </c:pt>
                <c:pt idx="626">
                  <c:v>41918</c:v>
                </c:pt>
                <c:pt idx="627">
                  <c:v>41915</c:v>
                </c:pt>
                <c:pt idx="628">
                  <c:v>41914</c:v>
                </c:pt>
                <c:pt idx="629">
                  <c:v>41913</c:v>
                </c:pt>
                <c:pt idx="630">
                  <c:v>41912</c:v>
                </c:pt>
                <c:pt idx="631">
                  <c:v>41911</c:v>
                </c:pt>
                <c:pt idx="632">
                  <c:v>41908</c:v>
                </c:pt>
                <c:pt idx="633">
                  <c:v>41907</c:v>
                </c:pt>
                <c:pt idx="634">
                  <c:v>41906</c:v>
                </c:pt>
                <c:pt idx="635">
                  <c:v>41905</c:v>
                </c:pt>
                <c:pt idx="636">
                  <c:v>41904</c:v>
                </c:pt>
                <c:pt idx="637">
                  <c:v>41901</c:v>
                </c:pt>
                <c:pt idx="638">
                  <c:v>41900</c:v>
                </c:pt>
                <c:pt idx="639">
                  <c:v>41899</c:v>
                </c:pt>
                <c:pt idx="640">
                  <c:v>41898</c:v>
                </c:pt>
                <c:pt idx="641">
                  <c:v>41897</c:v>
                </c:pt>
                <c:pt idx="642">
                  <c:v>41894</c:v>
                </c:pt>
                <c:pt idx="643">
                  <c:v>41893</c:v>
                </c:pt>
                <c:pt idx="644">
                  <c:v>41892</c:v>
                </c:pt>
                <c:pt idx="645">
                  <c:v>41891</c:v>
                </c:pt>
                <c:pt idx="646">
                  <c:v>41890</c:v>
                </c:pt>
                <c:pt idx="647">
                  <c:v>41887</c:v>
                </c:pt>
                <c:pt idx="648">
                  <c:v>41886</c:v>
                </c:pt>
                <c:pt idx="649">
                  <c:v>41885</c:v>
                </c:pt>
                <c:pt idx="650">
                  <c:v>41884</c:v>
                </c:pt>
                <c:pt idx="651">
                  <c:v>41880</c:v>
                </c:pt>
                <c:pt idx="652">
                  <c:v>41879</c:v>
                </c:pt>
                <c:pt idx="653">
                  <c:v>41878</c:v>
                </c:pt>
                <c:pt idx="654">
                  <c:v>41877</c:v>
                </c:pt>
                <c:pt idx="655">
                  <c:v>41876</c:v>
                </c:pt>
                <c:pt idx="656">
                  <c:v>41873</c:v>
                </c:pt>
                <c:pt idx="657">
                  <c:v>41872</c:v>
                </c:pt>
                <c:pt idx="658">
                  <c:v>41871</c:v>
                </c:pt>
                <c:pt idx="659">
                  <c:v>41870</c:v>
                </c:pt>
                <c:pt idx="660">
                  <c:v>41869</c:v>
                </c:pt>
                <c:pt idx="661">
                  <c:v>41866</c:v>
                </c:pt>
                <c:pt idx="662">
                  <c:v>41865</c:v>
                </c:pt>
                <c:pt idx="663">
                  <c:v>41864</c:v>
                </c:pt>
                <c:pt idx="664">
                  <c:v>41863</c:v>
                </c:pt>
                <c:pt idx="665">
                  <c:v>41862</c:v>
                </c:pt>
                <c:pt idx="666">
                  <c:v>41859</c:v>
                </c:pt>
                <c:pt idx="667">
                  <c:v>41858</c:v>
                </c:pt>
                <c:pt idx="668">
                  <c:v>41857</c:v>
                </c:pt>
                <c:pt idx="669">
                  <c:v>41856</c:v>
                </c:pt>
                <c:pt idx="670">
                  <c:v>41855</c:v>
                </c:pt>
                <c:pt idx="671">
                  <c:v>41852</c:v>
                </c:pt>
                <c:pt idx="672">
                  <c:v>41851</c:v>
                </c:pt>
                <c:pt idx="673">
                  <c:v>41850</c:v>
                </c:pt>
                <c:pt idx="674">
                  <c:v>41849</c:v>
                </c:pt>
                <c:pt idx="675">
                  <c:v>41848</c:v>
                </c:pt>
                <c:pt idx="676">
                  <c:v>41845</c:v>
                </c:pt>
                <c:pt idx="677">
                  <c:v>41844</c:v>
                </c:pt>
                <c:pt idx="678">
                  <c:v>41843</c:v>
                </c:pt>
                <c:pt idx="679">
                  <c:v>41842</c:v>
                </c:pt>
                <c:pt idx="680">
                  <c:v>41841</c:v>
                </c:pt>
                <c:pt idx="681">
                  <c:v>41838</c:v>
                </c:pt>
                <c:pt idx="682">
                  <c:v>41837</c:v>
                </c:pt>
                <c:pt idx="683">
                  <c:v>41836</c:v>
                </c:pt>
                <c:pt idx="684">
                  <c:v>41835</c:v>
                </c:pt>
                <c:pt idx="685">
                  <c:v>41834</c:v>
                </c:pt>
                <c:pt idx="686">
                  <c:v>41831</c:v>
                </c:pt>
                <c:pt idx="687">
                  <c:v>41830</c:v>
                </c:pt>
                <c:pt idx="688">
                  <c:v>41829</c:v>
                </c:pt>
                <c:pt idx="689">
                  <c:v>41828</c:v>
                </c:pt>
                <c:pt idx="690">
                  <c:v>41827</c:v>
                </c:pt>
                <c:pt idx="691">
                  <c:v>41823</c:v>
                </c:pt>
                <c:pt idx="692">
                  <c:v>41822</c:v>
                </c:pt>
                <c:pt idx="693">
                  <c:v>41821</c:v>
                </c:pt>
                <c:pt idx="694">
                  <c:v>41820</c:v>
                </c:pt>
                <c:pt idx="695">
                  <c:v>41817</c:v>
                </c:pt>
                <c:pt idx="696">
                  <c:v>41816</c:v>
                </c:pt>
                <c:pt idx="697">
                  <c:v>41815</c:v>
                </c:pt>
                <c:pt idx="698">
                  <c:v>41814</c:v>
                </c:pt>
                <c:pt idx="699">
                  <c:v>41813</c:v>
                </c:pt>
                <c:pt idx="700">
                  <c:v>41810</c:v>
                </c:pt>
                <c:pt idx="701">
                  <c:v>41809</c:v>
                </c:pt>
                <c:pt idx="702">
                  <c:v>41808</c:v>
                </c:pt>
                <c:pt idx="703">
                  <c:v>41807</c:v>
                </c:pt>
                <c:pt idx="704">
                  <c:v>41806</c:v>
                </c:pt>
                <c:pt idx="705">
                  <c:v>41803</c:v>
                </c:pt>
                <c:pt idx="706">
                  <c:v>41802</c:v>
                </c:pt>
                <c:pt idx="707">
                  <c:v>41801</c:v>
                </c:pt>
                <c:pt idx="708">
                  <c:v>41800</c:v>
                </c:pt>
                <c:pt idx="709">
                  <c:v>41799</c:v>
                </c:pt>
                <c:pt idx="710">
                  <c:v>41796</c:v>
                </c:pt>
                <c:pt idx="711">
                  <c:v>41795</c:v>
                </c:pt>
                <c:pt idx="712">
                  <c:v>41794</c:v>
                </c:pt>
                <c:pt idx="713">
                  <c:v>41793</c:v>
                </c:pt>
                <c:pt idx="714">
                  <c:v>41792</c:v>
                </c:pt>
                <c:pt idx="715">
                  <c:v>41789</c:v>
                </c:pt>
                <c:pt idx="716">
                  <c:v>41788</c:v>
                </c:pt>
                <c:pt idx="717">
                  <c:v>41787</c:v>
                </c:pt>
                <c:pt idx="718">
                  <c:v>41786</c:v>
                </c:pt>
                <c:pt idx="719">
                  <c:v>41782</c:v>
                </c:pt>
                <c:pt idx="720">
                  <c:v>41781</c:v>
                </c:pt>
                <c:pt idx="721">
                  <c:v>41780</c:v>
                </c:pt>
                <c:pt idx="722">
                  <c:v>41779</c:v>
                </c:pt>
                <c:pt idx="723">
                  <c:v>41778</c:v>
                </c:pt>
                <c:pt idx="724">
                  <c:v>41775</c:v>
                </c:pt>
                <c:pt idx="725">
                  <c:v>41774</c:v>
                </c:pt>
                <c:pt idx="726">
                  <c:v>41773</c:v>
                </c:pt>
                <c:pt idx="727">
                  <c:v>41772</c:v>
                </c:pt>
                <c:pt idx="728">
                  <c:v>41771</c:v>
                </c:pt>
                <c:pt idx="729">
                  <c:v>41768</c:v>
                </c:pt>
                <c:pt idx="730">
                  <c:v>41767</c:v>
                </c:pt>
                <c:pt idx="731">
                  <c:v>41766</c:v>
                </c:pt>
                <c:pt idx="732">
                  <c:v>41765</c:v>
                </c:pt>
                <c:pt idx="733">
                  <c:v>41764</c:v>
                </c:pt>
                <c:pt idx="734">
                  <c:v>41761</c:v>
                </c:pt>
                <c:pt idx="735">
                  <c:v>41760</c:v>
                </c:pt>
                <c:pt idx="736">
                  <c:v>41759</c:v>
                </c:pt>
                <c:pt idx="737">
                  <c:v>41758</c:v>
                </c:pt>
                <c:pt idx="738">
                  <c:v>41757</c:v>
                </c:pt>
                <c:pt idx="739">
                  <c:v>41754</c:v>
                </c:pt>
                <c:pt idx="740">
                  <c:v>41753</c:v>
                </c:pt>
                <c:pt idx="741">
                  <c:v>41752</c:v>
                </c:pt>
                <c:pt idx="742">
                  <c:v>41751</c:v>
                </c:pt>
                <c:pt idx="743">
                  <c:v>41750</c:v>
                </c:pt>
                <c:pt idx="744">
                  <c:v>41746</c:v>
                </c:pt>
                <c:pt idx="745">
                  <c:v>41745</c:v>
                </c:pt>
                <c:pt idx="746">
                  <c:v>41744</c:v>
                </c:pt>
                <c:pt idx="747">
                  <c:v>41743</c:v>
                </c:pt>
                <c:pt idx="748">
                  <c:v>41740</c:v>
                </c:pt>
                <c:pt idx="749">
                  <c:v>41739</c:v>
                </c:pt>
                <c:pt idx="750">
                  <c:v>41738</c:v>
                </c:pt>
                <c:pt idx="751">
                  <c:v>41737</c:v>
                </c:pt>
                <c:pt idx="752">
                  <c:v>41736</c:v>
                </c:pt>
                <c:pt idx="753">
                  <c:v>41733</c:v>
                </c:pt>
                <c:pt idx="754">
                  <c:v>41732</c:v>
                </c:pt>
                <c:pt idx="755">
                  <c:v>41731</c:v>
                </c:pt>
                <c:pt idx="756">
                  <c:v>41730</c:v>
                </c:pt>
                <c:pt idx="757">
                  <c:v>41729</c:v>
                </c:pt>
              </c:numCache>
            </c:numRef>
          </c:cat>
          <c:val>
            <c:numRef>
              <c:f>Exhibits!$FV$113:$FV$870</c:f>
              <c:numCache>
                <c:formatCode>"$"#,##0.00</c:formatCode>
                <c:ptCount val="758"/>
                <c:pt idx="0">
                  <c:v>261.87</c:v>
                </c:pt>
                <c:pt idx="1">
                  <c:v>255.45</c:v>
                </c:pt>
                <c:pt idx="2">
                  <c:v>255.24</c:v>
                </c:pt>
                <c:pt idx="3">
                  <c:v>256.97000000000003</c:v>
                </c:pt>
                <c:pt idx="4">
                  <c:v>253.26</c:v>
                </c:pt>
                <c:pt idx="5">
                  <c:v>249.48</c:v>
                </c:pt>
                <c:pt idx="6">
                  <c:v>246.48</c:v>
                </c:pt>
                <c:pt idx="7">
                  <c:v>245.03</c:v>
                </c:pt>
                <c:pt idx="8">
                  <c:v>240.77</c:v>
                </c:pt>
                <c:pt idx="9">
                  <c:v>238.61</c:v>
                </c:pt>
                <c:pt idx="10">
                  <c:v>238.39</c:v>
                </c:pt>
                <c:pt idx="11">
                  <c:v>235.73</c:v>
                </c:pt>
                <c:pt idx="12">
                  <c:v>236.49</c:v>
                </c:pt>
                <c:pt idx="13">
                  <c:v>234.27</c:v>
                </c:pt>
                <c:pt idx="14">
                  <c:v>234.47</c:v>
                </c:pt>
                <c:pt idx="15">
                  <c:v>234.91</c:v>
                </c:pt>
                <c:pt idx="16">
                  <c:v>235.86</c:v>
                </c:pt>
                <c:pt idx="17">
                  <c:v>233.77</c:v>
                </c:pt>
                <c:pt idx="18">
                  <c:v>230.38</c:v>
                </c:pt>
                <c:pt idx="19">
                  <c:v>230.08</c:v>
                </c:pt>
                <c:pt idx="20">
                  <c:v>229.04</c:v>
                </c:pt>
                <c:pt idx="21">
                  <c:v>230.13</c:v>
                </c:pt>
                <c:pt idx="22">
                  <c:v>231.63</c:v>
                </c:pt>
                <c:pt idx="23">
                  <c:v>230.8</c:v>
                </c:pt>
                <c:pt idx="24">
                  <c:v>230.91</c:v>
                </c:pt>
                <c:pt idx="25">
                  <c:v>231.39</c:v>
                </c:pt>
                <c:pt idx="26">
                  <c:v>228.95</c:v>
                </c:pt>
                <c:pt idx="27">
                  <c:v>228.57</c:v>
                </c:pt>
                <c:pt idx="28">
                  <c:v>232.1</c:v>
                </c:pt>
                <c:pt idx="29">
                  <c:v>231.42</c:v>
                </c:pt>
                <c:pt idx="30">
                  <c:v>230.28</c:v>
                </c:pt>
                <c:pt idx="31">
                  <c:v>232.05</c:v>
                </c:pt>
                <c:pt idx="32">
                  <c:v>233.05</c:v>
                </c:pt>
                <c:pt idx="33">
                  <c:v>232.46</c:v>
                </c:pt>
                <c:pt idx="34">
                  <c:v>233.21</c:v>
                </c:pt>
                <c:pt idx="35">
                  <c:v>231.18</c:v>
                </c:pt>
                <c:pt idx="36">
                  <c:v>232.9</c:v>
                </c:pt>
                <c:pt idx="37">
                  <c:v>214.27</c:v>
                </c:pt>
                <c:pt idx="38">
                  <c:v>215.48</c:v>
                </c:pt>
                <c:pt idx="39">
                  <c:v>213.17</c:v>
                </c:pt>
                <c:pt idx="40">
                  <c:v>211.22</c:v>
                </c:pt>
                <c:pt idx="41">
                  <c:v>208.67</c:v>
                </c:pt>
                <c:pt idx="42">
                  <c:v>209.06</c:v>
                </c:pt>
                <c:pt idx="43">
                  <c:v>210.53</c:v>
                </c:pt>
                <c:pt idx="44">
                  <c:v>209.83</c:v>
                </c:pt>
                <c:pt idx="45">
                  <c:v>210</c:v>
                </c:pt>
                <c:pt idx="46">
                  <c:v>212.22</c:v>
                </c:pt>
                <c:pt idx="47">
                  <c:v>213.55</c:v>
                </c:pt>
                <c:pt idx="48">
                  <c:v>216.06</c:v>
                </c:pt>
                <c:pt idx="49">
                  <c:v>216.65</c:v>
                </c:pt>
                <c:pt idx="50">
                  <c:v>214.53</c:v>
                </c:pt>
                <c:pt idx="51">
                  <c:v>213.15</c:v>
                </c:pt>
                <c:pt idx="52">
                  <c:v>211.51</c:v>
                </c:pt>
                <c:pt idx="53">
                  <c:v>213.34</c:v>
                </c:pt>
                <c:pt idx="54">
                  <c:v>213.82</c:v>
                </c:pt>
                <c:pt idx="55">
                  <c:v>214.86</c:v>
                </c:pt>
                <c:pt idx="56">
                  <c:v>214.03</c:v>
                </c:pt>
                <c:pt idx="57">
                  <c:v>212.43</c:v>
                </c:pt>
                <c:pt idx="58">
                  <c:v>208.09</c:v>
                </c:pt>
                <c:pt idx="59">
                  <c:v>208.53</c:v>
                </c:pt>
                <c:pt idx="60">
                  <c:v>207.39</c:v>
                </c:pt>
                <c:pt idx="61">
                  <c:v>203.55</c:v>
                </c:pt>
                <c:pt idx="62">
                  <c:v>205.09</c:v>
                </c:pt>
                <c:pt idx="63">
                  <c:v>207.93</c:v>
                </c:pt>
                <c:pt idx="64">
                  <c:v>208.06</c:v>
                </c:pt>
                <c:pt idx="65">
                  <c:v>210.4</c:v>
                </c:pt>
                <c:pt idx="66">
                  <c:v>209.6</c:v>
                </c:pt>
                <c:pt idx="67">
                  <c:v>210.72</c:v>
                </c:pt>
                <c:pt idx="68">
                  <c:v>210.74</c:v>
                </c:pt>
                <c:pt idx="69">
                  <c:v>210.22</c:v>
                </c:pt>
                <c:pt idx="70">
                  <c:v>212.12</c:v>
                </c:pt>
                <c:pt idx="71">
                  <c:v>212.21</c:v>
                </c:pt>
                <c:pt idx="72">
                  <c:v>212.04</c:v>
                </c:pt>
                <c:pt idx="73">
                  <c:v>210.32</c:v>
                </c:pt>
                <c:pt idx="74">
                  <c:v>212.84</c:v>
                </c:pt>
                <c:pt idx="75">
                  <c:v>210.31</c:v>
                </c:pt>
                <c:pt idx="76">
                  <c:v>213.58</c:v>
                </c:pt>
                <c:pt idx="77">
                  <c:v>215.54</c:v>
                </c:pt>
                <c:pt idx="78">
                  <c:v>215.95</c:v>
                </c:pt>
                <c:pt idx="79">
                  <c:v>215.02</c:v>
                </c:pt>
                <c:pt idx="80">
                  <c:v>213.51</c:v>
                </c:pt>
                <c:pt idx="81">
                  <c:v>213.67</c:v>
                </c:pt>
                <c:pt idx="82">
                  <c:v>213.69</c:v>
                </c:pt>
                <c:pt idx="83">
                  <c:v>212.11</c:v>
                </c:pt>
                <c:pt idx="84">
                  <c:v>211.84</c:v>
                </c:pt>
                <c:pt idx="85">
                  <c:v>212.19</c:v>
                </c:pt>
                <c:pt idx="86">
                  <c:v>217.16</c:v>
                </c:pt>
                <c:pt idx="87">
                  <c:v>217.9</c:v>
                </c:pt>
                <c:pt idx="88">
                  <c:v>215.19</c:v>
                </c:pt>
                <c:pt idx="89">
                  <c:v>212.83</c:v>
                </c:pt>
                <c:pt idx="90">
                  <c:v>209.47</c:v>
                </c:pt>
                <c:pt idx="91">
                  <c:v>210.52</c:v>
                </c:pt>
                <c:pt idx="92">
                  <c:v>206.96</c:v>
                </c:pt>
                <c:pt idx="93">
                  <c:v>208.76</c:v>
                </c:pt>
                <c:pt idx="94">
                  <c:v>209.38</c:v>
                </c:pt>
                <c:pt idx="95">
                  <c:v>202.12</c:v>
                </c:pt>
                <c:pt idx="96">
                  <c:v>196.67</c:v>
                </c:pt>
                <c:pt idx="97">
                  <c:v>196.62</c:v>
                </c:pt>
                <c:pt idx="98">
                  <c:v>188.28</c:v>
                </c:pt>
                <c:pt idx="99">
                  <c:v>190.03</c:v>
                </c:pt>
                <c:pt idx="100">
                  <c:v>186.74</c:v>
                </c:pt>
                <c:pt idx="101">
                  <c:v>190.91</c:v>
                </c:pt>
                <c:pt idx="102">
                  <c:v>192.69</c:v>
                </c:pt>
                <c:pt idx="103">
                  <c:v>192.42</c:v>
                </c:pt>
                <c:pt idx="104">
                  <c:v>190.76</c:v>
                </c:pt>
                <c:pt idx="105">
                  <c:v>194.26</c:v>
                </c:pt>
                <c:pt idx="106">
                  <c:v>189.42</c:v>
                </c:pt>
                <c:pt idx="107">
                  <c:v>191.11</c:v>
                </c:pt>
                <c:pt idx="108">
                  <c:v>194.56</c:v>
                </c:pt>
                <c:pt idx="109">
                  <c:v>198.62</c:v>
                </c:pt>
                <c:pt idx="110">
                  <c:v>196.86</c:v>
                </c:pt>
                <c:pt idx="111">
                  <c:v>195.32</c:v>
                </c:pt>
                <c:pt idx="112">
                  <c:v>196.34</c:v>
                </c:pt>
                <c:pt idx="113">
                  <c:v>192.21</c:v>
                </c:pt>
                <c:pt idx="114">
                  <c:v>191.19</c:v>
                </c:pt>
                <c:pt idx="115">
                  <c:v>191.31</c:v>
                </c:pt>
                <c:pt idx="116">
                  <c:v>190.82</c:v>
                </c:pt>
                <c:pt idx="117">
                  <c:v>190.43</c:v>
                </c:pt>
                <c:pt idx="118">
                  <c:v>188.79</c:v>
                </c:pt>
                <c:pt idx="119">
                  <c:v>192.73</c:v>
                </c:pt>
                <c:pt idx="120">
                  <c:v>189.28</c:v>
                </c:pt>
                <c:pt idx="121">
                  <c:v>190.13</c:v>
                </c:pt>
                <c:pt idx="122">
                  <c:v>192.2</c:v>
                </c:pt>
                <c:pt idx="123">
                  <c:v>192.67</c:v>
                </c:pt>
                <c:pt idx="124">
                  <c:v>191.85</c:v>
                </c:pt>
                <c:pt idx="125">
                  <c:v>194.72</c:v>
                </c:pt>
                <c:pt idx="126">
                  <c:v>192.3</c:v>
                </c:pt>
                <c:pt idx="127">
                  <c:v>192.18</c:v>
                </c:pt>
                <c:pt idx="128">
                  <c:v>193.51</c:v>
                </c:pt>
                <c:pt idx="129">
                  <c:v>195.39</c:v>
                </c:pt>
                <c:pt idx="130">
                  <c:v>199.02</c:v>
                </c:pt>
                <c:pt idx="131">
                  <c:v>198.34</c:v>
                </c:pt>
                <c:pt idx="132">
                  <c:v>197.68</c:v>
                </c:pt>
                <c:pt idx="133">
                  <c:v>197.58</c:v>
                </c:pt>
                <c:pt idx="134">
                  <c:v>201.08</c:v>
                </c:pt>
                <c:pt idx="135">
                  <c:v>200.12</c:v>
                </c:pt>
                <c:pt idx="136">
                  <c:v>204.36</c:v>
                </c:pt>
                <c:pt idx="137">
                  <c:v>203.33</c:v>
                </c:pt>
                <c:pt idx="138">
                  <c:v>207.92</c:v>
                </c:pt>
                <c:pt idx="139">
                  <c:v>210.26</c:v>
                </c:pt>
                <c:pt idx="140">
                  <c:v>207.92</c:v>
                </c:pt>
                <c:pt idx="141">
                  <c:v>211.02</c:v>
                </c:pt>
                <c:pt idx="142">
                  <c:v>216.39</c:v>
                </c:pt>
                <c:pt idx="143">
                  <c:v>216.28</c:v>
                </c:pt>
                <c:pt idx="144">
                  <c:v>217.26</c:v>
                </c:pt>
                <c:pt idx="145">
                  <c:v>215.59</c:v>
                </c:pt>
                <c:pt idx="146">
                  <c:v>217.15</c:v>
                </c:pt>
                <c:pt idx="147">
                  <c:v>217.71</c:v>
                </c:pt>
                <c:pt idx="148">
                  <c:v>220.28</c:v>
                </c:pt>
                <c:pt idx="149">
                  <c:v>217.44</c:v>
                </c:pt>
                <c:pt idx="150">
                  <c:v>218.42</c:v>
                </c:pt>
                <c:pt idx="151">
                  <c:v>215.9</c:v>
                </c:pt>
                <c:pt idx="152">
                  <c:v>217.99</c:v>
                </c:pt>
                <c:pt idx="153">
                  <c:v>218.41</c:v>
                </c:pt>
                <c:pt idx="154">
                  <c:v>216.07</c:v>
                </c:pt>
                <c:pt idx="155">
                  <c:v>218.57</c:v>
                </c:pt>
                <c:pt idx="156">
                  <c:v>216.24</c:v>
                </c:pt>
                <c:pt idx="157">
                  <c:v>218.73</c:v>
                </c:pt>
                <c:pt idx="158">
                  <c:v>220.79</c:v>
                </c:pt>
                <c:pt idx="159">
                  <c:v>221.24</c:v>
                </c:pt>
                <c:pt idx="160">
                  <c:v>221.7</c:v>
                </c:pt>
                <c:pt idx="161">
                  <c:v>219</c:v>
                </c:pt>
                <c:pt idx="162">
                  <c:v>219.2</c:v>
                </c:pt>
                <c:pt idx="163">
                  <c:v>218.23</c:v>
                </c:pt>
                <c:pt idx="164">
                  <c:v>219.07</c:v>
                </c:pt>
                <c:pt idx="165">
                  <c:v>214.68</c:v>
                </c:pt>
                <c:pt idx="166">
                  <c:v>214.83</c:v>
                </c:pt>
                <c:pt idx="167">
                  <c:v>215.78</c:v>
                </c:pt>
                <c:pt idx="168">
                  <c:v>221.38</c:v>
                </c:pt>
                <c:pt idx="169">
                  <c:v>219.32</c:v>
                </c:pt>
                <c:pt idx="170">
                  <c:v>221.63</c:v>
                </c:pt>
                <c:pt idx="171">
                  <c:v>214.54</c:v>
                </c:pt>
                <c:pt idx="172">
                  <c:v>207.61</c:v>
                </c:pt>
                <c:pt idx="173">
                  <c:v>216.99</c:v>
                </c:pt>
                <c:pt idx="174">
                  <c:v>215.54</c:v>
                </c:pt>
                <c:pt idx="175">
                  <c:v>209.95</c:v>
                </c:pt>
                <c:pt idx="176">
                  <c:v>210.04</c:v>
                </c:pt>
                <c:pt idx="177">
                  <c:v>206.7</c:v>
                </c:pt>
                <c:pt idx="178">
                  <c:v>208.71</c:v>
                </c:pt>
                <c:pt idx="179">
                  <c:v>208.59</c:v>
                </c:pt>
                <c:pt idx="180">
                  <c:v>215.32</c:v>
                </c:pt>
                <c:pt idx="181">
                  <c:v>211</c:v>
                </c:pt>
                <c:pt idx="182">
                  <c:v>212.88</c:v>
                </c:pt>
                <c:pt idx="183">
                  <c:v>212.33</c:v>
                </c:pt>
                <c:pt idx="184">
                  <c:v>210.26</c:v>
                </c:pt>
                <c:pt idx="185">
                  <c:v>207.42</c:v>
                </c:pt>
                <c:pt idx="186">
                  <c:v>210.22</c:v>
                </c:pt>
                <c:pt idx="187">
                  <c:v>208.26</c:v>
                </c:pt>
                <c:pt idx="188">
                  <c:v>207.85</c:v>
                </c:pt>
                <c:pt idx="189">
                  <c:v>211.94</c:v>
                </c:pt>
                <c:pt idx="190">
                  <c:v>212.47</c:v>
                </c:pt>
                <c:pt idx="191">
                  <c:v>209.53</c:v>
                </c:pt>
                <c:pt idx="192">
                  <c:v>207.46</c:v>
                </c:pt>
                <c:pt idx="193">
                  <c:v>211.64</c:v>
                </c:pt>
                <c:pt idx="194">
                  <c:v>213.17</c:v>
                </c:pt>
                <c:pt idx="195">
                  <c:v>212.22</c:v>
                </c:pt>
                <c:pt idx="196">
                  <c:v>213.56</c:v>
                </c:pt>
                <c:pt idx="197">
                  <c:v>214.81</c:v>
                </c:pt>
                <c:pt idx="198">
                  <c:v>211.87</c:v>
                </c:pt>
                <c:pt idx="199">
                  <c:v>212.91</c:v>
                </c:pt>
                <c:pt idx="200">
                  <c:v>214.37</c:v>
                </c:pt>
                <c:pt idx="201">
                  <c:v>215.32</c:v>
                </c:pt>
                <c:pt idx="202">
                  <c:v>211.92</c:v>
                </c:pt>
                <c:pt idx="203">
                  <c:v>213.23</c:v>
                </c:pt>
                <c:pt idx="204">
                  <c:v>218.69</c:v>
                </c:pt>
                <c:pt idx="205">
                  <c:v>218.82</c:v>
                </c:pt>
                <c:pt idx="206">
                  <c:v>216.49</c:v>
                </c:pt>
                <c:pt idx="207">
                  <c:v>218.7</c:v>
                </c:pt>
                <c:pt idx="208">
                  <c:v>218.83</c:v>
                </c:pt>
                <c:pt idx="209">
                  <c:v>221.25</c:v>
                </c:pt>
                <c:pt idx="210">
                  <c:v>219.43</c:v>
                </c:pt>
                <c:pt idx="211">
                  <c:v>219.15</c:v>
                </c:pt>
                <c:pt idx="212">
                  <c:v>218.52</c:v>
                </c:pt>
                <c:pt idx="213">
                  <c:v>217.49</c:v>
                </c:pt>
                <c:pt idx="214">
                  <c:v>215.19</c:v>
                </c:pt>
                <c:pt idx="215">
                  <c:v>214.49</c:v>
                </c:pt>
                <c:pt idx="216">
                  <c:v>212.13</c:v>
                </c:pt>
                <c:pt idx="217">
                  <c:v>211.13</c:v>
                </c:pt>
                <c:pt idx="218">
                  <c:v>207.18</c:v>
                </c:pt>
                <c:pt idx="219">
                  <c:v>206.65</c:v>
                </c:pt>
                <c:pt idx="220">
                  <c:v>207.67</c:v>
                </c:pt>
                <c:pt idx="221">
                  <c:v>212.01</c:v>
                </c:pt>
                <c:pt idx="222">
                  <c:v>210.13</c:v>
                </c:pt>
                <c:pt idx="223">
                  <c:v>210.74</c:v>
                </c:pt>
                <c:pt idx="224">
                  <c:v>210.66</c:v>
                </c:pt>
                <c:pt idx="225">
                  <c:v>215.02</c:v>
                </c:pt>
                <c:pt idx="226">
                  <c:v>217.33</c:v>
                </c:pt>
                <c:pt idx="227">
                  <c:v>210.63</c:v>
                </c:pt>
                <c:pt idx="228">
                  <c:v>213.46</c:v>
                </c:pt>
                <c:pt idx="229">
                  <c:v>214.13</c:v>
                </c:pt>
                <c:pt idx="230">
                  <c:v>211.81</c:v>
                </c:pt>
                <c:pt idx="231">
                  <c:v>214.58</c:v>
                </c:pt>
                <c:pt idx="232">
                  <c:v>214.49</c:v>
                </c:pt>
                <c:pt idx="233">
                  <c:v>212.58</c:v>
                </c:pt>
                <c:pt idx="234">
                  <c:v>213.27</c:v>
                </c:pt>
                <c:pt idx="235">
                  <c:v>212.47</c:v>
                </c:pt>
                <c:pt idx="236">
                  <c:v>215.7</c:v>
                </c:pt>
                <c:pt idx="237">
                  <c:v>215</c:v>
                </c:pt>
                <c:pt idx="238">
                  <c:v>216.65</c:v>
                </c:pt>
                <c:pt idx="239">
                  <c:v>216.62</c:v>
                </c:pt>
                <c:pt idx="240">
                  <c:v>217.25</c:v>
                </c:pt>
                <c:pt idx="241">
                  <c:v>211.36</c:v>
                </c:pt>
                <c:pt idx="242">
                  <c:v>210.11</c:v>
                </c:pt>
                <c:pt idx="243">
                  <c:v>206</c:v>
                </c:pt>
                <c:pt idx="244">
                  <c:v>208.62</c:v>
                </c:pt>
                <c:pt idx="245">
                  <c:v>206.27</c:v>
                </c:pt>
                <c:pt idx="246">
                  <c:v>207.39</c:v>
                </c:pt>
                <c:pt idx="247">
                  <c:v>209.64</c:v>
                </c:pt>
                <c:pt idx="248">
                  <c:v>210.3</c:v>
                </c:pt>
                <c:pt idx="249">
                  <c:v>211.11</c:v>
                </c:pt>
                <c:pt idx="250">
                  <c:v>208.08</c:v>
                </c:pt>
                <c:pt idx="251">
                  <c:v>211.02</c:v>
                </c:pt>
                <c:pt idx="252">
                  <c:v>212.93</c:v>
                </c:pt>
                <c:pt idx="253">
                  <c:v>204.83</c:v>
                </c:pt>
                <c:pt idx="254">
                  <c:v>207.13</c:v>
                </c:pt>
                <c:pt idx="255">
                  <c:v>207.73</c:v>
                </c:pt>
                <c:pt idx="256">
                  <c:v>205.79</c:v>
                </c:pt>
                <c:pt idx="257">
                  <c:v>204.6</c:v>
                </c:pt>
                <c:pt idx="258">
                  <c:v>206.16</c:v>
                </c:pt>
                <c:pt idx="259">
                  <c:v>204.43</c:v>
                </c:pt>
                <c:pt idx="260">
                  <c:v>208.32</c:v>
                </c:pt>
                <c:pt idx="261">
                  <c:v>209.94</c:v>
                </c:pt>
                <c:pt idx="262">
                  <c:v>209.71</c:v>
                </c:pt>
                <c:pt idx="263">
                  <c:v>212.16</c:v>
                </c:pt>
                <c:pt idx="264">
                  <c:v>210</c:v>
                </c:pt>
                <c:pt idx="265">
                  <c:v>210.95</c:v>
                </c:pt>
                <c:pt idx="266">
                  <c:v>208.83</c:v>
                </c:pt>
                <c:pt idx="267">
                  <c:v>207.14</c:v>
                </c:pt>
                <c:pt idx="268">
                  <c:v>209.52</c:v>
                </c:pt>
                <c:pt idx="269">
                  <c:v>210.93</c:v>
                </c:pt>
                <c:pt idx="270">
                  <c:v>215.32</c:v>
                </c:pt>
                <c:pt idx="271">
                  <c:v>214.69</c:v>
                </c:pt>
                <c:pt idx="272">
                  <c:v>215.12</c:v>
                </c:pt>
                <c:pt idx="273">
                  <c:v>210.65</c:v>
                </c:pt>
                <c:pt idx="274">
                  <c:v>210.74</c:v>
                </c:pt>
                <c:pt idx="275">
                  <c:v>207.2</c:v>
                </c:pt>
                <c:pt idx="276">
                  <c:v>205.99</c:v>
                </c:pt>
                <c:pt idx="277">
                  <c:v>205.02</c:v>
                </c:pt>
                <c:pt idx="278">
                  <c:v>205.64</c:v>
                </c:pt>
                <c:pt idx="279">
                  <c:v>204.46</c:v>
                </c:pt>
                <c:pt idx="280">
                  <c:v>205.71</c:v>
                </c:pt>
                <c:pt idx="281">
                  <c:v>203.51</c:v>
                </c:pt>
                <c:pt idx="282">
                  <c:v>201.06</c:v>
                </c:pt>
                <c:pt idx="283">
                  <c:v>207.03</c:v>
                </c:pt>
                <c:pt idx="284">
                  <c:v>203.42</c:v>
                </c:pt>
                <c:pt idx="285">
                  <c:v>199.36</c:v>
                </c:pt>
                <c:pt idx="286">
                  <c:v>191.22</c:v>
                </c:pt>
                <c:pt idx="287">
                  <c:v>193.86</c:v>
                </c:pt>
                <c:pt idx="288">
                  <c:v>184.72</c:v>
                </c:pt>
                <c:pt idx="289">
                  <c:v>186.67</c:v>
                </c:pt>
                <c:pt idx="290">
                  <c:v>191.53</c:v>
                </c:pt>
                <c:pt idx="291">
                  <c:v>198.19</c:v>
                </c:pt>
                <c:pt idx="292">
                  <c:v>193.35</c:v>
                </c:pt>
                <c:pt idx="293">
                  <c:v>195.09</c:v>
                </c:pt>
                <c:pt idx="294">
                  <c:v>194.31</c:v>
                </c:pt>
                <c:pt idx="295">
                  <c:v>194</c:v>
                </c:pt>
                <c:pt idx="296">
                  <c:v>190.5</c:v>
                </c:pt>
                <c:pt idx="297">
                  <c:v>189.16</c:v>
                </c:pt>
                <c:pt idx="298">
                  <c:v>187.29</c:v>
                </c:pt>
                <c:pt idx="299">
                  <c:v>184.38</c:v>
                </c:pt>
                <c:pt idx="300">
                  <c:v>183.76</c:v>
                </c:pt>
                <c:pt idx="301">
                  <c:v>179.07</c:v>
                </c:pt>
                <c:pt idx="302">
                  <c:v>180.25</c:v>
                </c:pt>
                <c:pt idx="303">
                  <c:v>189.27</c:v>
                </c:pt>
                <c:pt idx="304">
                  <c:v>188.54</c:v>
                </c:pt>
                <c:pt idx="305">
                  <c:v>192.15</c:v>
                </c:pt>
                <c:pt idx="306">
                  <c:v>189.36</c:v>
                </c:pt>
                <c:pt idx="307">
                  <c:v>190.49</c:v>
                </c:pt>
                <c:pt idx="308">
                  <c:v>186.76</c:v>
                </c:pt>
                <c:pt idx="309">
                  <c:v>187.5</c:v>
                </c:pt>
                <c:pt idx="310">
                  <c:v>188.94</c:v>
                </c:pt>
                <c:pt idx="311">
                  <c:v>187.79</c:v>
                </c:pt>
                <c:pt idx="312">
                  <c:v>188.84</c:v>
                </c:pt>
                <c:pt idx="313">
                  <c:v>190.88</c:v>
                </c:pt>
                <c:pt idx="314">
                  <c:v>194.78</c:v>
                </c:pt>
                <c:pt idx="315">
                  <c:v>195.19</c:v>
                </c:pt>
                <c:pt idx="316">
                  <c:v>197.08</c:v>
                </c:pt>
                <c:pt idx="317">
                  <c:v>196.39</c:v>
                </c:pt>
                <c:pt idx="318">
                  <c:v>194.83</c:v>
                </c:pt>
                <c:pt idx="319">
                  <c:v>193.87</c:v>
                </c:pt>
                <c:pt idx="320">
                  <c:v>194.37</c:v>
                </c:pt>
                <c:pt idx="321">
                  <c:v>191.43</c:v>
                </c:pt>
                <c:pt idx="322">
                  <c:v>194.89</c:v>
                </c:pt>
                <c:pt idx="323">
                  <c:v>193.35</c:v>
                </c:pt>
                <c:pt idx="324">
                  <c:v>194.16</c:v>
                </c:pt>
                <c:pt idx="325">
                  <c:v>194.06</c:v>
                </c:pt>
                <c:pt idx="326">
                  <c:v>191.94</c:v>
                </c:pt>
                <c:pt idx="327">
                  <c:v>190.35</c:v>
                </c:pt>
                <c:pt idx="328">
                  <c:v>189.98</c:v>
                </c:pt>
                <c:pt idx="329">
                  <c:v>190.31</c:v>
                </c:pt>
                <c:pt idx="330">
                  <c:v>190.32</c:v>
                </c:pt>
                <c:pt idx="331">
                  <c:v>189.77</c:v>
                </c:pt>
                <c:pt idx="332">
                  <c:v>185.68</c:v>
                </c:pt>
                <c:pt idx="333">
                  <c:v>182.7</c:v>
                </c:pt>
                <c:pt idx="334">
                  <c:v>182.12</c:v>
                </c:pt>
                <c:pt idx="335">
                  <c:v>181.6</c:v>
                </c:pt>
                <c:pt idx="336">
                  <c:v>181.8</c:v>
                </c:pt>
                <c:pt idx="337">
                  <c:v>182.13</c:v>
                </c:pt>
                <c:pt idx="338">
                  <c:v>182.03</c:v>
                </c:pt>
                <c:pt idx="339">
                  <c:v>180.99</c:v>
                </c:pt>
                <c:pt idx="340">
                  <c:v>177.7</c:v>
                </c:pt>
                <c:pt idx="341">
                  <c:v>172.68</c:v>
                </c:pt>
                <c:pt idx="342">
                  <c:v>172.34</c:v>
                </c:pt>
                <c:pt idx="343">
                  <c:v>170.48</c:v>
                </c:pt>
                <c:pt idx="344">
                  <c:v>166.26</c:v>
                </c:pt>
                <c:pt idx="345">
                  <c:v>168.41</c:v>
                </c:pt>
                <c:pt idx="346">
                  <c:v>168.12</c:v>
                </c:pt>
                <c:pt idx="347">
                  <c:v>172.28</c:v>
                </c:pt>
                <c:pt idx="348">
                  <c:v>174.39</c:v>
                </c:pt>
                <c:pt idx="349">
                  <c:v>175.81</c:v>
                </c:pt>
                <c:pt idx="350">
                  <c:v>175.24</c:v>
                </c:pt>
                <c:pt idx="351">
                  <c:v>176.95</c:v>
                </c:pt>
                <c:pt idx="352">
                  <c:v>177.73</c:v>
                </c:pt>
                <c:pt idx="353">
                  <c:v>177.01</c:v>
                </c:pt>
                <c:pt idx="354">
                  <c:v>178.43</c:v>
                </c:pt>
                <c:pt idx="355">
                  <c:v>180.41</c:v>
                </c:pt>
                <c:pt idx="356">
                  <c:v>177.37</c:v>
                </c:pt>
                <c:pt idx="357">
                  <c:v>179.69</c:v>
                </c:pt>
                <c:pt idx="358">
                  <c:v>183.88</c:v>
                </c:pt>
                <c:pt idx="359">
                  <c:v>186.07</c:v>
                </c:pt>
                <c:pt idx="360">
                  <c:v>189.15</c:v>
                </c:pt>
                <c:pt idx="361">
                  <c:v>187.05</c:v>
                </c:pt>
                <c:pt idx="362">
                  <c:v>181.08</c:v>
                </c:pt>
                <c:pt idx="363">
                  <c:v>183.31</c:v>
                </c:pt>
                <c:pt idx="364">
                  <c:v>190.18</c:v>
                </c:pt>
                <c:pt idx="365">
                  <c:v>190.9</c:v>
                </c:pt>
                <c:pt idx="366">
                  <c:v>187.93</c:v>
                </c:pt>
                <c:pt idx="367">
                  <c:v>187.79</c:v>
                </c:pt>
                <c:pt idx="368">
                  <c:v>185.59</c:v>
                </c:pt>
                <c:pt idx="369">
                  <c:v>188.11</c:v>
                </c:pt>
                <c:pt idx="370">
                  <c:v>190.75</c:v>
                </c:pt>
                <c:pt idx="371">
                  <c:v>191.92</c:v>
                </c:pt>
                <c:pt idx="372">
                  <c:v>196.58</c:v>
                </c:pt>
                <c:pt idx="373">
                  <c:v>197.68</c:v>
                </c:pt>
                <c:pt idx="374">
                  <c:v>195.85</c:v>
                </c:pt>
                <c:pt idx="375">
                  <c:v>196.22</c:v>
                </c:pt>
                <c:pt idx="376">
                  <c:v>194.73</c:v>
                </c:pt>
                <c:pt idx="377">
                  <c:v>193.02</c:v>
                </c:pt>
                <c:pt idx="378">
                  <c:v>193.41</c:v>
                </c:pt>
                <c:pt idx="379">
                  <c:v>191.93</c:v>
                </c:pt>
                <c:pt idx="380">
                  <c:v>189.27</c:v>
                </c:pt>
                <c:pt idx="381">
                  <c:v>190.71</c:v>
                </c:pt>
                <c:pt idx="382">
                  <c:v>189.95</c:v>
                </c:pt>
                <c:pt idx="383">
                  <c:v>188.02</c:v>
                </c:pt>
                <c:pt idx="384">
                  <c:v>186.57</c:v>
                </c:pt>
                <c:pt idx="385">
                  <c:v>186.04</c:v>
                </c:pt>
                <c:pt idx="386">
                  <c:v>184.49</c:v>
                </c:pt>
                <c:pt idx="387">
                  <c:v>185.28</c:v>
                </c:pt>
                <c:pt idx="388">
                  <c:v>183.75</c:v>
                </c:pt>
                <c:pt idx="389">
                  <c:v>184.08</c:v>
                </c:pt>
                <c:pt idx="390">
                  <c:v>183.41</c:v>
                </c:pt>
                <c:pt idx="391">
                  <c:v>182.62</c:v>
                </c:pt>
                <c:pt idx="392">
                  <c:v>179.86</c:v>
                </c:pt>
                <c:pt idx="393">
                  <c:v>179.19</c:v>
                </c:pt>
                <c:pt idx="394">
                  <c:v>181.45</c:v>
                </c:pt>
                <c:pt idx="395">
                  <c:v>178.3</c:v>
                </c:pt>
                <c:pt idx="396">
                  <c:v>178.66</c:v>
                </c:pt>
                <c:pt idx="397">
                  <c:v>176.59</c:v>
                </c:pt>
                <c:pt idx="398">
                  <c:v>175.69</c:v>
                </c:pt>
                <c:pt idx="399">
                  <c:v>178.3</c:v>
                </c:pt>
                <c:pt idx="400">
                  <c:v>180.56</c:v>
                </c:pt>
                <c:pt idx="401">
                  <c:v>180.5</c:v>
                </c:pt>
                <c:pt idx="402">
                  <c:v>177.2</c:v>
                </c:pt>
                <c:pt idx="403">
                  <c:v>175.41</c:v>
                </c:pt>
                <c:pt idx="404">
                  <c:v>177.86</c:v>
                </c:pt>
                <c:pt idx="405">
                  <c:v>185.52</c:v>
                </c:pt>
                <c:pt idx="406">
                  <c:v>187.85</c:v>
                </c:pt>
                <c:pt idx="407">
                  <c:v>191</c:v>
                </c:pt>
                <c:pt idx="408">
                  <c:v>191.5</c:v>
                </c:pt>
                <c:pt idx="409">
                  <c:v>198.53</c:v>
                </c:pt>
                <c:pt idx="410">
                  <c:v>195.6</c:v>
                </c:pt>
                <c:pt idx="411">
                  <c:v>196.12</c:v>
                </c:pt>
                <c:pt idx="412">
                  <c:v>197.73</c:v>
                </c:pt>
                <c:pt idx="413">
                  <c:v>201.66</c:v>
                </c:pt>
                <c:pt idx="414">
                  <c:v>202.14</c:v>
                </c:pt>
                <c:pt idx="415">
                  <c:v>202.05</c:v>
                </c:pt>
                <c:pt idx="416">
                  <c:v>200.7</c:v>
                </c:pt>
                <c:pt idx="417">
                  <c:v>202.52</c:v>
                </c:pt>
                <c:pt idx="418">
                  <c:v>202</c:v>
                </c:pt>
                <c:pt idx="419">
                  <c:v>202.5</c:v>
                </c:pt>
                <c:pt idx="420">
                  <c:v>204.12</c:v>
                </c:pt>
                <c:pt idx="421">
                  <c:v>204.48</c:v>
                </c:pt>
                <c:pt idx="422">
                  <c:v>202.27</c:v>
                </c:pt>
                <c:pt idx="423">
                  <c:v>186.99</c:v>
                </c:pt>
                <c:pt idx="424">
                  <c:v>184.01</c:v>
                </c:pt>
                <c:pt idx="425">
                  <c:v>183.21</c:v>
                </c:pt>
                <c:pt idx="426">
                  <c:v>184.62</c:v>
                </c:pt>
                <c:pt idx="427">
                  <c:v>183.91</c:v>
                </c:pt>
                <c:pt idx="428">
                  <c:v>181.44</c:v>
                </c:pt>
                <c:pt idx="429">
                  <c:v>182.27</c:v>
                </c:pt>
                <c:pt idx="430">
                  <c:v>181.09</c:v>
                </c:pt>
                <c:pt idx="431">
                  <c:v>181.32</c:v>
                </c:pt>
                <c:pt idx="432">
                  <c:v>181.09</c:v>
                </c:pt>
                <c:pt idx="433">
                  <c:v>180.5</c:v>
                </c:pt>
                <c:pt idx="434">
                  <c:v>182.86</c:v>
                </c:pt>
                <c:pt idx="435">
                  <c:v>179.25</c:v>
                </c:pt>
                <c:pt idx="436">
                  <c:v>177.14</c:v>
                </c:pt>
                <c:pt idx="437">
                  <c:v>174.73</c:v>
                </c:pt>
                <c:pt idx="438">
                  <c:v>175.56</c:v>
                </c:pt>
                <c:pt idx="439">
                  <c:v>174.86</c:v>
                </c:pt>
                <c:pt idx="440">
                  <c:v>174.95</c:v>
                </c:pt>
                <c:pt idx="441">
                  <c:v>174.51</c:v>
                </c:pt>
                <c:pt idx="442">
                  <c:v>174.77</c:v>
                </c:pt>
                <c:pt idx="443">
                  <c:v>172.25</c:v>
                </c:pt>
                <c:pt idx="444">
                  <c:v>175.87</c:v>
                </c:pt>
                <c:pt idx="445">
                  <c:v>176.89</c:v>
                </c:pt>
                <c:pt idx="446">
                  <c:v>178.14</c:v>
                </c:pt>
                <c:pt idx="447">
                  <c:v>179.91</c:v>
                </c:pt>
                <c:pt idx="448">
                  <c:v>182.73</c:v>
                </c:pt>
                <c:pt idx="449">
                  <c:v>181.64</c:v>
                </c:pt>
                <c:pt idx="450">
                  <c:v>182.04</c:v>
                </c:pt>
                <c:pt idx="451">
                  <c:v>182.61</c:v>
                </c:pt>
                <c:pt idx="452">
                  <c:v>182.38</c:v>
                </c:pt>
                <c:pt idx="453">
                  <c:v>183.74</c:v>
                </c:pt>
                <c:pt idx="454">
                  <c:v>184.45</c:v>
                </c:pt>
                <c:pt idx="455">
                  <c:v>184.84</c:v>
                </c:pt>
                <c:pt idx="456">
                  <c:v>183.04</c:v>
                </c:pt>
                <c:pt idx="457">
                  <c:v>181.79</c:v>
                </c:pt>
                <c:pt idx="458">
                  <c:v>182.38</c:v>
                </c:pt>
                <c:pt idx="459">
                  <c:v>183.63</c:v>
                </c:pt>
                <c:pt idx="460">
                  <c:v>182.01</c:v>
                </c:pt>
                <c:pt idx="461">
                  <c:v>181.78</c:v>
                </c:pt>
                <c:pt idx="462">
                  <c:v>181.85</c:v>
                </c:pt>
                <c:pt idx="463">
                  <c:v>181.315</c:v>
                </c:pt>
                <c:pt idx="464">
                  <c:v>182</c:v>
                </c:pt>
                <c:pt idx="465">
                  <c:v>183.29</c:v>
                </c:pt>
                <c:pt idx="466">
                  <c:v>183.21</c:v>
                </c:pt>
                <c:pt idx="467">
                  <c:v>184.44</c:v>
                </c:pt>
                <c:pt idx="468">
                  <c:v>185.21</c:v>
                </c:pt>
                <c:pt idx="469">
                  <c:v>185.71</c:v>
                </c:pt>
                <c:pt idx="470">
                  <c:v>186.14</c:v>
                </c:pt>
                <c:pt idx="471">
                  <c:v>186.8</c:v>
                </c:pt>
                <c:pt idx="472">
                  <c:v>183.2</c:v>
                </c:pt>
                <c:pt idx="473">
                  <c:v>183.32</c:v>
                </c:pt>
                <c:pt idx="474">
                  <c:v>183.5</c:v>
                </c:pt>
                <c:pt idx="475">
                  <c:v>182.04</c:v>
                </c:pt>
                <c:pt idx="476">
                  <c:v>183.11</c:v>
                </c:pt>
                <c:pt idx="477">
                  <c:v>182.87</c:v>
                </c:pt>
                <c:pt idx="478">
                  <c:v>184.36</c:v>
                </c:pt>
                <c:pt idx="479">
                  <c:v>183.13</c:v>
                </c:pt>
                <c:pt idx="480">
                  <c:v>182.24</c:v>
                </c:pt>
                <c:pt idx="481">
                  <c:v>182.83</c:v>
                </c:pt>
                <c:pt idx="482">
                  <c:v>183.02</c:v>
                </c:pt>
                <c:pt idx="483">
                  <c:v>183.19</c:v>
                </c:pt>
                <c:pt idx="484">
                  <c:v>182.48</c:v>
                </c:pt>
                <c:pt idx="485">
                  <c:v>184.39</c:v>
                </c:pt>
                <c:pt idx="486">
                  <c:v>185.57</c:v>
                </c:pt>
                <c:pt idx="487">
                  <c:v>184.8</c:v>
                </c:pt>
                <c:pt idx="488">
                  <c:v>184.36</c:v>
                </c:pt>
                <c:pt idx="489">
                  <c:v>182.69</c:v>
                </c:pt>
                <c:pt idx="490">
                  <c:v>181.59</c:v>
                </c:pt>
                <c:pt idx="491">
                  <c:v>183.85</c:v>
                </c:pt>
                <c:pt idx="492">
                  <c:v>182</c:v>
                </c:pt>
                <c:pt idx="493">
                  <c:v>182.77</c:v>
                </c:pt>
                <c:pt idx="494">
                  <c:v>182.89</c:v>
                </c:pt>
                <c:pt idx="495">
                  <c:v>163.92</c:v>
                </c:pt>
                <c:pt idx="496">
                  <c:v>162.52000000000001</c:v>
                </c:pt>
                <c:pt idx="497">
                  <c:v>165.3</c:v>
                </c:pt>
                <c:pt idx="498">
                  <c:v>166.3</c:v>
                </c:pt>
                <c:pt idx="499">
                  <c:v>164.46</c:v>
                </c:pt>
                <c:pt idx="500">
                  <c:v>165.97</c:v>
                </c:pt>
                <c:pt idx="501">
                  <c:v>164.92</c:v>
                </c:pt>
                <c:pt idx="502">
                  <c:v>164.69</c:v>
                </c:pt>
                <c:pt idx="503">
                  <c:v>166.04</c:v>
                </c:pt>
                <c:pt idx="504">
                  <c:v>164.49</c:v>
                </c:pt>
                <c:pt idx="505">
                  <c:v>159.995</c:v>
                </c:pt>
                <c:pt idx="506">
                  <c:v>159.53</c:v>
                </c:pt>
                <c:pt idx="507">
                  <c:v>159.22</c:v>
                </c:pt>
                <c:pt idx="508">
                  <c:v>157.27000000000001</c:v>
                </c:pt>
                <c:pt idx="509">
                  <c:v>157.41999999999999</c:v>
                </c:pt>
                <c:pt idx="510">
                  <c:v>159.47499999999999</c:v>
                </c:pt>
                <c:pt idx="511">
                  <c:v>160.54</c:v>
                </c:pt>
                <c:pt idx="512">
                  <c:v>161.66999999999999</c:v>
                </c:pt>
                <c:pt idx="513">
                  <c:v>160.91999999999999</c:v>
                </c:pt>
                <c:pt idx="514">
                  <c:v>161.56</c:v>
                </c:pt>
                <c:pt idx="515">
                  <c:v>163.67500000000001</c:v>
                </c:pt>
                <c:pt idx="516">
                  <c:v>164.08</c:v>
                </c:pt>
                <c:pt idx="517">
                  <c:v>163.44999999999999</c:v>
                </c:pt>
                <c:pt idx="518">
                  <c:v>163.76</c:v>
                </c:pt>
                <c:pt idx="519">
                  <c:v>158.59</c:v>
                </c:pt>
                <c:pt idx="520">
                  <c:v>157.15</c:v>
                </c:pt>
                <c:pt idx="521">
                  <c:v>159</c:v>
                </c:pt>
                <c:pt idx="522">
                  <c:v>159.41999999999999</c:v>
                </c:pt>
                <c:pt idx="523">
                  <c:v>161.54</c:v>
                </c:pt>
                <c:pt idx="524">
                  <c:v>161.52000000000001</c:v>
                </c:pt>
                <c:pt idx="525">
                  <c:v>162.78</c:v>
                </c:pt>
                <c:pt idx="526">
                  <c:v>163.19999999999999</c:v>
                </c:pt>
                <c:pt idx="527">
                  <c:v>161.43</c:v>
                </c:pt>
                <c:pt idx="528">
                  <c:v>161.54</c:v>
                </c:pt>
                <c:pt idx="529">
                  <c:v>158.97999999999999</c:v>
                </c:pt>
                <c:pt idx="530">
                  <c:v>159.63</c:v>
                </c:pt>
                <c:pt idx="531">
                  <c:v>158.13</c:v>
                </c:pt>
                <c:pt idx="532">
                  <c:v>157.47999999999999</c:v>
                </c:pt>
                <c:pt idx="533">
                  <c:v>158.97999999999999</c:v>
                </c:pt>
                <c:pt idx="534">
                  <c:v>155.27000000000001</c:v>
                </c:pt>
                <c:pt idx="535">
                  <c:v>153.68</c:v>
                </c:pt>
                <c:pt idx="536">
                  <c:v>155.02000000000001</c:v>
                </c:pt>
                <c:pt idx="537">
                  <c:v>157.33000000000001</c:v>
                </c:pt>
                <c:pt idx="538">
                  <c:v>176.48</c:v>
                </c:pt>
                <c:pt idx="539">
                  <c:v>176.62</c:v>
                </c:pt>
                <c:pt idx="540">
                  <c:v>173.76</c:v>
                </c:pt>
                <c:pt idx="541">
                  <c:v>172.88</c:v>
                </c:pt>
                <c:pt idx="542">
                  <c:v>172.4</c:v>
                </c:pt>
                <c:pt idx="543">
                  <c:v>171.78</c:v>
                </c:pt>
                <c:pt idx="544">
                  <c:v>172.71</c:v>
                </c:pt>
                <c:pt idx="545">
                  <c:v>172.85</c:v>
                </c:pt>
                <c:pt idx="546">
                  <c:v>171.86</c:v>
                </c:pt>
                <c:pt idx="547">
                  <c:v>173.32</c:v>
                </c:pt>
                <c:pt idx="548">
                  <c:v>171.12</c:v>
                </c:pt>
                <c:pt idx="549">
                  <c:v>171.22</c:v>
                </c:pt>
                <c:pt idx="550">
                  <c:v>170.09</c:v>
                </c:pt>
                <c:pt idx="551">
                  <c:v>170.35</c:v>
                </c:pt>
                <c:pt idx="552">
                  <c:v>171.08</c:v>
                </c:pt>
                <c:pt idx="553">
                  <c:v>170.05</c:v>
                </c:pt>
                <c:pt idx="554">
                  <c:v>168.37</c:v>
                </c:pt>
                <c:pt idx="555">
                  <c:v>171.39500000000001</c:v>
                </c:pt>
                <c:pt idx="556">
                  <c:v>171.22</c:v>
                </c:pt>
                <c:pt idx="557">
                  <c:v>175.23</c:v>
                </c:pt>
                <c:pt idx="558">
                  <c:v>176.52</c:v>
                </c:pt>
                <c:pt idx="559">
                  <c:v>175.8</c:v>
                </c:pt>
                <c:pt idx="560">
                  <c:v>175.64</c:v>
                </c:pt>
                <c:pt idx="561">
                  <c:v>174.23</c:v>
                </c:pt>
                <c:pt idx="562">
                  <c:v>172.87</c:v>
                </c:pt>
                <c:pt idx="563">
                  <c:v>169.39</c:v>
                </c:pt>
                <c:pt idx="564">
                  <c:v>172.26</c:v>
                </c:pt>
                <c:pt idx="565">
                  <c:v>173.1</c:v>
                </c:pt>
                <c:pt idx="566">
                  <c:v>174.8</c:v>
                </c:pt>
                <c:pt idx="567">
                  <c:v>174.89</c:v>
                </c:pt>
                <c:pt idx="568">
                  <c:v>176.185</c:v>
                </c:pt>
                <c:pt idx="569">
                  <c:v>173.25</c:v>
                </c:pt>
                <c:pt idx="570">
                  <c:v>171.31</c:v>
                </c:pt>
                <c:pt idx="571">
                  <c:v>171.91</c:v>
                </c:pt>
                <c:pt idx="572">
                  <c:v>168.76</c:v>
                </c:pt>
                <c:pt idx="573">
                  <c:v>165.6</c:v>
                </c:pt>
                <c:pt idx="574">
                  <c:v>168.68</c:v>
                </c:pt>
                <c:pt idx="575">
                  <c:v>167.07499999999999</c:v>
                </c:pt>
                <c:pt idx="576">
                  <c:v>164.37</c:v>
                </c:pt>
                <c:pt idx="577">
                  <c:v>166.01</c:v>
                </c:pt>
                <c:pt idx="578">
                  <c:v>164.89</c:v>
                </c:pt>
                <c:pt idx="579">
                  <c:v>164.34</c:v>
                </c:pt>
                <c:pt idx="580">
                  <c:v>161.62</c:v>
                </c:pt>
                <c:pt idx="581">
                  <c:v>163.08000000000001</c:v>
                </c:pt>
                <c:pt idx="582">
                  <c:v>162.52000000000001</c:v>
                </c:pt>
                <c:pt idx="583">
                  <c:v>162.35</c:v>
                </c:pt>
                <c:pt idx="584">
                  <c:v>163.13</c:v>
                </c:pt>
                <c:pt idx="585">
                  <c:v>165.27</c:v>
                </c:pt>
                <c:pt idx="586">
                  <c:v>164.63</c:v>
                </c:pt>
                <c:pt idx="587">
                  <c:v>165.84</c:v>
                </c:pt>
                <c:pt idx="588">
                  <c:v>167.4</c:v>
                </c:pt>
                <c:pt idx="589">
                  <c:v>165.36</c:v>
                </c:pt>
                <c:pt idx="590">
                  <c:v>165.13</c:v>
                </c:pt>
                <c:pt idx="591">
                  <c:v>168</c:v>
                </c:pt>
                <c:pt idx="592">
                  <c:v>166.41</c:v>
                </c:pt>
                <c:pt idx="593">
                  <c:v>167.58</c:v>
                </c:pt>
                <c:pt idx="594">
                  <c:v>168.15</c:v>
                </c:pt>
                <c:pt idx="595">
                  <c:v>167.95</c:v>
                </c:pt>
                <c:pt idx="596">
                  <c:v>168.56</c:v>
                </c:pt>
                <c:pt idx="597">
                  <c:v>169.76</c:v>
                </c:pt>
                <c:pt idx="598">
                  <c:v>170.23</c:v>
                </c:pt>
                <c:pt idx="599">
                  <c:v>169.83</c:v>
                </c:pt>
                <c:pt idx="600">
                  <c:v>168.42</c:v>
                </c:pt>
                <c:pt idx="601">
                  <c:v>169.31</c:v>
                </c:pt>
                <c:pt idx="602">
                  <c:v>168.29</c:v>
                </c:pt>
                <c:pt idx="603">
                  <c:v>167.29</c:v>
                </c:pt>
                <c:pt idx="604">
                  <c:v>165.29</c:v>
                </c:pt>
                <c:pt idx="605">
                  <c:v>165.5</c:v>
                </c:pt>
                <c:pt idx="606">
                  <c:v>161.30000000000001</c:v>
                </c:pt>
                <c:pt idx="607">
                  <c:v>161.63999999999999</c:v>
                </c:pt>
                <c:pt idx="608">
                  <c:v>162.35</c:v>
                </c:pt>
                <c:pt idx="609">
                  <c:v>165.42</c:v>
                </c:pt>
                <c:pt idx="610">
                  <c:v>171</c:v>
                </c:pt>
                <c:pt idx="611">
                  <c:v>169.59</c:v>
                </c:pt>
                <c:pt idx="612">
                  <c:v>169.2</c:v>
                </c:pt>
                <c:pt idx="613">
                  <c:v>166.74</c:v>
                </c:pt>
                <c:pt idx="614">
                  <c:v>167.29</c:v>
                </c:pt>
                <c:pt idx="615">
                  <c:v>169.06</c:v>
                </c:pt>
                <c:pt idx="616">
                  <c:v>171.49</c:v>
                </c:pt>
                <c:pt idx="617">
                  <c:v>167.46</c:v>
                </c:pt>
                <c:pt idx="618">
                  <c:v>166.01</c:v>
                </c:pt>
                <c:pt idx="619">
                  <c:v>164.61</c:v>
                </c:pt>
                <c:pt idx="620">
                  <c:v>164.41</c:v>
                </c:pt>
                <c:pt idx="621">
                  <c:v>159.88999999999999</c:v>
                </c:pt>
                <c:pt idx="622">
                  <c:v>161.27000000000001</c:v>
                </c:pt>
                <c:pt idx="623">
                  <c:v>163.66999999999999</c:v>
                </c:pt>
                <c:pt idx="624">
                  <c:v>165.39</c:v>
                </c:pt>
                <c:pt idx="625">
                  <c:v>164.38</c:v>
                </c:pt>
                <c:pt idx="626">
                  <c:v>164.5</c:v>
                </c:pt>
                <c:pt idx="627">
                  <c:v>167.89</c:v>
                </c:pt>
                <c:pt idx="628">
                  <c:v>164.97</c:v>
                </c:pt>
                <c:pt idx="629">
                  <c:v>164.44499999999999</c:v>
                </c:pt>
                <c:pt idx="630">
                  <c:v>162.72</c:v>
                </c:pt>
                <c:pt idx="631">
                  <c:v>158.72999999999999</c:v>
                </c:pt>
                <c:pt idx="632">
                  <c:v>156.75</c:v>
                </c:pt>
                <c:pt idx="633">
                  <c:v>156.495</c:v>
                </c:pt>
                <c:pt idx="634">
                  <c:v>158.68</c:v>
                </c:pt>
                <c:pt idx="635">
                  <c:v>156.47</c:v>
                </c:pt>
                <c:pt idx="636">
                  <c:v>157.47999999999999</c:v>
                </c:pt>
                <c:pt idx="637">
                  <c:v>160.22999999999999</c:v>
                </c:pt>
                <c:pt idx="638">
                  <c:v>161.22999999999999</c:v>
                </c:pt>
                <c:pt idx="639">
                  <c:v>158.94</c:v>
                </c:pt>
                <c:pt idx="640">
                  <c:v>155.65</c:v>
                </c:pt>
                <c:pt idx="641">
                  <c:v>154.84</c:v>
                </c:pt>
                <c:pt idx="642">
                  <c:v>154.74</c:v>
                </c:pt>
                <c:pt idx="643">
                  <c:v>155.86000000000001</c:v>
                </c:pt>
                <c:pt idx="644">
                  <c:v>155.36000000000001</c:v>
                </c:pt>
                <c:pt idx="645">
                  <c:v>155.09</c:v>
                </c:pt>
                <c:pt idx="646">
                  <c:v>155.74</c:v>
                </c:pt>
                <c:pt idx="647">
                  <c:v>155.44</c:v>
                </c:pt>
                <c:pt idx="648">
                  <c:v>153.15</c:v>
                </c:pt>
                <c:pt idx="649">
                  <c:v>149.56</c:v>
                </c:pt>
                <c:pt idx="650">
                  <c:v>149.85</c:v>
                </c:pt>
                <c:pt idx="651">
                  <c:v>149.94</c:v>
                </c:pt>
                <c:pt idx="652">
                  <c:v>149.58000000000001</c:v>
                </c:pt>
                <c:pt idx="653">
                  <c:v>149.93</c:v>
                </c:pt>
                <c:pt idx="654">
                  <c:v>151.72999999999999</c:v>
                </c:pt>
                <c:pt idx="655">
                  <c:v>152.36000000000001</c:v>
                </c:pt>
                <c:pt idx="656">
                  <c:v>152.22999999999999</c:v>
                </c:pt>
                <c:pt idx="657">
                  <c:v>152.01</c:v>
                </c:pt>
                <c:pt idx="658">
                  <c:v>152.58000000000001</c:v>
                </c:pt>
                <c:pt idx="659">
                  <c:v>151.74</c:v>
                </c:pt>
                <c:pt idx="660">
                  <c:v>148.91999999999999</c:v>
                </c:pt>
                <c:pt idx="661">
                  <c:v>147.19999999999999</c:v>
                </c:pt>
                <c:pt idx="662">
                  <c:v>147.71</c:v>
                </c:pt>
                <c:pt idx="663">
                  <c:v>147.22</c:v>
                </c:pt>
                <c:pt idx="664">
                  <c:v>147.27500000000001</c:v>
                </c:pt>
                <c:pt idx="665">
                  <c:v>147.75</c:v>
                </c:pt>
                <c:pt idx="666">
                  <c:v>145.38999999999999</c:v>
                </c:pt>
                <c:pt idx="667">
                  <c:v>145.63</c:v>
                </c:pt>
                <c:pt idx="668">
                  <c:v>147.9</c:v>
                </c:pt>
                <c:pt idx="669">
                  <c:v>149.26</c:v>
                </c:pt>
                <c:pt idx="670">
                  <c:v>151.03</c:v>
                </c:pt>
                <c:pt idx="671">
                  <c:v>149.19999999999999</c:v>
                </c:pt>
                <c:pt idx="672">
                  <c:v>147.30000000000001</c:v>
                </c:pt>
                <c:pt idx="673">
                  <c:v>151.76</c:v>
                </c:pt>
                <c:pt idx="674">
                  <c:v>146.62</c:v>
                </c:pt>
                <c:pt idx="675">
                  <c:v>143.81</c:v>
                </c:pt>
                <c:pt idx="676">
                  <c:v>143.35</c:v>
                </c:pt>
                <c:pt idx="677">
                  <c:v>145.63</c:v>
                </c:pt>
                <c:pt idx="678">
                  <c:v>144.41</c:v>
                </c:pt>
                <c:pt idx="679">
                  <c:v>145.25</c:v>
                </c:pt>
                <c:pt idx="680">
                  <c:v>144.55000000000001</c:v>
                </c:pt>
                <c:pt idx="681">
                  <c:v>146.33000000000001</c:v>
                </c:pt>
                <c:pt idx="682">
                  <c:v>144.56</c:v>
                </c:pt>
                <c:pt idx="683">
                  <c:v>147.82</c:v>
                </c:pt>
                <c:pt idx="684">
                  <c:v>147.72999999999999</c:v>
                </c:pt>
                <c:pt idx="685">
                  <c:v>148.08000000000001</c:v>
                </c:pt>
                <c:pt idx="686">
                  <c:v>147.15</c:v>
                </c:pt>
                <c:pt idx="687">
                  <c:v>147.38</c:v>
                </c:pt>
                <c:pt idx="688">
                  <c:v>149.51</c:v>
                </c:pt>
                <c:pt idx="689">
                  <c:v>148.81</c:v>
                </c:pt>
                <c:pt idx="690">
                  <c:v>149.46</c:v>
                </c:pt>
                <c:pt idx="691">
                  <c:v>149.16999999999999</c:v>
                </c:pt>
                <c:pt idx="692">
                  <c:v>147.58000000000001</c:v>
                </c:pt>
                <c:pt idx="693">
                  <c:v>149.80000000000001</c:v>
                </c:pt>
                <c:pt idx="694">
                  <c:v>149.83000000000001</c:v>
                </c:pt>
                <c:pt idx="695">
                  <c:v>149.56</c:v>
                </c:pt>
                <c:pt idx="696">
                  <c:v>149.02000000000001</c:v>
                </c:pt>
                <c:pt idx="697">
                  <c:v>149.96</c:v>
                </c:pt>
                <c:pt idx="698">
                  <c:v>149.94</c:v>
                </c:pt>
                <c:pt idx="699">
                  <c:v>150.55000000000001</c:v>
                </c:pt>
                <c:pt idx="700">
                  <c:v>149.02000000000001</c:v>
                </c:pt>
                <c:pt idx="701">
                  <c:v>148.97999999999999</c:v>
                </c:pt>
                <c:pt idx="702">
                  <c:v>149.41</c:v>
                </c:pt>
                <c:pt idx="703">
                  <c:v>147.94</c:v>
                </c:pt>
                <c:pt idx="704">
                  <c:v>149.5</c:v>
                </c:pt>
                <c:pt idx="705">
                  <c:v>151.4</c:v>
                </c:pt>
                <c:pt idx="706">
                  <c:v>150.59</c:v>
                </c:pt>
                <c:pt idx="707">
                  <c:v>152.06</c:v>
                </c:pt>
                <c:pt idx="708">
                  <c:v>151.9</c:v>
                </c:pt>
                <c:pt idx="709">
                  <c:v>157.11000000000001</c:v>
                </c:pt>
                <c:pt idx="710">
                  <c:v>159.11000000000001</c:v>
                </c:pt>
                <c:pt idx="711">
                  <c:v>155.69</c:v>
                </c:pt>
                <c:pt idx="712">
                  <c:v>154.46</c:v>
                </c:pt>
                <c:pt idx="713">
                  <c:v>154.02000000000001</c:v>
                </c:pt>
                <c:pt idx="714">
                  <c:v>154.65</c:v>
                </c:pt>
                <c:pt idx="715">
                  <c:v>153.61000000000001</c:v>
                </c:pt>
                <c:pt idx="716">
                  <c:v>152.32</c:v>
                </c:pt>
                <c:pt idx="717">
                  <c:v>154.78</c:v>
                </c:pt>
                <c:pt idx="718">
                  <c:v>153.59</c:v>
                </c:pt>
                <c:pt idx="719">
                  <c:v>154.88999999999999</c:v>
                </c:pt>
                <c:pt idx="720">
                  <c:v>154.94999999999999</c:v>
                </c:pt>
                <c:pt idx="721">
                  <c:v>152.49</c:v>
                </c:pt>
                <c:pt idx="722">
                  <c:v>153.15</c:v>
                </c:pt>
                <c:pt idx="723">
                  <c:v>153.5</c:v>
                </c:pt>
                <c:pt idx="724">
                  <c:v>152.88999999999999</c:v>
                </c:pt>
                <c:pt idx="725">
                  <c:v>152.66</c:v>
                </c:pt>
                <c:pt idx="726">
                  <c:v>153.16999999999999</c:v>
                </c:pt>
                <c:pt idx="727">
                  <c:v>155.75</c:v>
                </c:pt>
                <c:pt idx="728">
                  <c:v>157.56</c:v>
                </c:pt>
                <c:pt idx="729">
                  <c:v>157.75</c:v>
                </c:pt>
                <c:pt idx="730">
                  <c:v>158.5</c:v>
                </c:pt>
                <c:pt idx="731">
                  <c:v>156.59</c:v>
                </c:pt>
                <c:pt idx="732">
                  <c:v>155.66</c:v>
                </c:pt>
                <c:pt idx="733">
                  <c:v>157.35</c:v>
                </c:pt>
                <c:pt idx="734">
                  <c:v>159.17500000000001</c:v>
                </c:pt>
                <c:pt idx="735">
                  <c:v>156.93</c:v>
                </c:pt>
                <c:pt idx="736">
                  <c:v>152.97</c:v>
                </c:pt>
                <c:pt idx="737">
                  <c:v>163.18</c:v>
                </c:pt>
                <c:pt idx="738">
                  <c:v>163.33000000000001</c:v>
                </c:pt>
                <c:pt idx="739">
                  <c:v>168.16</c:v>
                </c:pt>
                <c:pt idx="740">
                  <c:v>170.72</c:v>
                </c:pt>
                <c:pt idx="741">
                  <c:v>169.63</c:v>
                </c:pt>
                <c:pt idx="742">
                  <c:v>172.12</c:v>
                </c:pt>
                <c:pt idx="743">
                  <c:v>168.41</c:v>
                </c:pt>
                <c:pt idx="744">
                  <c:v>168</c:v>
                </c:pt>
                <c:pt idx="745">
                  <c:v>169.89</c:v>
                </c:pt>
                <c:pt idx="746">
                  <c:v>170.71</c:v>
                </c:pt>
                <c:pt idx="747">
                  <c:v>170.8</c:v>
                </c:pt>
                <c:pt idx="748">
                  <c:v>166.46</c:v>
                </c:pt>
                <c:pt idx="749">
                  <c:v>167.74</c:v>
                </c:pt>
                <c:pt idx="750">
                  <c:v>170.59</c:v>
                </c:pt>
                <c:pt idx="751">
                  <c:v>169.4</c:v>
                </c:pt>
                <c:pt idx="752">
                  <c:v>166.19</c:v>
                </c:pt>
                <c:pt idx="753">
                  <c:v>168.91</c:v>
                </c:pt>
                <c:pt idx="754">
                  <c:v>171.62</c:v>
                </c:pt>
                <c:pt idx="755">
                  <c:v>173.67</c:v>
                </c:pt>
                <c:pt idx="756">
                  <c:v>174.97</c:v>
                </c:pt>
                <c:pt idx="757">
                  <c:v>176.47</c:v>
                </c:pt>
              </c:numCache>
            </c:numRef>
          </c:val>
          <c:smooth val="0"/>
          <c:extLst>
            <c:ext xmlns:c16="http://schemas.microsoft.com/office/drawing/2014/chart" uri="{C3380CC4-5D6E-409C-BE32-E72D297353CC}">
              <c16:uniqueId val="{00000000-7358-48C5-BD2F-EEB1249E300C}"/>
            </c:ext>
          </c:extLst>
        </c:ser>
        <c:dLbls>
          <c:showLegendKey val="0"/>
          <c:showVal val="0"/>
          <c:showCatName val="0"/>
          <c:showSerName val="0"/>
          <c:showPercent val="0"/>
          <c:showBubbleSize val="0"/>
        </c:dLbls>
        <c:marker val="1"/>
        <c:smooth val="0"/>
        <c:axId val="530230320"/>
        <c:axId val="530230976"/>
      </c:lineChart>
      <c:scatterChart>
        <c:scatterStyle val="lineMarker"/>
        <c:varyColors val="0"/>
        <c:ser>
          <c:idx val="1"/>
          <c:order val="1"/>
          <c:tx>
            <c:strRef>
              <c:f>Exhibits!$FW$39</c:f>
              <c:strCache>
                <c:ptCount val="1"/>
                <c:pt idx="0">
                  <c:v>Price Target</c:v>
                </c:pt>
              </c:strCache>
            </c:strRef>
          </c:tx>
          <c:spPr>
            <a:ln w="25400" cap="rnd">
              <a:noFill/>
              <a:round/>
            </a:ln>
            <a:effectLst/>
          </c:spPr>
          <c:marker>
            <c:symbol val="diamond"/>
            <c:size val="5"/>
            <c:spPr>
              <a:solidFill>
                <a:schemeClr val="accent2"/>
              </a:solidFill>
              <a:ln w="9525">
                <a:solidFill>
                  <a:schemeClr val="accent2"/>
                </a:solidFill>
              </a:ln>
              <a:effectLst/>
            </c:spPr>
          </c:marker>
          <c:dLbls>
            <c:dLbl>
              <c:idx val="127"/>
              <c:layout>
                <c:manualLayout>
                  <c:x val="-5.4108221848151519E-2"/>
                  <c:y val="-0.183856820644019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0D2-43F1-96FD-6C0A1AC5ECE5}"/>
                </c:ext>
              </c:extLst>
            </c:dLbl>
            <c:dLbl>
              <c:idx val="191"/>
              <c:layout>
                <c:manualLayout>
                  <c:x val="-5.0008267127351583E-2"/>
                  <c:y val="-6.61728346362403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0D2-43F1-96FD-6C0A1AC5ECE5}"/>
                </c:ext>
              </c:extLst>
            </c:dLbl>
            <c:dLbl>
              <c:idx val="255"/>
              <c:layout>
                <c:manualLayout>
                  <c:x val="-5.0008267127351423E-2"/>
                  <c:y val="-6.617283463624029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0D2-43F1-96FD-6C0A1AC5ECE5}"/>
                </c:ext>
              </c:extLst>
            </c:dLbl>
            <c:dLbl>
              <c:idx val="380"/>
              <c:layout>
                <c:manualLayout>
                  <c:x val="-5.0008267127351423E-2"/>
                  <c:y val="-0.1126914737899448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358-48C5-BD2F-EEB1249E300C}"/>
                </c:ext>
              </c:extLst>
            </c:dLbl>
            <c:dLbl>
              <c:idx val="443"/>
              <c:layout>
                <c:manualLayout>
                  <c:x val="-5.5180583954747148E-2"/>
                  <c:y val="-8.364535947694003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r"/>
              <c:showLegendKey val="0"/>
              <c:showVal val="1"/>
              <c:showCatName val="0"/>
              <c:showSerName val="0"/>
              <c:showPercent val="0"/>
              <c:showBubbleSize val="0"/>
              <c:extLst>
                <c:ext xmlns:c15="http://schemas.microsoft.com/office/drawing/2012/chart" uri="{CE6537A1-D6FC-4f65-9D91-7224C49458BB}">
                  <c15:layout>
                    <c:manualLayout>
                      <c:w val="8.2567237754307049E-2"/>
                      <c:h val="5.6926867683915569E-2"/>
                    </c:manualLayout>
                  </c15:layout>
                </c:ext>
                <c:ext xmlns:c16="http://schemas.microsoft.com/office/drawing/2014/chart" uri="{C3380CC4-5D6E-409C-BE32-E72D297353CC}">
                  <c16:uniqueId val="{00000003-B0D2-43F1-96FD-6C0A1AC5ECE5}"/>
                </c:ext>
              </c:extLst>
            </c:dLbl>
            <c:dLbl>
              <c:idx val="444"/>
              <c:layout>
                <c:manualLayout>
                  <c:x val="-4.981846019247594E-2"/>
                  <c:y val="-6.94178051461516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0D2-43F1-96FD-6C0A1AC5ECE5}"/>
                </c:ext>
              </c:extLst>
            </c:dLbl>
            <c:dLbl>
              <c:idx val="568"/>
              <c:layout>
                <c:manualLayout>
                  <c:x val="-4.9818435643326948E-2"/>
                  <c:y val="-5.14917099051453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0D2-43F1-96FD-6C0A1AC5ECE5}"/>
                </c:ext>
              </c:extLst>
            </c:dLbl>
            <c:dLbl>
              <c:idx val="629"/>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2B5-4F51-9A64-961141CFED84}"/>
                </c:ext>
              </c:extLst>
            </c:dLbl>
            <c:dLbl>
              <c:idx val="632"/>
              <c:layout>
                <c:manualLayout>
                  <c:x val="-6.6508575096845305E-4"/>
                  <c:y val="4.81035413053675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0D2-43F1-96FD-6C0A1AC5ECE5}"/>
                </c:ext>
              </c:extLst>
            </c:dLbl>
            <c:dLbl>
              <c:idx val="749"/>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0D2-43F1-96FD-6C0A1AC5ECE5}"/>
                </c:ext>
              </c:extLst>
            </c:dLbl>
            <c:dLbl>
              <c:idx val="755"/>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0D2-43F1-96FD-6C0A1AC5ECE5}"/>
                </c:ext>
              </c:extLst>
            </c:dLbl>
            <c:dLbl>
              <c:idx val="756"/>
              <c:layout>
                <c:manualLayout>
                  <c:x val="-1.7767178141193888E-2"/>
                  <c:y val="-4.71820715562783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358-48C5-BD2F-EEB1249E30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Exhibits!$FU$113:$FU$870</c:f>
              <c:numCache>
                <c:formatCode>m/d/yyyy</c:formatCode>
                <c:ptCount val="758"/>
                <c:pt idx="0">
                  <c:v>42825</c:v>
                </c:pt>
                <c:pt idx="1">
                  <c:v>42824</c:v>
                </c:pt>
                <c:pt idx="2">
                  <c:v>42823</c:v>
                </c:pt>
                <c:pt idx="3">
                  <c:v>42822</c:v>
                </c:pt>
                <c:pt idx="4">
                  <c:v>42821</c:v>
                </c:pt>
                <c:pt idx="5">
                  <c:v>42818</c:v>
                </c:pt>
                <c:pt idx="6">
                  <c:v>42817</c:v>
                </c:pt>
                <c:pt idx="7">
                  <c:v>42816</c:v>
                </c:pt>
                <c:pt idx="8">
                  <c:v>42815</c:v>
                </c:pt>
                <c:pt idx="9">
                  <c:v>42814</c:v>
                </c:pt>
                <c:pt idx="10">
                  <c:v>42811</c:v>
                </c:pt>
                <c:pt idx="11">
                  <c:v>42810</c:v>
                </c:pt>
                <c:pt idx="12">
                  <c:v>42809</c:v>
                </c:pt>
                <c:pt idx="13">
                  <c:v>42808</c:v>
                </c:pt>
                <c:pt idx="14">
                  <c:v>42807</c:v>
                </c:pt>
                <c:pt idx="15">
                  <c:v>42804</c:v>
                </c:pt>
                <c:pt idx="16">
                  <c:v>42803</c:v>
                </c:pt>
                <c:pt idx="17">
                  <c:v>42802</c:v>
                </c:pt>
                <c:pt idx="18">
                  <c:v>42801</c:v>
                </c:pt>
                <c:pt idx="19">
                  <c:v>42800</c:v>
                </c:pt>
                <c:pt idx="20">
                  <c:v>42797</c:v>
                </c:pt>
                <c:pt idx="21">
                  <c:v>42796</c:v>
                </c:pt>
                <c:pt idx="22">
                  <c:v>42795</c:v>
                </c:pt>
                <c:pt idx="23">
                  <c:v>42794</c:v>
                </c:pt>
                <c:pt idx="24">
                  <c:v>42793</c:v>
                </c:pt>
                <c:pt idx="25">
                  <c:v>42790</c:v>
                </c:pt>
                <c:pt idx="26">
                  <c:v>42789</c:v>
                </c:pt>
                <c:pt idx="27">
                  <c:v>42788</c:v>
                </c:pt>
                <c:pt idx="28">
                  <c:v>42787</c:v>
                </c:pt>
                <c:pt idx="29">
                  <c:v>42783</c:v>
                </c:pt>
                <c:pt idx="30">
                  <c:v>42782</c:v>
                </c:pt>
                <c:pt idx="31">
                  <c:v>42781</c:v>
                </c:pt>
                <c:pt idx="32">
                  <c:v>42780</c:v>
                </c:pt>
                <c:pt idx="33">
                  <c:v>42779</c:v>
                </c:pt>
                <c:pt idx="34">
                  <c:v>42776</c:v>
                </c:pt>
                <c:pt idx="35">
                  <c:v>42775</c:v>
                </c:pt>
                <c:pt idx="36">
                  <c:v>42774</c:v>
                </c:pt>
                <c:pt idx="37">
                  <c:v>42773</c:v>
                </c:pt>
                <c:pt idx="38">
                  <c:v>42772</c:v>
                </c:pt>
                <c:pt idx="39">
                  <c:v>42769</c:v>
                </c:pt>
                <c:pt idx="40">
                  <c:v>42768</c:v>
                </c:pt>
                <c:pt idx="41">
                  <c:v>42767</c:v>
                </c:pt>
                <c:pt idx="42">
                  <c:v>42766</c:v>
                </c:pt>
                <c:pt idx="43">
                  <c:v>42765</c:v>
                </c:pt>
                <c:pt idx="44">
                  <c:v>42762</c:v>
                </c:pt>
                <c:pt idx="45">
                  <c:v>42761</c:v>
                </c:pt>
                <c:pt idx="46">
                  <c:v>42760</c:v>
                </c:pt>
                <c:pt idx="47">
                  <c:v>42759</c:v>
                </c:pt>
                <c:pt idx="48">
                  <c:v>42758</c:v>
                </c:pt>
                <c:pt idx="49">
                  <c:v>42755</c:v>
                </c:pt>
                <c:pt idx="50">
                  <c:v>42754</c:v>
                </c:pt>
                <c:pt idx="51">
                  <c:v>42753</c:v>
                </c:pt>
                <c:pt idx="52">
                  <c:v>42752</c:v>
                </c:pt>
                <c:pt idx="53">
                  <c:v>42748</c:v>
                </c:pt>
                <c:pt idx="54">
                  <c:v>42747</c:v>
                </c:pt>
                <c:pt idx="55">
                  <c:v>42746</c:v>
                </c:pt>
                <c:pt idx="56">
                  <c:v>42745</c:v>
                </c:pt>
                <c:pt idx="57">
                  <c:v>42744</c:v>
                </c:pt>
                <c:pt idx="58">
                  <c:v>42741</c:v>
                </c:pt>
                <c:pt idx="59">
                  <c:v>42740</c:v>
                </c:pt>
                <c:pt idx="60">
                  <c:v>42739</c:v>
                </c:pt>
                <c:pt idx="61">
                  <c:v>42738</c:v>
                </c:pt>
                <c:pt idx="62">
                  <c:v>42734</c:v>
                </c:pt>
                <c:pt idx="63">
                  <c:v>42733</c:v>
                </c:pt>
                <c:pt idx="64">
                  <c:v>42732</c:v>
                </c:pt>
                <c:pt idx="65">
                  <c:v>42731</c:v>
                </c:pt>
                <c:pt idx="66">
                  <c:v>42727</c:v>
                </c:pt>
                <c:pt idx="67">
                  <c:v>42726</c:v>
                </c:pt>
                <c:pt idx="68">
                  <c:v>42725</c:v>
                </c:pt>
                <c:pt idx="69">
                  <c:v>42724</c:v>
                </c:pt>
                <c:pt idx="70">
                  <c:v>42723</c:v>
                </c:pt>
                <c:pt idx="71">
                  <c:v>42720</c:v>
                </c:pt>
                <c:pt idx="72">
                  <c:v>42719</c:v>
                </c:pt>
                <c:pt idx="73">
                  <c:v>42718</c:v>
                </c:pt>
                <c:pt idx="74">
                  <c:v>42717</c:v>
                </c:pt>
                <c:pt idx="75">
                  <c:v>42716</c:v>
                </c:pt>
                <c:pt idx="76">
                  <c:v>42713</c:v>
                </c:pt>
                <c:pt idx="77">
                  <c:v>42712</c:v>
                </c:pt>
                <c:pt idx="78">
                  <c:v>42711</c:v>
                </c:pt>
                <c:pt idx="79">
                  <c:v>42710</c:v>
                </c:pt>
                <c:pt idx="80">
                  <c:v>42709</c:v>
                </c:pt>
                <c:pt idx="81">
                  <c:v>42706</c:v>
                </c:pt>
                <c:pt idx="82">
                  <c:v>42705</c:v>
                </c:pt>
                <c:pt idx="83">
                  <c:v>42704</c:v>
                </c:pt>
                <c:pt idx="84">
                  <c:v>42703</c:v>
                </c:pt>
                <c:pt idx="85">
                  <c:v>42702</c:v>
                </c:pt>
                <c:pt idx="86">
                  <c:v>42699</c:v>
                </c:pt>
                <c:pt idx="87">
                  <c:v>42697</c:v>
                </c:pt>
                <c:pt idx="88">
                  <c:v>42696</c:v>
                </c:pt>
                <c:pt idx="89">
                  <c:v>42695</c:v>
                </c:pt>
                <c:pt idx="90">
                  <c:v>42692</c:v>
                </c:pt>
                <c:pt idx="91">
                  <c:v>42691</c:v>
                </c:pt>
                <c:pt idx="92">
                  <c:v>42690</c:v>
                </c:pt>
                <c:pt idx="93">
                  <c:v>42689</c:v>
                </c:pt>
                <c:pt idx="94">
                  <c:v>42688</c:v>
                </c:pt>
                <c:pt idx="95">
                  <c:v>42685</c:v>
                </c:pt>
                <c:pt idx="96">
                  <c:v>42684</c:v>
                </c:pt>
                <c:pt idx="97">
                  <c:v>42683</c:v>
                </c:pt>
                <c:pt idx="98">
                  <c:v>42682</c:v>
                </c:pt>
                <c:pt idx="99">
                  <c:v>42681</c:v>
                </c:pt>
                <c:pt idx="100">
                  <c:v>42678</c:v>
                </c:pt>
                <c:pt idx="101">
                  <c:v>42677</c:v>
                </c:pt>
                <c:pt idx="102">
                  <c:v>42676</c:v>
                </c:pt>
                <c:pt idx="103">
                  <c:v>42675</c:v>
                </c:pt>
                <c:pt idx="104">
                  <c:v>42674</c:v>
                </c:pt>
                <c:pt idx="105">
                  <c:v>42671</c:v>
                </c:pt>
                <c:pt idx="106">
                  <c:v>42670</c:v>
                </c:pt>
                <c:pt idx="107">
                  <c:v>42669</c:v>
                </c:pt>
                <c:pt idx="108">
                  <c:v>42668</c:v>
                </c:pt>
                <c:pt idx="109">
                  <c:v>42667</c:v>
                </c:pt>
                <c:pt idx="110">
                  <c:v>42664</c:v>
                </c:pt>
                <c:pt idx="111">
                  <c:v>42663</c:v>
                </c:pt>
                <c:pt idx="112">
                  <c:v>42662</c:v>
                </c:pt>
                <c:pt idx="113">
                  <c:v>42661</c:v>
                </c:pt>
                <c:pt idx="114">
                  <c:v>42660</c:v>
                </c:pt>
                <c:pt idx="115">
                  <c:v>42657</c:v>
                </c:pt>
                <c:pt idx="116">
                  <c:v>42656</c:v>
                </c:pt>
                <c:pt idx="117">
                  <c:v>42655</c:v>
                </c:pt>
                <c:pt idx="118">
                  <c:v>42654</c:v>
                </c:pt>
                <c:pt idx="119">
                  <c:v>42653</c:v>
                </c:pt>
                <c:pt idx="120">
                  <c:v>42650</c:v>
                </c:pt>
                <c:pt idx="121">
                  <c:v>42649</c:v>
                </c:pt>
                <c:pt idx="122">
                  <c:v>42648</c:v>
                </c:pt>
                <c:pt idx="123">
                  <c:v>42647</c:v>
                </c:pt>
                <c:pt idx="124">
                  <c:v>42646</c:v>
                </c:pt>
                <c:pt idx="125">
                  <c:v>42643</c:v>
                </c:pt>
                <c:pt idx="126">
                  <c:v>42642</c:v>
                </c:pt>
                <c:pt idx="127">
                  <c:v>42641</c:v>
                </c:pt>
                <c:pt idx="128">
                  <c:v>42640</c:v>
                </c:pt>
                <c:pt idx="129">
                  <c:v>42639</c:v>
                </c:pt>
                <c:pt idx="130">
                  <c:v>42636</c:v>
                </c:pt>
                <c:pt idx="131">
                  <c:v>42635</c:v>
                </c:pt>
                <c:pt idx="132">
                  <c:v>42634</c:v>
                </c:pt>
                <c:pt idx="133">
                  <c:v>42633</c:v>
                </c:pt>
                <c:pt idx="134">
                  <c:v>42632</c:v>
                </c:pt>
                <c:pt idx="135">
                  <c:v>42629</c:v>
                </c:pt>
                <c:pt idx="136">
                  <c:v>42628</c:v>
                </c:pt>
                <c:pt idx="137">
                  <c:v>42627</c:v>
                </c:pt>
                <c:pt idx="138">
                  <c:v>42626</c:v>
                </c:pt>
                <c:pt idx="139">
                  <c:v>42625</c:v>
                </c:pt>
                <c:pt idx="140">
                  <c:v>42622</c:v>
                </c:pt>
                <c:pt idx="141">
                  <c:v>42621</c:v>
                </c:pt>
                <c:pt idx="142">
                  <c:v>42620</c:v>
                </c:pt>
                <c:pt idx="143">
                  <c:v>42619</c:v>
                </c:pt>
                <c:pt idx="144">
                  <c:v>42615</c:v>
                </c:pt>
                <c:pt idx="145">
                  <c:v>42614</c:v>
                </c:pt>
                <c:pt idx="146">
                  <c:v>42613</c:v>
                </c:pt>
                <c:pt idx="147">
                  <c:v>42612</c:v>
                </c:pt>
                <c:pt idx="148">
                  <c:v>42611</c:v>
                </c:pt>
                <c:pt idx="149">
                  <c:v>42608</c:v>
                </c:pt>
                <c:pt idx="150">
                  <c:v>42607</c:v>
                </c:pt>
                <c:pt idx="151">
                  <c:v>42606</c:v>
                </c:pt>
                <c:pt idx="152">
                  <c:v>42605</c:v>
                </c:pt>
                <c:pt idx="153">
                  <c:v>42604</c:v>
                </c:pt>
                <c:pt idx="154">
                  <c:v>42601</c:v>
                </c:pt>
                <c:pt idx="155">
                  <c:v>42600</c:v>
                </c:pt>
                <c:pt idx="156">
                  <c:v>42599</c:v>
                </c:pt>
                <c:pt idx="157">
                  <c:v>42598</c:v>
                </c:pt>
                <c:pt idx="158">
                  <c:v>42597</c:v>
                </c:pt>
                <c:pt idx="159">
                  <c:v>42594</c:v>
                </c:pt>
                <c:pt idx="160">
                  <c:v>42593</c:v>
                </c:pt>
                <c:pt idx="161">
                  <c:v>42592</c:v>
                </c:pt>
                <c:pt idx="162">
                  <c:v>42591</c:v>
                </c:pt>
                <c:pt idx="163">
                  <c:v>42590</c:v>
                </c:pt>
                <c:pt idx="164">
                  <c:v>42587</c:v>
                </c:pt>
                <c:pt idx="165">
                  <c:v>42586</c:v>
                </c:pt>
                <c:pt idx="166">
                  <c:v>42585</c:v>
                </c:pt>
                <c:pt idx="167">
                  <c:v>42584</c:v>
                </c:pt>
                <c:pt idx="168">
                  <c:v>42583</c:v>
                </c:pt>
                <c:pt idx="169">
                  <c:v>42580</c:v>
                </c:pt>
                <c:pt idx="170">
                  <c:v>42579</c:v>
                </c:pt>
                <c:pt idx="171">
                  <c:v>42578</c:v>
                </c:pt>
                <c:pt idx="172">
                  <c:v>42577</c:v>
                </c:pt>
                <c:pt idx="173">
                  <c:v>42576</c:v>
                </c:pt>
                <c:pt idx="174">
                  <c:v>42573</c:v>
                </c:pt>
                <c:pt idx="175">
                  <c:v>42572</c:v>
                </c:pt>
                <c:pt idx="176">
                  <c:v>42571</c:v>
                </c:pt>
                <c:pt idx="177">
                  <c:v>42570</c:v>
                </c:pt>
                <c:pt idx="178">
                  <c:v>42569</c:v>
                </c:pt>
                <c:pt idx="179">
                  <c:v>42566</c:v>
                </c:pt>
                <c:pt idx="180">
                  <c:v>42565</c:v>
                </c:pt>
                <c:pt idx="181">
                  <c:v>42564</c:v>
                </c:pt>
                <c:pt idx="182">
                  <c:v>42563</c:v>
                </c:pt>
                <c:pt idx="183">
                  <c:v>42562</c:v>
                </c:pt>
                <c:pt idx="184">
                  <c:v>42559</c:v>
                </c:pt>
                <c:pt idx="185">
                  <c:v>42558</c:v>
                </c:pt>
                <c:pt idx="186">
                  <c:v>42557</c:v>
                </c:pt>
                <c:pt idx="187">
                  <c:v>42556</c:v>
                </c:pt>
                <c:pt idx="188">
                  <c:v>42552</c:v>
                </c:pt>
                <c:pt idx="189">
                  <c:v>42551</c:v>
                </c:pt>
                <c:pt idx="190">
                  <c:v>42550</c:v>
                </c:pt>
                <c:pt idx="191">
                  <c:v>42549</c:v>
                </c:pt>
                <c:pt idx="192">
                  <c:v>42548</c:v>
                </c:pt>
                <c:pt idx="193">
                  <c:v>42545</c:v>
                </c:pt>
                <c:pt idx="194">
                  <c:v>42544</c:v>
                </c:pt>
                <c:pt idx="195">
                  <c:v>42543</c:v>
                </c:pt>
                <c:pt idx="196">
                  <c:v>42542</c:v>
                </c:pt>
                <c:pt idx="197">
                  <c:v>42541</c:v>
                </c:pt>
                <c:pt idx="198">
                  <c:v>42538</c:v>
                </c:pt>
                <c:pt idx="199">
                  <c:v>42537</c:v>
                </c:pt>
                <c:pt idx="200">
                  <c:v>42536</c:v>
                </c:pt>
                <c:pt idx="201">
                  <c:v>42535</c:v>
                </c:pt>
                <c:pt idx="202">
                  <c:v>42534</c:v>
                </c:pt>
                <c:pt idx="203">
                  <c:v>42531</c:v>
                </c:pt>
                <c:pt idx="204">
                  <c:v>42530</c:v>
                </c:pt>
                <c:pt idx="205">
                  <c:v>42529</c:v>
                </c:pt>
                <c:pt idx="206">
                  <c:v>42528</c:v>
                </c:pt>
                <c:pt idx="207">
                  <c:v>42527</c:v>
                </c:pt>
                <c:pt idx="208">
                  <c:v>42524</c:v>
                </c:pt>
                <c:pt idx="209">
                  <c:v>42523</c:v>
                </c:pt>
                <c:pt idx="210">
                  <c:v>42522</c:v>
                </c:pt>
                <c:pt idx="211">
                  <c:v>42521</c:v>
                </c:pt>
                <c:pt idx="212">
                  <c:v>42517</c:v>
                </c:pt>
                <c:pt idx="213">
                  <c:v>42516</c:v>
                </c:pt>
                <c:pt idx="214">
                  <c:v>42515</c:v>
                </c:pt>
                <c:pt idx="215">
                  <c:v>42514</c:v>
                </c:pt>
                <c:pt idx="216">
                  <c:v>42513</c:v>
                </c:pt>
                <c:pt idx="217">
                  <c:v>42510</c:v>
                </c:pt>
                <c:pt idx="218">
                  <c:v>42509</c:v>
                </c:pt>
                <c:pt idx="219">
                  <c:v>42508</c:v>
                </c:pt>
                <c:pt idx="220">
                  <c:v>42507</c:v>
                </c:pt>
                <c:pt idx="221">
                  <c:v>42506</c:v>
                </c:pt>
                <c:pt idx="222">
                  <c:v>42503</c:v>
                </c:pt>
                <c:pt idx="223">
                  <c:v>42502</c:v>
                </c:pt>
                <c:pt idx="224">
                  <c:v>42501</c:v>
                </c:pt>
                <c:pt idx="225">
                  <c:v>42500</c:v>
                </c:pt>
                <c:pt idx="226">
                  <c:v>42499</c:v>
                </c:pt>
                <c:pt idx="227">
                  <c:v>42496</c:v>
                </c:pt>
                <c:pt idx="228">
                  <c:v>42495</c:v>
                </c:pt>
                <c:pt idx="229">
                  <c:v>42494</c:v>
                </c:pt>
                <c:pt idx="230">
                  <c:v>42493</c:v>
                </c:pt>
                <c:pt idx="231">
                  <c:v>42492</c:v>
                </c:pt>
                <c:pt idx="232">
                  <c:v>42489</c:v>
                </c:pt>
                <c:pt idx="233">
                  <c:v>42488</c:v>
                </c:pt>
                <c:pt idx="234">
                  <c:v>42487</c:v>
                </c:pt>
                <c:pt idx="235">
                  <c:v>42486</c:v>
                </c:pt>
                <c:pt idx="236">
                  <c:v>42485</c:v>
                </c:pt>
                <c:pt idx="237">
                  <c:v>42482</c:v>
                </c:pt>
                <c:pt idx="238">
                  <c:v>42481</c:v>
                </c:pt>
                <c:pt idx="239">
                  <c:v>42480</c:v>
                </c:pt>
                <c:pt idx="240">
                  <c:v>42479</c:v>
                </c:pt>
                <c:pt idx="241">
                  <c:v>42478</c:v>
                </c:pt>
                <c:pt idx="242">
                  <c:v>42475</c:v>
                </c:pt>
                <c:pt idx="243">
                  <c:v>42474</c:v>
                </c:pt>
                <c:pt idx="244">
                  <c:v>42473</c:v>
                </c:pt>
                <c:pt idx="245">
                  <c:v>42472</c:v>
                </c:pt>
                <c:pt idx="246">
                  <c:v>42471</c:v>
                </c:pt>
                <c:pt idx="247">
                  <c:v>42468</c:v>
                </c:pt>
                <c:pt idx="248">
                  <c:v>42467</c:v>
                </c:pt>
                <c:pt idx="249">
                  <c:v>42466</c:v>
                </c:pt>
                <c:pt idx="250">
                  <c:v>42465</c:v>
                </c:pt>
                <c:pt idx="251">
                  <c:v>42464</c:v>
                </c:pt>
                <c:pt idx="252">
                  <c:v>42461</c:v>
                </c:pt>
                <c:pt idx="253">
                  <c:v>42460</c:v>
                </c:pt>
                <c:pt idx="254">
                  <c:v>42459</c:v>
                </c:pt>
                <c:pt idx="255">
                  <c:v>42458</c:v>
                </c:pt>
                <c:pt idx="256">
                  <c:v>42457</c:v>
                </c:pt>
                <c:pt idx="257">
                  <c:v>42453</c:v>
                </c:pt>
                <c:pt idx="258">
                  <c:v>42452</c:v>
                </c:pt>
                <c:pt idx="259">
                  <c:v>42451</c:v>
                </c:pt>
                <c:pt idx="260">
                  <c:v>42450</c:v>
                </c:pt>
                <c:pt idx="261">
                  <c:v>42447</c:v>
                </c:pt>
                <c:pt idx="262">
                  <c:v>42446</c:v>
                </c:pt>
                <c:pt idx="263">
                  <c:v>42445</c:v>
                </c:pt>
                <c:pt idx="264">
                  <c:v>42444</c:v>
                </c:pt>
                <c:pt idx="265">
                  <c:v>42443</c:v>
                </c:pt>
                <c:pt idx="266">
                  <c:v>42440</c:v>
                </c:pt>
                <c:pt idx="267">
                  <c:v>42439</c:v>
                </c:pt>
                <c:pt idx="268">
                  <c:v>42438</c:v>
                </c:pt>
                <c:pt idx="269">
                  <c:v>42437</c:v>
                </c:pt>
                <c:pt idx="270">
                  <c:v>42436</c:v>
                </c:pt>
                <c:pt idx="271">
                  <c:v>42433</c:v>
                </c:pt>
                <c:pt idx="272">
                  <c:v>42432</c:v>
                </c:pt>
                <c:pt idx="273">
                  <c:v>42431</c:v>
                </c:pt>
                <c:pt idx="274">
                  <c:v>42430</c:v>
                </c:pt>
                <c:pt idx="275">
                  <c:v>42429</c:v>
                </c:pt>
                <c:pt idx="276">
                  <c:v>42426</c:v>
                </c:pt>
                <c:pt idx="277">
                  <c:v>42425</c:v>
                </c:pt>
                <c:pt idx="278">
                  <c:v>42424</c:v>
                </c:pt>
                <c:pt idx="279">
                  <c:v>42423</c:v>
                </c:pt>
                <c:pt idx="280">
                  <c:v>42422</c:v>
                </c:pt>
                <c:pt idx="281">
                  <c:v>42419</c:v>
                </c:pt>
                <c:pt idx="282">
                  <c:v>42418</c:v>
                </c:pt>
                <c:pt idx="283">
                  <c:v>42417</c:v>
                </c:pt>
                <c:pt idx="284">
                  <c:v>42416</c:v>
                </c:pt>
                <c:pt idx="285">
                  <c:v>42412</c:v>
                </c:pt>
                <c:pt idx="286">
                  <c:v>42411</c:v>
                </c:pt>
                <c:pt idx="287">
                  <c:v>42410</c:v>
                </c:pt>
                <c:pt idx="288">
                  <c:v>42409</c:v>
                </c:pt>
                <c:pt idx="289">
                  <c:v>42408</c:v>
                </c:pt>
                <c:pt idx="290">
                  <c:v>42405</c:v>
                </c:pt>
                <c:pt idx="291">
                  <c:v>42404</c:v>
                </c:pt>
                <c:pt idx="292">
                  <c:v>42403</c:v>
                </c:pt>
                <c:pt idx="293">
                  <c:v>42402</c:v>
                </c:pt>
                <c:pt idx="294">
                  <c:v>42401</c:v>
                </c:pt>
                <c:pt idx="295">
                  <c:v>42398</c:v>
                </c:pt>
                <c:pt idx="296">
                  <c:v>42397</c:v>
                </c:pt>
                <c:pt idx="297">
                  <c:v>42396</c:v>
                </c:pt>
                <c:pt idx="298">
                  <c:v>42395</c:v>
                </c:pt>
                <c:pt idx="299">
                  <c:v>42394</c:v>
                </c:pt>
                <c:pt idx="300">
                  <c:v>42391</c:v>
                </c:pt>
                <c:pt idx="301">
                  <c:v>42390</c:v>
                </c:pt>
                <c:pt idx="302">
                  <c:v>42389</c:v>
                </c:pt>
                <c:pt idx="303">
                  <c:v>42388</c:v>
                </c:pt>
                <c:pt idx="304">
                  <c:v>42384</c:v>
                </c:pt>
                <c:pt idx="305">
                  <c:v>42383</c:v>
                </c:pt>
                <c:pt idx="306">
                  <c:v>42382</c:v>
                </c:pt>
                <c:pt idx="307">
                  <c:v>42381</c:v>
                </c:pt>
                <c:pt idx="308">
                  <c:v>42380</c:v>
                </c:pt>
                <c:pt idx="309">
                  <c:v>42377</c:v>
                </c:pt>
                <c:pt idx="310">
                  <c:v>42376</c:v>
                </c:pt>
                <c:pt idx="311">
                  <c:v>42375</c:v>
                </c:pt>
                <c:pt idx="312">
                  <c:v>42374</c:v>
                </c:pt>
                <c:pt idx="313">
                  <c:v>42373</c:v>
                </c:pt>
                <c:pt idx="314">
                  <c:v>42369</c:v>
                </c:pt>
                <c:pt idx="315">
                  <c:v>42368</c:v>
                </c:pt>
                <c:pt idx="316">
                  <c:v>42367</c:v>
                </c:pt>
                <c:pt idx="317">
                  <c:v>42366</c:v>
                </c:pt>
                <c:pt idx="318">
                  <c:v>42362</c:v>
                </c:pt>
                <c:pt idx="319">
                  <c:v>42361</c:v>
                </c:pt>
                <c:pt idx="320">
                  <c:v>42360</c:v>
                </c:pt>
                <c:pt idx="321">
                  <c:v>42359</c:v>
                </c:pt>
                <c:pt idx="322">
                  <c:v>42356</c:v>
                </c:pt>
                <c:pt idx="323">
                  <c:v>42355</c:v>
                </c:pt>
                <c:pt idx="324">
                  <c:v>42354</c:v>
                </c:pt>
                <c:pt idx="325">
                  <c:v>42353</c:v>
                </c:pt>
                <c:pt idx="326">
                  <c:v>42352</c:v>
                </c:pt>
                <c:pt idx="327">
                  <c:v>42349</c:v>
                </c:pt>
                <c:pt idx="328">
                  <c:v>42348</c:v>
                </c:pt>
                <c:pt idx="329">
                  <c:v>42347</c:v>
                </c:pt>
                <c:pt idx="330">
                  <c:v>42346</c:v>
                </c:pt>
                <c:pt idx="331">
                  <c:v>42345</c:v>
                </c:pt>
                <c:pt idx="332">
                  <c:v>42342</c:v>
                </c:pt>
                <c:pt idx="333">
                  <c:v>42341</c:v>
                </c:pt>
                <c:pt idx="334">
                  <c:v>42340</c:v>
                </c:pt>
                <c:pt idx="335">
                  <c:v>42339</c:v>
                </c:pt>
                <c:pt idx="336">
                  <c:v>42338</c:v>
                </c:pt>
                <c:pt idx="337">
                  <c:v>42335</c:v>
                </c:pt>
                <c:pt idx="338">
                  <c:v>42333</c:v>
                </c:pt>
                <c:pt idx="339">
                  <c:v>42332</c:v>
                </c:pt>
                <c:pt idx="340">
                  <c:v>42331</c:v>
                </c:pt>
                <c:pt idx="341">
                  <c:v>42328</c:v>
                </c:pt>
                <c:pt idx="342">
                  <c:v>42327</c:v>
                </c:pt>
                <c:pt idx="343">
                  <c:v>42326</c:v>
                </c:pt>
                <c:pt idx="344">
                  <c:v>42325</c:v>
                </c:pt>
                <c:pt idx="345">
                  <c:v>42324</c:v>
                </c:pt>
                <c:pt idx="346">
                  <c:v>42321</c:v>
                </c:pt>
                <c:pt idx="347">
                  <c:v>42320</c:v>
                </c:pt>
                <c:pt idx="348">
                  <c:v>42319</c:v>
                </c:pt>
                <c:pt idx="349">
                  <c:v>42318</c:v>
                </c:pt>
                <c:pt idx="350">
                  <c:v>42317</c:v>
                </c:pt>
                <c:pt idx="351">
                  <c:v>42314</c:v>
                </c:pt>
                <c:pt idx="352">
                  <c:v>42313</c:v>
                </c:pt>
                <c:pt idx="353">
                  <c:v>42312</c:v>
                </c:pt>
                <c:pt idx="354">
                  <c:v>42311</c:v>
                </c:pt>
                <c:pt idx="355">
                  <c:v>42310</c:v>
                </c:pt>
                <c:pt idx="356">
                  <c:v>42307</c:v>
                </c:pt>
                <c:pt idx="357">
                  <c:v>42306</c:v>
                </c:pt>
                <c:pt idx="358">
                  <c:v>42305</c:v>
                </c:pt>
                <c:pt idx="359">
                  <c:v>42304</c:v>
                </c:pt>
                <c:pt idx="360">
                  <c:v>42303</c:v>
                </c:pt>
                <c:pt idx="361">
                  <c:v>42300</c:v>
                </c:pt>
                <c:pt idx="362">
                  <c:v>42299</c:v>
                </c:pt>
                <c:pt idx="363">
                  <c:v>42298</c:v>
                </c:pt>
                <c:pt idx="364">
                  <c:v>42297</c:v>
                </c:pt>
                <c:pt idx="365">
                  <c:v>42296</c:v>
                </c:pt>
                <c:pt idx="366">
                  <c:v>42293</c:v>
                </c:pt>
                <c:pt idx="367">
                  <c:v>42292</c:v>
                </c:pt>
                <c:pt idx="368">
                  <c:v>42291</c:v>
                </c:pt>
                <c:pt idx="369">
                  <c:v>42290</c:v>
                </c:pt>
                <c:pt idx="370">
                  <c:v>42289</c:v>
                </c:pt>
                <c:pt idx="371">
                  <c:v>42286</c:v>
                </c:pt>
                <c:pt idx="372">
                  <c:v>42285</c:v>
                </c:pt>
                <c:pt idx="373">
                  <c:v>42284</c:v>
                </c:pt>
                <c:pt idx="374">
                  <c:v>42283</c:v>
                </c:pt>
                <c:pt idx="375">
                  <c:v>42282</c:v>
                </c:pt>
                <c:pt idx="376">
                  <c:v>42279</c:v>
                </c:pt>
                <c:pt idx="377">
                  <c:v>42278</c:v>
                </c:pt>
                <c:pt idx="378">
                  <c:v>42277</c:v>
                </c:pt>
                <c:pt idx="379">
                  <c:v>42276</c:v>
                </c:pt>
                <c:pt idx="380">
                  <c:v>42275</c:v>
                </c:pt>
                <c:pt idx="381">
                  <c:v>42272</c:v>
                </c:pt>
                <c:pt idx="382">
                  <c:v>42271</c:v>
                </c:pt>
                <c:pt idx="383">
                  <c:v>42270</c:v>
                </c:pt>
                <c:pt idx="384">
                  <c:v>42269</c:v>
                </c:pt>
                <c:pt idx="385">
                  <c:v>42268</c:v>
                </c:pt>
                <c:pt idx="386">
                  <c:v>42265</c:v>
                </c:pt>
                <c:pt idx="387">
                  <c:v>42264</c:v>
                </c:pt>
                <c:pt idx="388">
                  <c:v>42263</c:v>
                </c:pt>
                <c:pt idx="389">
                  <c:v>42262</c:v>
                </c:pt>
                <c:pt idx="390">
                  <c:v>42261</c:v>
                </c:pt>
                <c:pt idx="391">
                  <c:v>42258</c:v>
                </c:pt>
                <c:pt idx="392">
                  <c:v>42257</c:v>
                </c:pt>
                <c:pt idx="393">
                  <c:v>42256</c:v>
                </c:pt>
                <c:pt idx="394">
                  <c:v>42255</c:v>
                </c:pt>
                <c:pt idx="395">
                  <c:v>42251</c:v>
                </c:pt>
                <c:pt idx="396">
                  <c:v>42250</c:v>
                </c:pt>
                <c:pt idx="397">
                  <c:v>42249</c:v>
                </c:pt>
                <c:pt idx="398">
                  <c:v>42248</c:v>
                </c:pt>
                <c:pt idx="399">
                  <c:v>42247</c:v>
                </c:pt>
                <c:pt idx="400">
                  <c:v>42244</c:v>
                </c:pt>
                <c:pt idx="401">
                  <c:v>42243</c:v>
                </c:pt>
                <c:pt idx="402">
                  <c:v>42242</c:v>
                </c:pt>
                <c:pt idx="403">
                  <c:v>42241</c:v>
                </c:pt>
                <c:pt idx="404">
                  <c:v>42240</c:v>
                </c:pt>
                <c:pt idx="405">
                  <c:v>42237</c:v>
                </c:pt>
                <c:pt idx="406">
                  <c:v>42236</c:v>
                </c:pt>
                <c:pt idx="407">
                  <c:v>42235</c:v>
                </c:pt>
                <c:pt idx="408">
                  <c:v>42234</c:v>
                </c:pt>
                <c:pt idx="409">
                  <c:v>42233</c:v>
                </c:pt>
                <c:pt idx="410">
                  <c:v>42230</c:v>
                </c:pt>
                <c:pt idx="411">
                  <c:v>42229</c:v>
                </c:pt>
                <c:pt idx="412">
                  <c:v>42228</c:v>
                </c:pt>
                <c:pt idx="413">
                  <c:v>42227</c:v>
                </c:pt>
                <c:pt idx="414">
                  <c:v>42226</c:v>
                </c:pt>
                <c:pt idx="415">
                  <c:v>42223</c:v>
                </c:pt>
                <c:pt idx="416">
                  <c:v>42222</c:v>
                </c:pt>
                <c:pt idx="417">
                  <c:v>42221</c:v>
                </c:pt>
                <c:pt idx="418">
                  <c:v>42220</c:v>
                </c:pt>
                <c:pt idx="419">
                  <c:v>42219</c:v>
                </c:pt>
                <c:pt idx="420">
                  <c:v>42216</c:v>
                </c:pt>
                <c:pt idx="421">
                  <c:v>42215</c:v>
                </c:pt>
                <c:pt idx="422">
                  <c:v>42214</c:v>
                </c:pt>
                <c:pt idx="423">
                  <c:v>42213</c:v>
                </c:pt>
                <c:pt idx="424">
                  <c:v>42212</c:v>
                </c:pt>
                <c:pt idx="425">
                  <c:v>42209</c:v>
                </c:pt>
                <c:pt idx="426">
                  <c:v>42208</c:v>
                </c:pt>
                <c:pt idx="427">
                  <c:v>42207</c:v>
                </c:pt>
                <c:pt idx="428">
                  <c:v>42206</c:v>
                </c:pt>
                <c:pt idx="429">
                  <c:v>42205</c:v>
                </c:pt>
                <c:pt idx="430">
                  <c:v>42202</c:v>
                </c:pt>
                <c:pt idx="431">
                  <c:v>42201</c:v>
                </c:pt>
                <c:pt idx="432">
                  <c:v>42200</c:v>
                </c:pt>
                <c:pt idx="433">
                  <c:v>42199</c:v>
                </c:pt>
                <c:pt idx="434">
                  <c:v>42198</c:v>
                </c:pt>
                <c:pt idx="435">
                  <c:v>42195</c:v>
                </c:pt>
                <c:pt idx="436">
                  <c:v>42194</c:v>
                </c:pt>
                <c:pt idx="437">
                  <c:v>42193</c:v>
                </c:pt>
                <c:pt idx="438">
                  <c:v>42192</c:v>
                </c:pt>
                <c:pt idx="439">
                  <c:v>42191</c:v>
                </c:pt>
                <c:pt idx="440">
                  <c:v>42187</c:v>
                </c:pt>
                <c:pt idx="441">
                  <c:v>42186</c:v>
                </c:pt>
                <c:pt idx="442">
                  <c:v>42185</c:v>
                </c:pt>
                <c:pt idx="443">
                  <c:v>42184</c:v>
                </c:pt>
                <c:pt idx="444">
                  <c:v>42181</c:v>
                </c:pt>
                <c:pt idx="445">
                  <c:v>42180</c:v>
                </c:pt>
                <c:pt idx="446">
                  <c:v>42179</c:v>
                </c:pt>
                <c:pt idx="447">
                  <c:v>42178</c:v>
                </c:pt>
                <c:pt idx="448">
                  <c:v>42177</c:v>
                </c:pt>
                <c:pt idx="449">
                  <c:v>42174</c:v>
                </c:pt>
                <c:pt idx="450">
                  <c:v>42173</c:v>
                </c:pt>
                <c:pt idx="451">
                  <c:v>42172</c:v>
                </c:pt>
                <c:pt idx="452">
                  <c:v>42171</c:v>
                </c:pt>
                <c:pt idx="453">
                  <c:v>42170</c:v>
                </c:pt>
                <c:pt idx="454">
                  <c:v>42167</c:v>
                </c:pt>
                <c:pt idx="455">
                  <c:v>42166</c:v>
                </c:pt>
                <c:pt idx="456">
                  <c:v>42165</c:v>
                </c:pt>
                <c:pt idx="457">
                  <c:v>42164</c:v>
                </c:pt>
                <c:pt idx="458">
                  <c:v>42163</c:v>
                </c:pt>
                <c:pt idx="459">
                  <c:v>42160</c:v>
                </c:pt>
                <c:pt idx="460">
                  <c:v>42159</c:v>
                </c:pt>
                <c:pt idx="461">
                  <c:v>42158</c:v>
                </c:pt>
                <c:pt idx="462">
                  <c:v>42157</c:v>
                </c:pt>
                <c:pt idx="463">
                  <c:v>42156</c:v>
                </c:pt>
                <c:pt idx="464">
                  <c:v>42153</c:v>
                </c:pt>
                <c:pt idx="465">
                  <c:v>42152</c:v>
                </c:pt>
                <c:pt idx="466">
                  <c:v>42151</c:v>
                </c:pt>
                <c:pt idx="467">
                  <c:v>42150</c:v>
                </c:pt>
                <c:pt idx="468">
                  <c:v>42146</c:v>
                </c:pt>
                <c:pt idx="469">
                  <c:v>42145</c:v>
                </c:pt>
                <c:pt idx="470">
                  <c:v>42144</c:v>
                </c:pt>
                <c:pt idx="471">
                  <c:v>42143</c:v>
                </c:pt>
                <c:pt idx="472">
                  <c:v>42142</c:v>
                </c:pt>
                <c:pt idx="473">
                  <c:v>42139</c:v>
                </c:pt>
                <c:pt idx="474">
                  <c:v>42138</c:v>
                </c:pt>
                <c:pt idx="475">
                  <c:v>42137</c:v>
                </c:pt>
                <c:pt idx="476">
                  <c:v>42136</c:v>
                </c:pt>
                <c:pt idx="477">
                  <c:v>42135</c:v>
                </c:pt>
                <c:pt idx="478">
                  <c:v>42132</c:v>
                </c:pt>
                <c:pt idx="479">
                  <c:v>42131</c:v>
                </c:pt>
                <c:pt idx="480">
                  <c:v>42130</c:v>
                </c:pt>
                <c:pt idx="481">
                  <c:v>42129</c:v>
                </c:pt>
                <c:pt idx="482">
                  <c:v>42128</c:v>
                </c:pt>
                <c:pt idx="483">
                  <c:v>42125</c:v>
                </c:pt>
                <c:pt idx="484">
                  <c:v>42124</c:v>
                </c:pt>
                <c:pt idx="485">
                  <c:v>42123</c:v>
                </c:pt>
                <c:pt idx="486">
                  <c:v>42122</c:v>
                </c:pt>
                <c:pt idx="487">
                  <c:v>42121</c:v>
                </c:pt>
                <c:pt idx="488">
                  <c:v>42118</c:v>
                </c:pt>
                <c:pt idx="489">
                  <c:v>42117</c:v>
                </c:pt>
                <c:pt idx="490">
                  <c:v>42116</c:v>
                </c:pt>
                <c:pt idx="491">
                  <c:v>42115</c:v>
                </c:pt>
                <c:pt idx="492">
                  <c:v>42114</c:v>
                </c:pt>
                <c:pt idx="493">
                  <c:v>42111</c:v>
                </c:pt>
                <c:pt idx="494">
                  <c:v>42110</c:v>
                </c:pt>
                <c:pt idx="495">
                  <c:v>42109</c:v>
                </c:pt>
                <c:pt idx="496">
                  <c:v>42108</c:v>
                </c:pt>
                <c:pt idx="497">
                  <c:v>42107</c:v>
                </c:pt>
                <c:pt idx="498">
                  <c:v>42104</c:v>
                </c:pt>
                <c:pt idx="499">
                  <c:v>42103</c:v>
                </c:pt>
                <c:pt idx="500">
                  <c:v>42102</c:v>
                </c:pt>
                <c:pt idx="501">
                  <c:v>42101</c:v>
                </c:pt>
                <c:pt idx="502">
                  <c:v>42100</c:v>
                </c:pt>
                <c:pt idx="503">
                  <c:v>42096</c:v>
                </c:pt>
                <c:pt idx="504">
                  <c:v>42095</c:v>
                </c:pt>
                <c:pt idx="505">
                  <c:v>42094</c:v>
                </c:pt>
                <c:pt idx="506">
                  <c:v>42093</c:v>
                </c:pt>
                <c:pt idx="507">
                  <c:v>42090</c:v>
                </c:pt>
                <c:pt idx="508">
                  <c:v>42089</c:v>
                </c:pt>
                <c:pt idx="509">
                  <c:v>42088</c:v>
                </c:pt>
                <c:pt idx="510">
                  <c:v>42087</c:v>
                </c:pt>
                <c:pt idx="511">
                  <c:v>42086</c:v>
                </c:pt>
                <c:pt idx="512">
                  <c:v>42083</c:v>
                </c:pt>
                <c:pt idx="513">
                  <c:v>42082</c:v>
                </c:pt>
                <c:pt idx="514">
                  <c:v>42081</c:v>
                </c:pt>
                <c:pt idx="515">
                  <c:v>42080</c:v>
                </c:pt>
                <c:pt idx="516">
                  <c:v>42079</c:v>
                </c:pt>
                <c:pt idx="517">
                  <c:v>42076</c:v>
                </c:pt>
                <c:pt idx="518">
                  <c:v>42075</c:v>
                </c:pt>
                <c:pt idx="519">
                  <c:v>42074</c:v>
                </c:pt>
                <c:pt idx="520">
                  <c:v>42073</c:v>
                </c:pt>
                <c:pt idx="521">
                  <c:v>42072</c:v>
                </c:pt>
                <c:pt idx="522">
                  <c:v>42069</c:v>
                </c:pt>
                <c:pt idx="523">
                  <c:v>42068</c:v>
                </c:pt>
                <c:pt idx="524">
                  <c:v>42067</c:v>
                </c:pt>
                <c:pt idx="525">
                  <c:v>42066</c:v>
                </c:pt>
                <c:pt idx="526">
                  <c:v>42065</c:v>
                </c:pt>
                <c:pt idx="527">
                  <c:v>42062</c:v>
                </c:pt>
                <c:pt idx="528">
                  <c:v>42061</c:v>
                </c:pt>
                <c:pt idx="529">
                  <c:v>42060</c:v>
                </c:pt>
                <c:pt idx="530">
                  <c:v>42059</c:v>
                </c:pt>
                <c:pt idx="531">
                  <c:v>42058</c:v>
                </c:pt>
                <c:pt idx="532">
                  <c:v>42055</c:v>
                </c:pt>
                <c:pt idx="533">
                  <c:v>42054</c:v>
                </c:pt>
                <c:pt idx="534">
                  <c:v>42053</c:v>
                </c:pt>
                <c:pt idx="535">
                  <c:v>42052</c:v>
                </c:pt>
                <c:pt idx="536">
                  <c:v>42048</c:v>
                </c:pt>
                <c:pt idx="537">
                  <c:v>42047</c:v>
                </c:pt>
                <c:pt idx="538">
                  <c:v>42046</c:v>
                </c:pt>
                <c:pt idx="539">
                  <c:v>42045</c:v>
                </c:pt>
                <c:pt idx="540">
                  <c:v>42044</c:v>
                </c:pt>
                <c:pt idx="541">
                  <c:v>42041</c:v>
                </c:pt>
                <c:pt idx="542">
                  <c:v>42040</c:v>
                </c:pt>
                <c:pt idx="543">
                  <c:v>42039</c:v>
                </c:pt>
                <c:pt idx="544">
                  <c:v>42038</c:v>
                </c:pt>
                <c:pt idx="545">
                  <c:v>42037</c:v>
                </c:pt>
                <c:pt idx="546">
                  <c:v>42034</c:v>
                </c:pt>
                <c:pt idx="547">
                  <c:v>42033</c:v>
                </c:pt>
                <c:pt idx="548">
                  <c:v>42032</c:v>
                </c:pt>
                <c:pt idx="549">
                  <c:v>42031</c:v>
                </c:pt>
                <c:pt idx="550">
                  <c:v>42030</c:v>
                </c:pt>
                <c:pt idx="551">
                  <c:v>42027</c:v>
                </c:pt>
                <c:pt idx="552">
                  <c:v>42026</c:v>
                </c:pt>
                <c:pt idx="553">
                  <c:v>42025</c:v>
                </c:pt>
                <c:pt idx="554">
                  <c:v>42024</c:v>
                </c:pt>
                <c:pt idx="555">
                  <c:v>42020</c:v>
                </c:pt>
                <c:pt idx="556">
                  <c:v>42019</c:v>
                </c:pt>
                <c:pt idx="557">
                  <c:v>42018</c:v>
                </c:pt>
                <c:pt idx="558">
                  <c:v>42017</c:v>
                </c:pt>
                <c:pt idx="559">
                  <c:v>42016</c:v>
                </c:pt>
                <c:pt idx="560">
                  <c:v>42013</c:v>
                </c:pt>
                <c:pt idx="561">
                  <c:v>42012</c:v>
                </c:pt>
                <c:pt idx="562">
                  <c:v>42011</c:v>
                </c:pt>
                <c:pt idx="563">
                  <c:v>42010</c:v>
                </c:pt>
                <c:pt idx="564">
                  <c:v>42009</c:v>
                </c:pt>
                <c:pt idx="565">
                  <c:v>42006</c:v>
                </c:pt>
                <c:pt idx="566">
                  <c:v>42004</c:v>
                </c:pt>
                <c:pt idx="567">
                  <c:v>42003</c:v>
                </c:pt>
                <c:pt idx="568">
                  <c:v>42002</c:v>
                </c:pt>
                <c:pt idx="569">
                  <c:v>41999</c:v>
                </c:pt>
                <c:pt idx="570">
                  <c:v>41997</c:v>
                </c:pt>
                <c:pt idx="571">
                  <c:v>41996</c:v>
                </c:pt>
                <c:pt idx="572">
                  <c:v>41995</c:v>
                </c:pt>
                <c:pt idx="573">
                  <c:v>41992</c:v>
                </c:pt>
                <c:pt idx="574">
                  <c:v>41991</c:v>
                </c:pt>
                <c:pt idx="575">
                  <c:v>41990</c:v>
                </c:pt>
                <c:pt idx="576">
                  <c:v>41989</c:v>
                </c:pt>
                <c:pt idx="577">
                  <c:v>41988</c:v>
                </c:pt>
                <c:pt idx="578">
                  <c:v>41985</c:v>
                </c:pt>
                <c:pt idx="579">
                  <c:v>41984</c:v>
                </c:pt>
                <c:pt idx="580">
                  <c:v>41983</c:v>
                </c:pt>
                <c:pt idx="581">
                  <c:v>41982</c:v>
                </c:pt>
                <c:pt idx="582">
                  <c:v>41981</c:v>
                </c:pt>
                <c:pt idx="583">
                  <c:v>41978</c:v>
                </c:pt>
                <c:pt idx="584">
                  <c:v>41977</c:v>
                </c:pt>
                <c:pt idx="585">
                  <c:v>41976</c:v>
                </c:pt>
                <c:pt idx="586">
                  <c:v>41975</c:v>
                </c:pt>
                <c:pt idx="587">
                  <c:v>41974</c:v>
                </c:pt>
                <c:pt idx="588">
                  <c:v>41971</c:v>
                </c:pt>
                <c:pt idx="589">
                  <c:v>41969</c:v>
                </c:pt>
                <c:pt idx="590">
                  <c:v>41968</c:v>
                </c:pt>
                <c:pt idx="591">
                  <c:v>41967</c:v>
                </c:pt>
                <c:pt idx="592">
                  <c:v>41964</c:v>
                </c:pt>
                <c:pt idx="593">
                  <c:v>41963</c:v>
                </c:pt>
                <c:pt idx="594">
                  <c:v>41962</c:v>
                </c:pt>
                <c:pt idx="595">
                  <c:v>41961</c:v>
                </c:pt>
                <c:pt idx="596">
                  <c:v>41960</c:v>
                </c:pt>
                <c:pt idx="597">
                  <c:v>41957</c:v>
                </c:pt>
                <c:pt idx="598">
                  <c:v>41956</c:v>
                </c:pt>
                <c:pt idx="599">
                  <c:v>41955</c:v>
                </c:pt>
                <c:pt idx="600">
                  <c:v>41954</c:v>
                </c:pt>
                <c:pt idx="601">
                  <c:v>41953</c:v>
                </c:pt>
                <c:pt idx="602">
                  <c:v>41950</c:v>
                </c:pt>
                <c:pt idx="603">
                  <c:v>41949</c:v>
                </c:pt>
                <c:pt idx="604">
                  <c:v>41948</c:v>
                </c:pt>
                <c:pt idx="605">
                  <c:v>41947</c:v>
                </c:pt>
                <c:pt idx="606">
                  <c:v>41946</c:v>
                </c:pt>
                <c:pt idx="607">
                  <c:v>41943</c:v>
                </c:pt>
                <c:pt idx="608">
                  <c:v>41942</c:v>
                </c:pt>
                <c:pt idx="609">
                  <c:v>41941</c:v>
                </c:pt>
                <c:pt idx="610">
                  <c:v>41940</c:v>
                </c:pt>
                <c:pt idx="611">
                  <c:v>41939</c:v>
                </c:pt>
                <c:pt idx="612">
                  <c:v>41936</c:v>
                </c:pt>
                <c:pt idx="613">
                  <c:v>41935</c:v>
                </c:pt>
                <c:pt idx="614">
                  <c:v>41934</c:v>
                </c:pt>
                <c:pt idx="615">
                  <c:v>41933</c:v>
                </c:pt>
                <c:pt idx="616">
                  <c:v>41932</c:v>
                </c:pt>
                <c:pt idx="617">
                  <c:v>41929</c:v>
                </c:pt>
                <c:pt idx="618">
                  <c:v>41928</c:v>
                </c:pt>
                <c:pt idx="619">
                  <c:v>41927</c:v>
                </c:pt>
                <c:pt idx="620">
                  <c:v>41926</c:v>
                </c:pt>
                <c:pt idx="621">
                  <c:v>41925</c:v>
                </c:pt>
                <c:pt idx="622">
                  <c:v>41922</c:v>
                </c:pt>
                <c:pt idx="623">
                  <c:v>41921</c:v>
                </c:pt>
                <c:pt idx="624">
                  <c:v>41920</c:v>
                </c:pt>
                <c:pt idx="625">
                  <c:v>41919</c:v>
                </c:pt>
                <c:pt idx="626">
                  <c:v>41918</c:v>
                </c:pt>
                <c:pt idx="627">
                  <c:v>41915</c:v>
                </c:pt>
                <c:pt idx="628">
                  <c:v>41914</c:v>
                </c:pt>
                <c:pt idx="629">
                  <c:v>41913</c:v>
                </c:pt>
                <c:pt idx="630">
                  <c:v>41912</c:v>
                </c:pt>
                <c:pt idx="631">
                  <c:v>41911</c:v>
                </c:pt>
                <c:pt idx="632">
                  <c:v>41908</c:v>
                </c:pt>
                <c:pt idx="633">
                  <c:v>41907</c:v>
                </c:pt>
                <c:pt idx="634">
                  <c:v>41906</c:v>
                </c:pt>
                <c:pt idx="635">
                  <c:v>41905</c:v>
                </c:pt>
                <c:pt idx="636">
                  <c:v>41904</c:v>
                </c:pt>
                <c:pt idx="637">
                  <c:v>41901</c:v>
                </c:pt>
                <c:pt idx="638">
                  <c:v>41900</c:v>
                </c:pt>
                <c:pt idx="639">
                  <c:v>41899</c:v>
                </c:pt>
                <c:pt idx="640">
                  <c:v>41898</c:v>
                </c:pt>
                <c:pt idx="641">
                  <c:v>41897</c:v>
                </c:pt>
                <c:pt idx="642">
                  <c:v>41894</c:v>
                </c:pt>
                <c:pt idx="643">
                  <c:v>41893</c:v>
                </c:pt>
                <c:pt idx="644">
                  <c:v>41892</c:v>
                </c:pt>
                <c:pt idx="645">
                  <c:v>41891</c:v>
                </c:pt>
                <c:pt idx="646">
                  <c:v>41890</c:v>
                </c:pt>
                <c:pt idx="647">
                  <c:v>41887</c:v>
                </c:pt>
                <c:pt idx="648">
                  <c:v>41886</c:v>
                </c:pt>
                <c:pt idx="649">
                  <c:v>41885</c:v>
                </c:pt>
                <c:pt idx="650">
                  <c:v>41884</c:v>
                </c:pt>
                <c:pt idx="651">
                  <c:v>41880</c:v>
                </c:pt>
                <c:pt idx="652">
                  <c:v>41879</c:v>
                </c:pt>
                <c:pt idx="653">
                  <c:v>41878</c:v>
                </c:pt>
                <c:pt idx="654">
                  <c:v>41877</c:v>
                </c:pt>
                <c:pt idx="655">
                  <c:v>41876</c:v>
                </c:pt>
                <c:pt idx="656">
                  <c:v>41873</c:v>
                </c:pt>
                <c:pt idx="657">
                  <c:v>41872</c:v>
                </c:pt>
                <c:pt idx="658">
                  <c:v>41871</c:v>
                </c:pt>
                <c:pt idx="659">
                  <c:v>41870</c:v>
                </c:pt>
                <c:pt idx="660">
                  <c:v>41869</c:v>
                </c:pt>
                <c:pt idx="661">
                  <c:v>41866</c:v>
                </c:pt>
                <c:pt idx="662">
                  <c:v>41865</c:v>
                </c:pt>
                <c:pt idx="663">
                  <c:v>41864</c:v>
                </c:pt>
                <c:pt idx="664">
                  <c:v>41863</c:v>
                </c:pt>
                <c:pt idx="665">
                  <c:v>41862</c:v>
                </c:pt>
                <c:pt idx="666">
                  <c:v>41859</c:v>
                </c:pt>
                <c:pt idx="667">
                  <c:v>41858</c:v>
                </c:pt>
                <c:pt idx="668">
                  <c:v>41857</c:v>
                </c:pt>
                <c:pt idx="669">
                  <c:v>41856</c:v>
                </c:pt>
                <c:pt idx="670">
                  <c:v>41855</c:v>
                </c:pt>
                <c:pt idx="671">
                  <c:v>41852</c:v>
                </c:pt>
                <c:pt idx="672">
                  <c:v>41851</c:v>
                </c:pt>
                <c:pt idx="673">
                  <c:v>41850</c:v>
                </c:pt>
                <c:pt idx="674">
                  <c:v>41849</c:v>
                </c:pt>
                <c:pt idx="675">
                  <c:v>41848</c:v>
                </c:pt>
                <c:pt idx="676">
                  <c:v>41845</c:v>
                </c:pt>
                <c:pt idx="677">
                  <c:v>41844</c:v>
                </c:pt>
                <c:pt idx="678">
                  <c:v>41843</c:v>
                </c:pt>
                <c:pt idx="679">
                  <c:v>41842</c:v>
                </c:pt>
                <c:pt idx="680">
                  <c:v>41841</c:v>
                </c:pt>
                <c:pt idx="681">
                  <c:v>41838</c:v>
                </c:pt>
                <c:pt idx="682">
                  <c:v>41837</c:v>
                </c:pt>
                <c:pt idx="683">
                  <c:v>41836</c:v>
                </c:pt>
                <c:pt idx="684">
                  <c:v>41835</c:v>
                </c:pt>
                <c:pt idx="685">
                  <c:v>41834</c:v>
                </c:pt>
                <c:pt idx="686">
                  <c:v>41831</c:v>
                </c:pt>
                <c:pt idx="687">
                  <c:v>41830</c:v>
                </c:pt>
                <c:pt idx="688">
                  <c:v>41829</c:v>
                </c:pt>
                <c:pt idx="689">
                  <c:v>41828</c:v>
                </c:pt>
                <c:pt idx="690">
                  <c:v>41827</c:v>
                </c:pt>
                <c:pt idx="691">
                  <c:v>41823</c:v>
                </c:pt>
                <c:pt idx="692">
                  <c:v>41822</c:v>
                </c:pt>
                <c:pt idx="693">
                  <c:v>41821</c:v>
                </c:pt>
                <c:pt idx="694">
                  <c:v>41820</c:v>
                </c:pt>
                <c:pt idx="695">
                  <c:v>41817</c:v>
                </c:pt>
                <c:pt idx="696">
                  <c:v>41816</c:v>
                </c:pt>
                <c:pt idx="697">
                  <c:v>41815</c:v>
                </c:pt>
                <c:pt idx="698">
                  <c:v>41814</c:v>
                </c:pt>
                <c:pt idx="699">
                  <c:v>41813</c:v>
                </c:pt>
                <c:pt idx="700">
                  <c:v>41810</c:v>
                </c:pt>
                <c:pt idx="701">
                  <c:v>41809</c:v>
                </c:pt>
                <c:pt idx="702">
                  <c:v>41808</c:v>
                </c:pt>
                <c:pt idx="703">
                  <c:v>41807</c:v>
                </c:pt>
                <c:pt idx="704">
                  <c:v>41806</c:v>
                </c:pt>
                <c:pt idx="705">
                  <c:v>41803</c:v>
                </c:pt>
                <c:pt idx="706">
                  <c:v>41802</c:v>
                </c:pt>
                <c:pt idx="707">
                  <c:v>41801</c:v>
                </c:pt>
                <c:pt idx="708">
                  <c:v>41800</c:v>
                </c:pt>
                <c:pt idx="709">
                  <c:v>41799</c:v>
                </c:pt>
                <c:pt idx="710">
                  <c:v>41796</c:v>
                </c:pt>
                <c:pt idx="711">
                  <c:v>41795</c:v>
                </c:pt>
                <c:pt idx="712">
                  <c:v>41794</c:v>
                </c:pt>
                <c:pt idx="713">
                  <c:v>41793</c:v>
                </c:pt>
                <c:pt idx="714">
                  <c:v>41792</c:v>
                </c:pt>
                <c:pt idx="715">
                  <c:v>41789</c:v>
                </c:pt>
                <c:pt idx="716">
                  <c:v>41788</c:v>
                </c:pt>
                <c:pt idx="717">
                  <c:v>41787</c:v>
                </c:pt>
                <c:pt idx="718">
                  <c:v>41786</c:v>
                </c:pt>
                <c:pt idx="719">
                  <c:v>41782</c:v>
                </c:pt>
                <c:pt idx="720">
                  <c:v>41781</c:v>
                </c:pt>
                <c:pt idx="721">
                  <c:v>41780</c:v>
                </c:pt>
                <c:pt idx="722">
                  <c:v>41779</c:v>
                </c:pt>
                <c:pt idx="723">
                  <c:v>41778</c:v>
                </c:pt>
                <c:pt idx="724">
                  <c:v>41775</c:v>
                </c:pt>
                <c:pt idx="725">
                  <c:v>41774</c:v>
                </c:pt>
                <c:pt idx="726">
                  <c:v>41773</c:v>
                </c:pt>
                <c:pt idx="727">
                  <c:v>41772</c:v>
                </c:pt>
                <c:pt idx="728">
                  <c:v>41771</c:v>
                </c:pt>
                <c:pt idx="729">
                  <c:v>41768</c:v>
                </c:pt>
                <c:pt idx="730">
                  <c:v>41767</c:v>
                </c:pt>
                <c:pt idx="731">
                  <c:v>41766</c:v>
                </c:pt>
                <c:pt idx="732">
                  <c:v>41765</c:v>
                </c:pt>
                <c:pt idx="733">
                  <c:v>41764</c:v>
                </c:pt>
                <c:pt idx="734">
                  <c:v>41761</c:v>
                </c:pt>
                <c:pt idx="735">
                  <c:v>41760</c:v>
                </c:pt>
                <c:pt idx="736">
                  <c:v>41759</c:v>
                </c:pt>
                <c:pt idx="737">
                  <c:v>41758</c:v>
                </c:pt>
                <c:pt idx="738">
                  <c:v>41757</c:v>
                </c:pt>
                <c:pt idx="739">
                  <c:v>41754</c:v>
                </c:pt>
                <c:pt idx="740">
                  <c:v>41753</c:v>
                </c:pt>
                <c:pt idx="741">
                  <c:v>41752</c:v>
                </c:pt>
                <c:pt idx="742">
                  <c:v>41751</c:v>
                </c:pt>
                <c:pt idx="743">
                  <c:v>41750</c:v>
                </c:pt>
                <c:pt idx="744">
                  <c:v>41746</c:v>
                </c:pt>
                <c:pt idx="745">
                  <c:v>41745</c:v>
                </c:pt>
                <c:pt idx="746">
                  <c:v>41744</c:v>
                </c:pt>
                <c:pt idx="747">
                  <c:v>41743</c:v>
                </c:pt>
                <c:pt idx="748">
                  <c:v>41740</c:v>
                </c:pt>
                <c:pt idx="749">
                  <c:v>41739</c:v>
                </c:pt>
                <c:pt idx="750">
                  <c:v>41738</c:v>
                </c:pt>
                <c:pt idx="751">
                  <c:v>41737</c:v>
                </c:pt>
                <c:pt idx="752">
                  <c:v>41736</c:v>
                </c:pt>
                <c:pt idx="753">
                  <c:v>41733</c:v>
                </c:pt>
                <c:pt idx="754">
                  <c:v>41732</c:v>
                </c:pt>
                <c:pt idx="755">
                  <c:v>41731</c:v>
                </c:pt>
                <c:pt idx="756">
                  <c:v>41730</c:v>
                </c:pt>
                <c:pt idx="757">
                  <c:v>41729</c:v>
                </c:pt>
              </c:numCache>
            </c:numRef>
          </c:xVal>
          <c:yVal>
            <c:numRef>
              <c:f>Exhibits!$FW$113:$FW$870</c:f>
              <c:numCache>
                <c:formatCode>"$"#,##0.00</c:formatCode>
                <c:ptCount val="758"/>
                <c:pt idx="61">
                  <c:v>249.83333333333334</c:v>
                </c:pt>
                <c:pt idx="124">
                  <c:v>231.5</c:v>
                </c:pt>
                <c:pt idx="188">
                  <c:v>248.33333333333334</c:v>
                </c:pt>
                <c:pt idx="252">
                  <c:v>227</c:v>
                </c:pt>
                <c:pt idx="313">
                  <c:v>225.5</c:v>
                </c:pt>
                <c:pt idx="377">
                  <c:v>214</c:v>
                </c:pt>
                <c:pt idx="441">
                  <c:v>212.5</c:v>
                </c:pt>
                <c:pt idx="504">
                  <c:v>205.83333333333334</c:v>
                </c:pt>
                <c:pt idx="565">
                  <c:v>178.75</c:v>
                </c:pt>
                <c:pt idx="629">
                  <c:v>154</c:v>
                </c:pt>
                <c:pt idx="693">
                  <c:v>167</c:v>
                </c:pt>
                <c:pt idx="756">
                  <c:v>186</c:v>
                </c:pt>
              </c:numCache>
            </c:numRef>
          </c:yVal>
          <c:smooth val="0"/>
          <c:extLst>
            <c:ext xmlns:c16="http://schemas.microsoft.com/office/drawing/2014/chart" uri="{C3380CC4-5D6E-409C-BE32-E72D297353CC}">
              <c16:uniqueId val="{0000000D-7358-48C5-BD2F-EEB1249E300C}"/>
            </c:ext>
          </c:extLst>
        </c:ser>
        <c:dLbls>
          <c:showLegendKey val="0"/>
          <c:showVal val="0"/>
          <c:showCatName val="0"/>
          <c:showSerName val="0"/>
          <c:showPercent val="0"/>
          <c:showBubbleSize val="0"/>
        </c:dLbls>
        <c:axId val="530230320"/>
        <c:axId val="530230976"/>
      </c:scatterChart>
      <c:dateAx>
        <c:axId val="530230320"/>
        <c:scaling>
          <c:orientation val="minMax"/>
          <c:min val="41729"/>
        </c:scaling>
        <c:delete val="0"/>
        <c:axPos val="b"/>
        <c:numFmt formatCode="m/d/yyyy" sourceLinked="1"/>
        <c:majorTickMark val="cross"/>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530230976"/>
        <c:crosses val="autoZero"/>
        <c:auto val="1"/>
        <c:lblOffset val="100"/>
        <c:baseTimeUnit val="days"/>
        <c:majorUnit val="12"/>
        <c:majorTimeUnit val="months"/>
        <c:minorUnit val="4"/>
        <c:minorTimeUnit val="months"/>
      </c:dateAx>
      <c:valAx>
        <c:axId val="530230976"/>
        <c:scaling>
          <c:orientation val="minMax"/>
          <c:min val="12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quot;$&quot;#,##0.00"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530230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Exhibits!$DK$7</c:f>
              <c:strCache>
                <c:ptCount val="1"/>
                <c:pt idx="0">
                  <c:v>First-lien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Exhibits!$DL$6:$DV$6</c:f>
              <c:numCache>
                <c:formatCode>General</c:formatCode>
                <c:ptCount val="11"/>
                <c:pt idx="0">
                  <c:v>2006</c:v>
                </c:pt>
                <c:pt idx="1">
                  <c:v>2007</c:v>
                </c:pt>
                <c:pt idx="2">
                  <c:v>2008</c:v>
                </c:pt>
                <c:pt idx="3">
                  <c:v>2009</c:v>
                </c:pt>
                <c:pt idx="4">
                  <c:v>2010</c:v>
                </c:pt>
                <c:pt idx="5">
                  <c:v>2011</c:v>
                </c:pt>
                <c:pt idx="6">
                  <c:v>2012</c:v>
                </c:pt>
                <c:pt idx="7">
                  <c:v>2013</c:v>
                </c:pt>
                <c:pt idx="8">
                  <c:v>2014</c:v>
                </c:pt>
                <c:pt idx="9">
                  <c:v>2015</c:v>
                </c:pt>
                <c:pt idx="10">
                  <c:v>2016</c:v>
                </c:pt>
              </c:numCache>
            </c:numRef>
          </c:cat>
          <c:val>
            <c:numRef>
              <c:f>Exhibits!$DL$7:$DV$7</c:f>
              <c:numCache>
                <c:formatCode>#,##0.0\x</c:formatCode>
                <c:ptCount val="11"/>
                <c:pt idx="0">
                  <c:v>4.1934532589289795</c:v>
                </c:pt>
                <c:pt idx="1">
                  <c:v>3.7147835690176323</c:v>
                </c:pt>
                <c:pt idx="2">
                  <c:v>5.1900500420711966</c:v>
                </c:pt>
                <c:pt idx="3">
                  <c:v>2.4799357222156795</c:v>
                </c:pt>
                <c:pt idx="4">
                  <c:v>3.5061977835833562</c:v>
                </c:pt>
                <c:pt idx="5">
                  <c:v>3.5762557564327162</c:v>
                </c:pt>
                <c:pt idx="6">
                  <c:v>2.9886396650791038</c:v>
                </c:pt>
                <c:pt idx="7">
                  <c:v>4.3180513700780283</c:v>
                </c:pt>
                <c:pt idx="8">
                  <c:v>5.2227326372017471</c:v>
                </c:pt>
                <c:pt idx="9">
                  <c:v>4.2785049864374995</c:v>
                </c:pt>
                <c:pt idx="10">
                  <c:v>4.21130029755831</c:v>
                </c:pt>
              </c:numCache>
            </c:numRef>
          </c:val>
          <c:extLst>
            <c:ext xmlns:c16="http://schemas.microsoft.com/office/drawing/2014/chart" uri="{C3380CC4-5D6E-409C-BE32-E72D297353CC}">
              <c16:uniqueId val="{00000000-57AD-40F8-A58C-E05A536FACE9}"/>
            </c:ext>
          </c:extLst>
        </c:ser>
        <c:ser>
          <c:idx val="1"/>
          <c:order val="1"/>
          <c:tx>
            <c:strRef>
              <c:f>Exhibits!$DK$8</c:f>
              <c:strCache>
                <c:ptCount val="1"/>
                <c:pt idx="0">
                  <c:v>Second-lien</c:v>
                </c:pt>
              </c:strCache>
            </c:strRef>
          </c:tx>
          <c:spPr>
            <a:solidFill>
              <a:schemeClr val="accent2"/>
            </a:solidFill>
            <a:ln>
              <a:noFill/>
            </a:ln>
            <a:effectLst/>
          </c:spPr>
          <c:invertIfNegative val="0"/>
          <c:dLbls>
            <c:dLbl>
              <c:idx val="3"/>
              <c:layout>
                <c:manualLayout>
                  <c:x val="-3.917858365409151E-17"/>
                  <c:y val="7.239866467218862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097-4BEF-A53C-AB4C9EECD79F}"/>
                </c:ext>
              </c:extLst>
            </c:dLbl>
            <c:dLbl>
              <c:idx val="8"/>
              <c:layout>
                <c:manualLayout>
                  <c:x val="0"/>
                  <c:y val="2.17195994016563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097-4BEF-A53C-AB4C9EECD7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Exhibits!$DL$6:$DV$6</c:f>
              <c:numCache>
                <c:formatCode>General</c:formatCode>
                <c:ptCount val="11"/>
                <c:pt idx="0">
                  <c:v>2006</c:v>
                </c:pt>
                <c:pt idx="1">
                  <c:v>2007</c:v>
                </c:pt>
                <c:pt idx="2">
                  <c:v>2008</c:v>
                </c:pt>
                <c:pt idx="3">
                  <c:v>2009</c:v>
                </c:pt>
                <c:pt idx="4">
                  <c:v>2010</c:v>
                </c:pt>
                <c:pt idx="5">
                  <c:v>2011</c:v>
                </c:pt>
                <c:pt idx="6">
                  <c:v>2012</c:v>
                </c:pt>
                <c:pt idx="7">
                  <c:v>2013</c:v>
                </c:pt>
                <c:pt idx="8">
                  <c:v>2014</c:v>
                </c:pt>
                <c:pt idx="9">
                  <c:v>2015</c:v>
                </c:pt>
                <c:pt idx="10">
                  <c:v>2016</c:v>
                </c:pt>
              </c:numCache>
            </c:numRef>
          </c:cat>
          <c:val>
            <c:numRef>
              <c:f>Exhibits!$DL$8:$DV$8</c:f>
              <c:numCache>
                <c:formatCode>#,##0.0\x</c:formatCode>
                <c:ptCount val="11"/>
                <c:pt idx="0">
                  <c:v>0.76406139887265312</c:v>
                </c:pt>
                <c:pt idx="1">
                  <c:v>0.68845409773299748</c:v>
                </c:pt>
                <c:pt idx="2">
                  <c:v>0.26553744401294499</c:v>
                </c:pt>
                <c:pt idx="3">
                  <c:v>0.14587857189504</c:v>
                </c:pt>
                <c:pt idx="4">
                  <c:v>6.2610674706845643E-2</c:v>
                </c:pt>
                <c:pt idx="5">
                  <c:v>0.24713962544453727</c:v>
                </c:pt>
                <c:pt idx="6">
                  <c:v>0.60785891493134325</c:v>
                </c:pt>
                <c:pt idx="7">
                  <c:v>0.89747734358484499</c:v>
                </c:pt>
                <c:pt idx="8">
                  <c:v>1.514398311158871</c:v>
                </c:pt>
                <c:pt idx="9">
                  <c:v>0.98247151540416655</c:v>
                </c:pt>
                <c:pt idx="10">
                  <c:v>0.90464969354956271</c:v>
                </c:pt>
              </c:numCache>
            </c:numRef>
          </c:val>
          <c:extLst>
            <c:ext xmlns:c16="http://schemas.microsoft.com/office/drawing/2014/chart" uri="{C3380CC4-5D6E-409C-BE32-E72D297353CC}">
              <c16:uniqueId val="{00000001-57AD-40F8-A58C-E05A536FACE9}"/>
            </c:ext>
          </c:extLst>
        </c:ser>
        <c:ser>
          <c:idx val="2"/>
          <c:order val="2"/>
          <c:tx>
            <c:strRef>
              <c:f>Exhibits!$DK$9</c:f>
              <c:strCache>
                <c:ptCount val="1"/>
                <c:pt idx="0">
                  <c:v>Other Senior Debt</c:v>
                </c:pt>
              </c:strCache>
            </c:strRef>
          </c:tx>
          <c:spPr>
            <a:solidFill>
              <a:schemeClr val="accent3"/>
            </a:solidFill>
            <a:ln>
              <a:noFill/>
            </a:ln>
            <a:effectLst/>
          </c:spPr>
          <c:invertIfNegative val="0"/>
          <c:dLbls>
            <c:dLbl>
              <c:idx val="2"/>
              <c:layout>
                <c:manualLayout>
                  <c:x val="0"/>
                  <c:y val="7.240008984275204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15:layout>
                    <c:manualLayout>
                      <c:w val="4.5497546276134969E-2"/>
                      <c:h val="5.7864775256302667E-2"/>
                    </c:manualLayout>
                  </c15:layout>
                </c:ext>
                <c:ext xmlns:c16="http://schemas.microsoft.com/office/drawing/2014/chart" uri="{C3380CC4-5D6E-409C-BE32-E72D297353CC}">
                  <c16:uniqueId val="{00000005-3097-4BEF-A53C-AB4C9EECD7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Exhibits!$DL$6:$DV$6</c:f>
              <c:numCache>
                <c:formatCode>General</c:formatCode>
                <c:ptCount val="11"/>
                <c:pt idx="0">
                  <c:v>2006</c:v>
                </c:pt>
                <c:pt idx="1">
                  <c:v>2007</c:v>
                </c:pt>
                <c:pt idx="2">
                  <c:v>2008</c:v>
                </c:pt>
                <c:pt idx="3">
                  <c:v>2009</c:v>
                </c:pt>
                <c:pt idx="4">
                  <c:v>2010</c:v>
                </c:pt>
                <c:pt idx="5">
                  <c:v>2011</c:v>
                </c:pt>
                <c:pt idx="6">
                  <c:v>2012</c:v>
                </c:pt>
                <c:pt idx="7">
                  <c:v>2013</c:v>
                </c:pt>
                <c:pt idx="8">
                  <c:v>2014</c:v>
                </c:pt>
                <c:pt idx="9">
                  <c:v>2015</c:v>
                </c:pt>
                <c:pt idx="10">
                  <c:v>2016</c:v>
                </c:pt>
              </c:numCache>
            </c:numRef>
          </c:cat>
          <c:val>
            <c:numRef>
              <c:f>Exhibits!$DL$9:$DV$9</c:f>
              <c:numCache>
                <c:formatCode>#,##0.0\x</c:formatCode>
                <c:ptCount val="11"/>
                <c:pt idx="0">
                  <c:v>0.31983965534204084</c:v>
                </c:pt>
                <c:pt idx="1">
                  <c:v>0.58805454181360206</c:v>
                </c:pt>
                <c:pt idx="2">
                  <c:v>0.91731117022653719</c:v>
                </c:pt>
                <c:pt idx="3">
                  <c:v>0.19450476252672</c:v>
                </c:pt>
                <c:pt idx="4">
                  <c:v>0.7513280964821476</c:v>
                </c:pt>
                <c:pt idx="5">
                  <c:v>0.85771987654280579</c:v>
                </c:pt>
                <c:pt idx="6">
                  <c:v>0.51921282317052231</c:v>
                </c:pt>
                <c:pt idx="7">
                  <c:v>0.49107250875397185</c:v>
                </c:pt>
                <c:pt idx="8">
                  <c:v>0.48538407408938167</c:v>
                </c:pt>
                <c:pt idx="9">
                  <c:v>0.44369681340833328</c:v>
                </c:pt>
                <c:pt idx="10">
                  <c:v>0.23396112764212829</c:v>
                </c:pt>
              </c:numCache>
            </c:numRef>
          </c:val>
          <c:extLst>
            <c:ext xmlns:c16="http://schemas.microsoft.com/office/drawing/2014/chart" uri="{C3380CC4-5D6E-409C-BE32-E72D297353CC}">
              <c16:uniqueId val="{00000002-57AD-40F8-A58C-E05A536FACE9}"/>
            </c:ext>
          </c:extLst>
        </c:ser>
        <c:ser>
          <c:idx val="3"/>
          <c:order val="3"/>
          <c:tx>
            <c:strRef>
              <c:f>Exhibits!$DK$10</c:f>
              <c:strCache>
                <c:ptCount val="1"/>
                <c:pt idx="0">
                  <c:v>Subordinated Debt</c:v>
                </c:pt>
              </c:strCache>
            </c:strRef>
          </c:tx>
          <c:spPr>
            <a:solidFill>
              <a:schemeClr val="accent4"/>
            </a:solidFill>
            <a:ln>
              <a:noFill/>
            </a:ln>
            <a:effectLst/>
          </c:spPr>
          <c:invertIfNegative val="0"/>
          <c:dLbls>
            <c:dLbl>
              <c:idx val="3"/>
              <c:layout>
                <c:manualLayout>
                  <c:x val="-3.917858365409151E-17"/>
                  <c:y val="-7.239866467218862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97-4BEF-A53C-AB4C9EECD79F}"/>
                </c:ext>
              </c:extLst>
            </c:dLbl>
            <c:dLbl>
              <c:idx val="8"/>
              <c:delete val="1"/>
              <c:extLst>
                <c:ext xmlns:c15="http://schemas.microsoft.com/office/drawing/2012/chart" uri="{CE6537A1-D6FC-4f65-9D91-7224C49458BB}"/>
                <c:ext xmlns:c16="http://schemas.microsoft.com/office/drawing/2014/chart" uri="{C3380CC4-5D6E-409C-BE32-E72D297353CC}">
                  <c16:uniqueId val="{00000003-57AD-40F8-A58C-E05A536FACE9}"/>
                </c:ext>
              </c:extLst>
            </c:dLbl>
            <c:dLbl>
              <c:idx val="9"/>
              <c:delete val="1"/>
              <c:extLst>
                <c:ext xmlns:c15="http://schemas.microsoft.com/office/drawing/2012/chart" uri="{CE6537A1-D6FC-4f65-9D91-7224C49458BB}"/>
                <c:ext xmlns:c16="http://schemas.microsoft.com/office/drawing/2014/chart" uri="{C3380CC4-5D6E-409C-BE32-E72D297353CC}">
                  <c16:uniqueId val="{00000004-57AD-40F8-A58C-E05A536FACE9}"/>
                </c:ext>
              </c:extLst>
            </c:dLbl>
            <c:dLbl>
              <c:idx val="10"/>
              <c:delete val="1"/>
              <c:extLst>
                <c:ext xmlns:c15="http://schemas.microsoft.com/office/drawing/2012/chart" uri="{CE6537A1-D6FC-4f65-9D91-7224C49458BB}"/>
                <c:ext xmlns:c16="http://schemas.microsoft.com/office/drawing/2014/chart" uri="{C3380CC4-5D6E-409C-BE32-E72D297353CC}">
                  <c16:uniqueId val="{00000005-57AD-40F8-A58C-E05A536FAC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Exhibits!$DL$6:$DV$6</c:f>
              <c:numCache>
                <c:formatCode>General</c:formatCode>
                <c:ptCount val="11"/>
                <c:pt idx="0">
                  <c:v>2006</c:v>
                </c:pt>
                <c:pt idx="1">
                  <c:v>2007</c:v>
                </c:pt>
                <c:pt idx="2">
                  <c:v>2008</c:v>
                </c:pt>
                <c:pt idx="3">
                  <c:v>2009</c:v>
                </c:pt>
                <c:pt idx="4">
                  <c:v>2010</c:v>
                </c:pt>
                <c:pt idx="5">
                  <c:v>2011</c:v>
                </c:pt>
                <c:pt idx="6">
                  <c:v>2012</c:v>
                </c:pt>
                <c:pt idx="7">
                  <c:v>2013</c:v>
                </c:pt>
                <c:pt idx="8">
                  <c:v>2014</c:v>
                </c:pt>
                <c:pt idx="9">
                  <c:v>2015</c:v>
                </c:pt>
                <c:pt idx="10">
                  <c:v>2016</c:v>
                </c:pt>
              </c:numCache>
            </c:numRef>
          </c:cat>
          <c:val>
            <c:numRef>
              <c:f>Exhibits!$DL$10:$DV$10</c:f>
              <c:numCache>
                <c:formatCode>#,##0.0\x</c:formatCode>
                <c:ptCount val="11"/>
                <c:pt idx="0">
                  <c:v>0.81736800809632648</c:v>
                </c:pt>
                <c:pt idx="1">
                  <c:v>0.70279689143576829</c:v>
                </c:pt>
                <c:pt idx="2">
                  <c:v>1.0862895436893203</c:v>
                </c:pt>
                <c:pt idx="3">
                  <c:v>0.21881785784255997</c:v>
                </c:pt>
                <c:pt idx="4">
                  <c:v>0.34435871088765102</c:v>
                </c:pt>
                <c:pt idx="5">
                  <c:v>0.18898912533994025</c:v>
                </c:pt>
                <c:pt idx="6">
                  <c:v>0.12663727394402982</c:v>
                </c:pt>
                <c:pt idx="7">
                  <c:v>0.30480362612315492</c:v>
                </c:pt>
                <c:pt idx="8">
                  <c:v>0</c:v>
                </c:pt>
                <c:pt idx="9">
                  <c:v>0</c:v>
                </c:pt>
                <c:pt idx="10">
                  <c:v>0</c:v>
                </c:pt>
              </c:numCache>
            </c:numRef>
          </c:val>
          <c:extLst>
            <c:ext xmlns:c16="http://schemas.microsoft.com/office/drawing/2014/chart" uri="{C3380CC4-5D6E-409C-BE32-E72D297353CC}">
              <c16:uniqueId val="{00000006-57AD-40F8-A58C-E05A536FACE9}"/>
            </c:ext>
          </c:extLst>
        </c:ser>
        <c:dLbls>
          <c:showLegendKey val="0"/>
          <c:showVal val="0"/>
          <c:showCatName val="0"/>
          <c:showSerName val="0"/>
          <c:showPercent val="0"/>
          <c:showBubbleSize val="0"/>
        </c:dLbls>
        <c:gapWidth val="75"/>
        <c:overlap val="100"/>
        <c:axId val="658108432"/>
        <c:axId val="669180608"/>
      </c:barChart>
      <c:lineChart>
        <c:grouping val="standard"/>
        <c:varyColors val="0"/>
        <c:ser>
          <c:idx val="5"/>
          <c:order val="4"/>
          <c:tx>
            <c:strRef>
              <c:f>Exhibits!$DK$12</c:f>
              <c:strCache>
                <c:ptCount val="1"/>
                <c:pt idx="0">
                  <c:v>Typical Debt Ceiling</c:v>
                </c:pt>
              </c:strCache>
            </c:strRef>
          </c:tx>
          <c:spPr>
            <a:ln w="22225" cap="rnd">
              <a:solidFill>
                <a:schemeClr val="tx1">
                  <a:alpha val="50000"/>
                </a:schemeClr>
              </a:solidFill>
              <a:prstDash val="lgDash"/>
              <a:round/>
            </a:ln>
            <a:effectLst/>
          </c:spPr>
          <c:marker>
            <c:symbol val="none"/>
          </c:marker>
          <c:cat>
            <c:numRef>
              <c:f>Exhibits!$DL$6:$DV$6</c:f>
              <c:numCache>
                <c:formatCode>General</c:formatCode>
                <c:ptCount val="11"/>
                <c:pt idx="0">
                  <c:v>2006</c:v>
                </c:pt>
                <c:pt idx="1">
                  <c:v>2007</c:v>
                </c:pt>
                <c:pt idx="2">
                  <c:v>2008</c:v>
                </c:pt>
                <c:pt idx="3">
                  <c:v>2009</c:v>
                </c:pt>
                <c:pt idx="4">
                  <c:v>2010</c:v>
                </c:pt>
                <c:pt idx="5">
                  <c:v>2011</c:v>
                </c:pt>
                <c:pt idx="6">
                  <c:v>2012</c:v>
                </c:pt>
                <c:pt idx="7">
                  <c:v>2013</c:v>
                </c:pt>
                <c:pt idx="8">
                  <c:v>2014</c:v>
                </c:pt>
                <c:pt idx="9">
                  <c:v>2015</c:v>
                </c:pt>
                <c:pt idx="10">
                  <c:v>2016</c:v>
                </c:pt>
              </c:numCache>
            </c:numRef>
          </c:cat>
          <c:val>
            <c:numRef>
              <c:f>Exhibits!$DL$12:$DV$12</c:f>
              <c:numCache>
                <c:formatCode>#,##0.0\x</c:formatCode>
                <c:ptCount val="11"/>
                <c:pt idx="0">
                  <c:v>6</c:v>
                </c:pt>
                <c:pt idx="1">
                  <c:v>6</c:v>
                </c:pt>
                <c:pt idx="2">
                  <c:v>6</c:v>
                </c:pt>
                <c:pt idx="3">
                  <c:v>6</c:v>
                </c:pt>
                <c:pt idx="4">
                  <c:v>6</c:v>
                </c:pt>
                <c:pt idx="5">
                  <c:v>6</c:v>
                </c:pt>
                <c:pt idx="6">
                  <c:v>6</c:v>
                </c:pt>
                <c:pt idx="7">
                  <c:v>6</c:v>
                </c:pt>
                <c:pt idx="8">
                  <c:v>6</c:v>
                </c:pt>
                <c:pt idx="9">
                  <c:v>6</c:v>
                </c:pt>
                <c:pt idx="10">
                  <c:v>6</c:v>
                </c:pt>
              </c:numCache>
            </c:numRef>
          </c:val>
          <c:smooth val="0"/>
          <c:extLst>
            <c:ext xmlns:c16="http://schemas.microsoft.com/office/drawing/2014/chart" uri="{C3380CC4-5D6E-409C-BE32-E72D297353CC}">
              <c16:uniqueId val="{00000004-3097-4BEF-A53C-AB4C9EECD79F}"/>
            </c:ext>
          </c:extLst>
        </c:ser>
        <c:ser>
          <c:idx val="4"/>
          <c:order val="5"/>
          <c:tx>
            <c:strRef>
              <c:f>Exhibits!$DK$11</c:f>
              <c:strCache>
                <c:ptCount val="1"/>
                <c:pt idx="0">
                  <c:v>Total</c:v>
                </c:pt>
              </c:strCache>
            </c:strRef>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A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Exhibits!$DL$6:$DV$6</c:f>
              <c:numCache>
                <c:formatCode>General</c:formatCode>
                <c:ptCount val="11"/>
                <c:pt idx="0">
                  <c:v>2006</c:v>
                </c:pt>
                <c:pt idx="1">
                  <c:v>2007</c:v>
                </c:pt>
                <c:pt idx="2">
                  <c:v>2008</c:v>
                </c:pt>
                <c:pt idx="3">
                  <c:v>2009</c:v>
                </c:pt>
                <c:pt idx="4">
                  <c:v>2010</c:v>
                </c:pt>
                <c:pt idx="5">
                  <c:v>2011</c:v>
                </c:pt>
                <c:pt idx="6">
                  <c:v>2012</c:v>
                </c:pt>
                <c:pt idx="7">
                  <c:v>2013</c:v>
                </c:pt>
                <c:pt idx="8">
                  <c:v>2014</c:v>
                </c:pt>
                <c:pt idx="9">
                  <c:v>2015</c:v>
                </c:pt>
                <c:pt idx="10">
                  <c:v>2016</c:v>
                </c:pt>
              </c:numCache>
            </c:numRef>
          </c:cat>
          <c:val>
            <c:numRef>
              <c:f>Exhibits!$DL$11:$DV$11</c:f>
              <c:numCache>
                <c:formatCode>#,##0.0\x</c:formatCode>
                <c:ptCount val="11"/>
                <c:pt idx="0">
                  <c:v>6.0947223212399999</c:v>
                </c:pt>
                <c:pt idx="1">
                  <c:v>5.6940891000000002</c:v>
                </c:pt>
                <c:pt idx="2">
                  <c:v>7.4591881999999998</c:v>
                </c:pt>
                <c:pt idx="3">
                  <c:v>3.0391369144799998</c:v>
                </c:pt>
                <c:pt idx="4">
                  <c:v>4.6644952656600003</c:v>
                </c:pt>
                <c:pt idx="5">
                  <c:v>4.8701043837599993</c:v>
                </c:pt>
                <c:pt idx="6">
                  <c:v>4.2423486771249994</c:v>
                </c:pt>
                <c:pt idx="7">
                  <c:v>6.0114048485399998</c:v>
                </c:pt>
                <c:pt idx="8">
                  <c:v>7.2225150224499997</c:v>
                </c:pt>
                <c:pt idx="9">
                  <c:v>5.7046733152499991</c:v>
                </c:pt>
                <c:pt idx="10">
                  <c:v>5.3499111187500006</c:v>
                </c:pt>
              </c:numCache>
            </c:numRef>
          </c:val>
          <c:smooth val="0"/>
          <c:extLst>
            <c:ext xmlns:c16="http://schemas.microsoft.com/office/drawing/2014/chart" uri="{C3380CC4-5D6E-409C-BE32-E72D297353CC}">
              <c16:uniqueId val="{00000007-57AD-40F8-A58C-E05A536FACE9}"/>
            </c:ext>
          </c:extLst>
        </c:ser>
        <c:dLbls>
          <c:showLegendKey val="0"/>
          <c:showVal val="0"/>
          <c:showCatName val="0"/>
          <c:showSerName val="0"/>
          <c:showPercent val="0"/>
          <c:showBubbleSize val="0"/>
        </c:dLbls>
        <c:marker val="1"/>
        <c:smooth val="0"/>
        <c:axId val="658108432"/>
        <c:axId val="669180608"/>
      </c:lineChart>
      <c:catAx>
        <c:axId val="65810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669180608"/>
        <c:crosses val="autoZero"/>
        <c:auto val="1"/>
        <c:lblAlgn val="ctr"/>
        <c:lblOffset val="100"/>
        <c:noMultiLvlLbl val="0"/>
      </c:catAx>
      <c:valAx>
        <c:axId val="669180608"/>
        <c:scaling>
          <c:orientation val="minMax"/>
          <c:max val="8"/>
        </c:scaling>
        <c:delete val="0"/>
        <c:axPos val="l"/>
        <c:numFmt formatCode="#,##0.0\x"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658108432"/>
        <c:crosses val="autoZero"/>
        <c:crossBetween val="between"/>
      </c:valAx>
      <c:spPr>
        <a:noFill/>
        <a:ln>
          <a:noFill/>
        </a:ln>
        <a:effectLst/>
      </c:spPr>
    </c:plotArea>
    <c:legend>
      <c:legendPos val="b"/>
      <c:legendEntry>
        <c:idx val="5"/>
        <c:txPr>
          <a:bodyPr rot="0" spcFirstLastPara="1" vertOverflow="ellipsis" vert="horz" wrap="square" anchor="ctr" anchorCtr="1"/>
          <a:lstStyle/>
          <a:p>
            <a:pPr>
              <a:defRPr sz="900" b="0" i="0" u="none" strike="noStrike" kern="1200" baseline="0">
                <a:noFill/>
                <a:latin typeface="+mn-lt"/>
                <a:ea typeface="+mn-ea"/>
                <a:cs typeface="+mn-cs"/>
              </a:defRPr>
            </a:pPr>
            <a:endParaRPr lang="es-AR"/>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Exhibits!$BU$8</c:f>
              <c:strCache>
                <c:ptCount val="1"/>
                <c:pt idx="0">
                  <c:v>Debt/EBITDA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Exhibits!$BV$6:$CG$6</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Exhibits!$BV$8:$CG$8</c:f>
              <c:numCache>
                <c:formatCode>#,##0.0\x</c:formatCode>
                <c:ptCount val="12"/>
                <c:pt idx="0">
                  <c:v>6.0947223212399999</c:v>
                </c:pt>
                <c:pt idx="1">
                  <c:v>5.6940891000000002</c:v>
                </c:pt>
                <c:pt idx="2">
                  <c:v>7.4591881999999998</c:v>
                </c:pt>
                <c:pt idx="3">
                  <c:v>3.0391369144799998</c:v>
                </c:pt>
                <c:pt idx="4">
                  <c:v>4.6644952656600003</c:v>
                </c:pt>
                <c:pt idx="5">
                  <c:v>4.8701043837599993</c:v>
                </c:pt>
                <c:pt idx="6">
                  <c:v>4.2423486771249994</c:v>
                </c:pt>
                <c:pt idx="7">
                  <c:v>6.0114048485399998</c:v>
                </c:pt>
                <c:pt idx="8">
                  <c:v>7.2225150224499997</c:v>
                </c:pt>
                <c:pt idx="9">
                  <c:v>5.7046733152499991</c:v>
                </c:pt>
                <c:pt idx="10">
                  <c:v>5.3499111187500006</c:v>
                </c:pt>
                <c:pt idx="11">
                  <c:v>6.2466301170000005</c:v>
                </c:pt>
              </c:numCache>
            </c:numRef>
          </c:val>
          <c:extLst>
            <c:ext xmlns:c16="http://schemas.microsoft.com/office/drawing/2014/chart" uri="{C3380CC4-5D6E-409C-BE32-E72D297353CC}">
              <c16:uniqueId val="{00000001-179D-40DA-AB54-37D773F4C7BA}"/>
            </c:ext>
          </c:extLst>
        </c:ser>
        <c:ser>
          <c:idx val="2"/>
          <c:order val="1"/>
          <c:tx>
            <c:strRef>
              <c:f>Exhibits!$BU$9</c:f>
              <c:strCache>
                <c:ptCount val="1"/>
                <c:pt idx="0">
                  <c:v>Equity/EBITDA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Exhibits!$BV$6:$CG$6</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Exhibits!$BV$9:$CG$9</c:f>
              <c:numCache>
                <c:formatCode>#,##0.0\x</c:formatCode>
                <c:ptCount val="12"/>
                <c:pt idx="0">
                  <c:v>3.8880176787599998</c:v>
                </c:pt>
                <c:pt idx="1">
                  <c:v>4.6400108999999992</c:v>
                </c:pt>
                <c:pt idx="2">
                  <c:v>5.1158117999999995</c:v>
                </c:pt>
                <c:pt idx="3">
                  <c:v>3.9413830855200005</c:v>
                </c:pt>
                <c:pt idx="4">
                  <c:v>3.5085847343400003</c:v>
                </c:pt>
                <c:pt idx="5">
                  <c:v>4.2645156162400006</c:v>
                </c:pt>
                <c:pt idx="6">
                  <c:v>4.162086322875</c:v>
                </c:pt>
                <c:pt idx="7">
                  <c:v>3.9568151514600007</c:v>
                </c:pt>
                <c:pt idx="8">
                  <c:v>5.1951349775500004</c:v>
                </c:pt>
                <c:pt idx="9">
                  <c:v>4.6894766847500007</c:v>
                </c:pt>
                <c:pt idx="10">
                  <c:v>5.4525888812499996</c:v>
                </c:pt>
                <c:pt idx="11">
                  <c:v>5.8745698829999995</c:v>
                </c:pt>
              </c:numCache>
            </c:numRef>
          </c:val>
          <c:extLst>
            <c:ext xmlns:c16="http://schemas.microsoft.com/office/drawing/2014/chart" uri="{C3380CC4-5D6E-409C-BE32-E72D297353CC}">
              <c16:uniqueId val="{00000000-FB58-4F85-9A09-69F002044AC5}"/>
            </c:ext>
          </c:extLst>
        </c:ser>
        <c:dLbls>
          <c:showLegendKey val="0"/>
          <c:showVal val="0"/>
          <c:showCatName val="0"/>
          <c:showSerName val="0"/>
          <c:showPercent val="0"/>
          <c:showBubbleSize val="0"/>
        </c:dLbls>
        <c:gapWidth val="50"/>
        <c:overlap val="100"/>
        <c:axId val="296380096"/>
        <c:axId val="296381776"/>
      </c:barChart>
      <c:lineChart>
        <c:grouping val="standard"/>
        <c:varyColors val="0"/>
        <c:ser>
          <c:idx val="0"/>
          <c:order val="2"/>
          <c:tx>
            <c:strRef>
              <c:f>Exhibits!$BU$7</c:f>
              <c:strCache>
                <c:ptCount val="1"/>
                <c:pt idx="0">
                  <c:v>EV/EBITDA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Exhibits!$BV$6:$CG$6</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Exhibits!$BV$7:$CG$7</c:f>
              <c:numCache>
                <c:formatCode>#,##0.0\x</c:formatCode>
                <c:ptCount val="12"/>
                <c:pt idx="0">
                  <c:v>9.9827399999999997</c:v>
                </c:pt>
                <c:pt idx="1">
                  <c:v>10.334099999999999</c:v>
                </c:pt>
                <c:pt idx="2">
                  <c:v>12.574999999999999</c:v>
                </c:pt>
                <c:pt idx="3">
                  <c:v>6.9805200000000003</c:v>
                </c:pt>
                <c:pt idx="4">
                  <c:v>8.1730800000000006</c:v>
                </c:pt>
                <c:pt idx="5">
                  <c:v>9.13462</c:v>
                </c:pt>
                <c:pt idx="6">
                  <c:v>8.4044349999999994</c:v>
                </c:pt>
                <c:pt idx="7">
                  <c:v>9.9682200000000005</c:v>
                </c:pt>
                <c:pt idx="8">
                  <c:v>12.41765</c:v>
                </c:pt>
                <c:pt idx="9">
                  <c:v>10.39415</c:v>
                </c:pt>
                <c:pt idx="10">
                  <c:v>10.8025</c:v>
                </c:pt>
                <c:pt idx="11">
                  <c:v>12.1212</c:v>
                </c:pt>
              </c:numCache>
            </c:numRef>
          </c:val>
          <c:smooth val="0"/>
          <c:extLst>
            <c:ext xmlns:c16="http://schemas.microsoft.com/office/drawing/2014/chart" uri="{C3380CC4-5D6E-409C-BE32-E72D297353CC}">
              <c16:uniqueId val="{00000000-179D-40DA-AB54-37D773F4C7BA}"/>
            </c:ext>
          </c:extLst>
        </c:ser>
        <c:dLbls>
          <c:showLegendKey val="0"/>
          <c:showVal val="0"/>
          <c:showCatName val="0"/>
          <c:showSerName val="0"/>
          <c:showPercent val="0"/>
          <c:showBubbleSize val="0"/>
        </c:dLbls>
        <c:marker val="1"/>
        <c:smooth val="0"/>
        <c:axId val="296380096"/>
        <c:axId val="296381776"/>
      </c:lineChart>
      <c:catAx>
        <c:axId val="29638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96381776"/>
        <c:crosses val="autoZero"/>
        <c:auto val="1"/>
        <c:lblAlgn val="ctr"/>
        <c:lblOffset val="100"/>
        <c:noMultiLvlLbl val="0"/>
      </c:catAx>
      <c:valAx>
        <c:axId val="296381776"/>
        <c:scaling>
          <c:orientation val="minMax"/>
        </c:scaling>
        <c:delete val="0"/>
        <c:axPos val="l"/>
        <c:numFmt formatCode="#,##0.0\x"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96380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Exhibits!$AS$7</c:f>
              <c:strCache>
                <c:ptCount val="1"/>
                <c:pt idx="0">
                  <c:v>Dry Powder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Exhibits!$AT$6:$BE$6</c:f>
              <c:numCache>
                <c:formatCode>General</c:formatCode>
                <c:ptCount val="12"/>
                <c:pt idx="0">
                  <c:v>2005</c:v>
                </c:pt>
                <c:pt idx="1">
                  <c:v>2006</c:v>
                </c:pt>
                <c:pt idx="2">
                  <c:v>2007</c:v>
                </c:pt>
                <c:pt idx="3">
                  <c:v>2008</c:v>
                </c:pt>
                <c:pt idx="4">
                  <c:v>2009</c:v>
                </c:pt>
                <c:pt idx="5">
                  <c:v>2010</c:v>
                </c:pt>
                <c:pt idx="6">
                  <c:v>2011</c:v>
                </c:pt>
                <c:pt idx="7">
                  <c:v>2012</c:v>
                </c:pt>
                <c:pt idx="8">
                  <c:v>2013</c:v>
                </c:pt>
                <c:pt idx="9">
                  <c:v>2014</c:v>
                </c:pt>
                <c:pt idx="10">
                  <c:v>2015</c:v>
                </c:pt>
                <c:pt idx="11">
                  <c:v>2016</c:v>
                </c:pt>
              </c:numCache>
            </c:numRef>
          </c:cat>
          <c:val>
            <c:numRef>
              <c:f>Exhibits!$AT$7:$BE$7</c:f>
              <c:numCache>
                <c:formatCode>"$"#,##0_);\("$"#,##0\)</c:formatCode>
                <c:ptCount val="12"/>
                <c:pt idx="0">
                  <c:v>337.91961961248523</c:v>
                </c:pt>
                <c:pt idx="1">
                  <c:v>512.89750218429947</c:v>
                </c:pt>
                <c:pt idx="2">
                  <c:v>600.219920591966</c:v>
                </c:pt>
                <c:pt idx="3">
                  <c:v>651.74877698449234</c:v>
                </c:pt>
                <c:pt idx="4">
                  <c:v>640.34446236956182</c:v>
                </c:pt>
                <c:pt idx="5">
                  <c:v>530.98952790229453</c:v>
                </c:pt>
                <c:pt idx="6">
                  <c:v>520.6997196869255</c:v>
                </c:pt>
                <c:pt idx="7">
                  <c:v>564.73614577794649</c:v>
                </c:pt>
                <c:pt idx="8">
                  <c:v>629.04712152463651</c:v>
                </c:pt>
                <c:pt idx="9">
                  <c:v>623.9859634581527</c:v>
                </c:pt>
                <c:pt idx="10">
                  <c:v>677.33297047543567</c:v>
                </c:pt>
                <c:pt idx="11">
                  <c:v>692.87643890870152</c:v>
                </c:pt>
              </c:numCache>
            </c:numRef>
          </c:val>
          <c:extLst>
            <c:ext xmlns:c16="http://schemas.microsoft.com/office/drawing/2014/chart" uri="{C3380CC4-5D6E-409C-BE32-E72D297353CC}">
              <c16:uniqueId val="{00000000-2C88-46ED-B6BA-ADB392B37E31}"/>
            </c:ext>
          </c:extLst>
        </c:ser>
        <c:dLbls>
          <c:showLegendKey val="0"/>
          <c:showVal val="0"/>
          <c:showCatName val="0"/>
          <c:showSerName val="0"/>
          <c:showPercent val="0"/>
          <c:showBubbleSize val="0"/>
        </c:dLbls>
        <c:gapWidth val="75"/>
        <c:overlap val="-27"/>
        <c:axId val="298435952"/>
        <c:axId val="298437632"/>
      </c:barChart>
      <c:catAx>
        <c:axId val="29843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98437632"/>
        <c:crosses val="autoZero"/>
        <c:auto val="1"/>
        <c:lblAlgn val="ctr"/>
        <c:lblOffset val="100"/>
        <c:noMultiLvlLbl val="0"/>
      </c:catAx>
      <c:valAx>
        <c:axId val="2984376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Billions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quot;$&quot;#,##0_);\(&quot;$&quot;#,##0\)" sourceLinked="1"/>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984359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Exhibits!$S$9</c:f>
              <c:strCache>
                <c:ptCount val="1"/>
                <c:pt idx="0">
                  <c:v>Fast casual sales</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Exhibits!$T$6:$Y$6</c:f>
              <c:numCache>
                <c:formatCode>General</c:formatCode>
                <c:ptCount val="6"/>
                <c:pt idx="0">
                  <c:v>2011</c:v>
                </c:pt>
                <c:pt idx="1">
                  <c:v>2012</c:v>
                </c:pt>
                <c:pt idx="2">
                  <c:v>2013</c:v>
                </c:pt>
                <c:pt idx="3">
                  <c:v>2014</c:v>
                </c:pt>
                <c:pt idx="4">
                  <c:v>2015</c:v>
                </c:pt>
                <c:pt idx="5">
                  <c:v>2016</c:v>
                </c:pt>
              </c:numCache>
            </c:numRef>
          </c:cat>
          <c:val>
            <c:numRef>
              <c:f>Exhibits!$T$9:$Y$9</c:f>
              <c:numCache>
                <c:formatCode>#,##0_);\(#,##0\)</c:formatCode>
                <c:ptCount val="6"/>
                <c:pt idx="0">
                  <c:v>29</c:v>
                </c:pt>
                <c:pt idx="1">
                  <c:v>32</c:v>
                </c:pt>
                <c:pt idx="2">
                  <c:v>36</c:v>
                </c:pt>
                <c:pt idx="3">
                  <c:v>40</c:v>
                </c:pt>
                <c:pt idx="4">
                  <c:v>44</c:v>
                </c:pt>
                <c:pt idx="5">
                  <c:v>47</c:v>
                </c:pt>
              </c:numCache>
            </c:numRef>
          </c:val>
          <c:extLst>
            <c:ext xmlns:c16="http://schemas.microsoft.com/office/drawing/2014/chart" uri="{C3380CC4-5D6E-409C-BE32-E72D297353CC}">
              <c16:uniqueId val="{00000000-A732-4DDF-B3EA-AE199B28D6D9}"/>
            </c:ext>
          </c:extLst>
        </c:ser>
        <c:ser>
          <c:idx val="1"/>
          <c:order val="1"/>
          <c:tx>
            <c:strRef>
              <c:f>Exhibits!$S$7</c:f>
              <c:strCache>
                <c:ptCount val="1"/>
                <c:pt idx="0">
                  <c:v>Fast food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Exhibits!$T$7:$Y$7</c:f>
              <c:numCache>
                <c:formatCode>"$"#,##0_);\("$"#,##0\)</c:formatCode>
                <c:ptCount val="6"/>
                <c:pt idx="0">
                  <c:v>198.98329999999999</c:v>
                </c:pt>
                <c:pt idx="1">
                  <c:v>206.32029999999997</c:v>
                </c:pt>
                <c:pt idx="2">
                  <c:v>211.6113</c:v>
                </c:pt>
                <c:pt idx="3">
                  <c:v>217.9539</c:v>
                </c:pt>
                <c:pt idx="4">
                  <c:v>230.91639999999998</c:v>
                </c:pt>
                <c:pt idx="5">
                  <c:v>243.95269999999999</c:v>
                </c:pt>
              </c:numCache>
            </c:numRef>
          </c:val>
          <c:extLst>
            <c:ext xmlns:c16="http://schemas.microsoft.com/office/drawing/2014/chart" uri="{C3380CC4-5D6E-409C-BE32-E72D297353CC}">
              <c16:uniqueId val="{00000001-A732-4DDF-B3EA-AE199B28D6D9}"/>
            </c:ext>
          </c:extLst>
        </c:ser>
        <c:dLbls>
          <c:dLblPos val="outEnd"/>
          <c:showLegendKey val="0"/>
          <c:showVal val="1"/>
          <c:showCatName val="0"/>
          <c:showSerName val="0"/>
          <c:showPercent val="0"/>
          <c:showBubbleSize val="0"/>
        </c:dLbls>
        <c:gapWidth val="100"/>
        <c:overlap val="-27"/>
        <c:axId val="465235776"/>
        <c:axId val="465228560"/>
      </c:barChart>
      <c:catAx>
        <c:axId val="46523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65228560"/>
        <c:crosses val="autoZero"/>
        <c:auto val="1"/>
        <c:lblAlgn val="ctr"/>
        <c:lblOffset val="100"/>
        <c:noMultiLvlLbl val="0"/>
      </c:catAx>
      <c:valAx>
        <c:axId val="4652285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0_);\(#,##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6523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Exhibits!$AB$5</c:f>
              <c:strCache>
                <c:ptCount val="1"/>
                <c:pt idx="0">
                  <c:v>2016 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3F-4E32-83CE-DDF5AA2BC4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3F-4E32-83CE-DDF5AA2BC4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33F-4E32-83CE-DDF5AA2BC42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33F-4E32-83CE-DDF5AA2BC42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33F-4E32-83CE-DDF5AA2BC42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33F-4E32-83CE-DDF5AA2BC42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33F-4E32-83CE-DDF5AA2BC429}"/>
              </c:ext>
            </c:extLst>
          </c:dPt>
          <c:dLbls>
            <c:dLbl>
              <c:idx val="0"/>
              <c:layout>
                <c:manualLayout>
                  <c:x val="0.14999999999999991"/>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F33F-4E32-83CE-DDF5AA2BC429}"/>
                </c:ext>
              </c:extLst>
            </c:dLbl>
            <c:dLbl>
              <c:idx val="1"/>
              <c:layout>
                <c:manualLayout>
                  <c:x val="0.12777777777777768"/>
                  <c:y val="0.1111111111111110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F33F-4E32-83CE-DDF5AA2BC429}"/>
                </c:ext>
              </c:extLst>
            </c:dLbl>
            <c:dLbl>
              <c:idx val="2"/>
              <c:layout>
                <c:manualLayout>
                  <c:x val="0.16944444444444445"/>
                  <c:y val="0.14814814814814814"/>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F33F-4E32-83CE-DDF5AA2BC429}"/>
                </c:ext>
              </c:extLst>
            </c:dLbl>
            <c:dLbl>
              <c:idx val="3"/>
              <c:layout>
                <c:manualLayout>
                  <c:x val="-0.12222222222222227"/>
                  <c:y val="9.722222222222222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F33F-4E32-83CE-DDF5AA2BC429}"/>
                </c:ext>
              </c:extLst>
            </c:dLbl>
            <c:dLbl>
              <c:idx val="4"/>
              <c:layout>
                <c:manualLayout>
                  <c:x val="-0.11111111111111113"/>
                  <c:y val="1.851851851851843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F33F-4E32-83CE-DDF5AA2BC429}"/>
                </c:ext>
              </c:extLst>
            </c:dLbl>
            <c:dLbl>
              <c:idx val="5"/>
              <c:layout>
                <c:manualLayout>
                  <c:x val="-0.125"/>
                  <c:y val="-5.5555555555555601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F33F-4E32-83CE-DDF5AA2BC429}"/>
                </c:ext>
              </c:extLst>
            </c:dLbl>
            <c:dLbl>
              <c:idx val="6"/>
              <c:layout>
                <c:manualLayout>
                  <c:x val="-0.15833333333333333"/>
                  <c:y val="-0.1111111111111111"/>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F33F-4E32-83CE-DDF5AA2BC429}"/>
                </c:ext>
              </c:extLst>
            </c:dLbl>
            <c:numFmt formatCode="#,##0.0_);\(#,##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Exhibits!$AA$7:$AA$13</c:f>
              <c:strCache>
                <c:ptCount val="7"/>
                <c:pt idx="0">
                  <c:v>Bakery Café</c:v>
                </c:pt>
                <c:pt idx="1">
                  <c:v>Mexican</c:v>
                </c:pt>
                <c:pt idx="2">
                  <c:v>Sandwich</c:v>
                </c:pt>
                <c:pt idx="3">
                  <c:v>Chicken</c:v>
                </c:pt>
                <c:pt idx="4">
                  <c:v>Asian</c:v>
                </c:pt>
                <c:pt idx="5">
                  <c:v>Burger</c:v>
                </c:pt>
                <c:pt idx="6">
                  <c:v>Specialty</c:v>
                </c:pt>
              </c:strCache>
            </c:strRef>
          </c:cat>
          <c:val>
            <c:numRef>
              <c:f>Exhibits!$AB$7:$AB$13</c:f>
              <c:numCache>
                <c:formatCode>"$"#,##0.0_)\B\n;\("$"#,##0.0\)</c:formatCode>
                <c:ptCount val="7"/>
                <c:pt idx="0">
                  <c:v>8.93</c:v>
                </c:pt>
                <c:pt idx="1">
                  <c:v>8.93</c:v>
                </c:pt>
                <c:pt idx="2">
                  <c:v>8.4599999999999991</c:v>
                </c:pt>
                <c:pt idx="3">
                  <c:v>5.64</c:v>
                </c:pt>
                <c:pt idx="4">
                  <c:v>5.17</c:v>
                </c:pt>
                <c:pt idx="5">
                  <c:v>4.7</c:v>
                </c:pt>
                <c:pt idx="6">
                  <c:v>5.17</c:v>
                </c:pt>
              </c:numCache>
            </c:numRef>
          </c:val>
          <c:extLst>
            <c:ext xmlns:c16="http://schemas.microsoft.com/office/drawing/2014/chart" uri="{C3380CC4-5D6E-409C-BE32-E72D297353CC}">
              <c16:uniqueId val="{0000000E-F33F-4E32-83CE-DDF5AA2BC429}"/>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586740</xdr:colOff>
      <xdr:row>36</xdr:row>
      <xdr:rowOff>194310</xdr:rowOff>
    </xdr:from>
    <xdr:to>
      <xdr:col>9</xdr:col>
      <xdr:colOff>588944</xdr:colOff>
      <xdr:row>40</xdr:row>
      <xdr:rowOff>11692</xdr:rowOff>
    </xdr:to>
    <xdr:sp macro="" textlink="">
      <xdr:nvSpPr>
        <xdr:cNvPr id="2" name="AutoShape 1">
          <a:extLst>
            <a:ext uri="{FF2B5EF4-FFF2-40B4-BE49-F238E27FC236}">
              <a16:creationId xmlns:a16="http://schemas.microsoft.com/office/drawing/2014/main" id="{5F8C5C64-021D-4DD7-91AF-8645EE426358}"/>
            </a:ext>
          </a:extLst>
        </xdr:cNvPr>
        <xdr:cNvSpPr>
          <a:spLocks noChangeArrowheads="1"/>
        </xdr:cNvSpPr>
      </xdr:nvSpPr>
      <xdr:spPr bwMode="auto">
        <a:xfrm>
          <a:off x="4766310" y="6396990"/>
          <a:ext cx="1183304" cy="60986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Price </a:t>
          </a:r>
        </a:p>
        <a:p>
          <a:pPr algn="ctr" rtl="0">
            <a:lnSpc>
              <a:spcPts val="1400"/>
            </a:lnSpc>
            <a:defRPr sz="1000"/>
          </a:pPr>
          <a:r>
            <a:rPr lang="es-AR" sz="1200" b="1" i="0" u="none" strike="noStrike" baseline="0">
              <a:solidFill>
                <a:srgbClr val="FFFFFF"/>
              </a:solidFill>
              <a:latin typeface="Calibri"/>
            </a:rPr>
            <a:t>per Share</a:t>
          </a:r>
        </a:p>
      </xdr:txBody>
    </xdr:sp>
    <xdr:clientData/>
  </xdr:twoCellAnchor>
  <xdr:twoCellAnchor>
    <xdr:from>
      <xdr:col>7</xdr:col>
      <xdr:colOff>586740</xdr:colOff>
      <xdr:row>51</xdr:row>
      <xdr:rowOff>187169</xdr:rowOff>
    </xdr:from>
    <xdr:to>
      <xdr:col>9</xdr:col>
      <xdr:colOff>588944</xdr:colOff>
      <xdr:row>55</xdr:row>
      <xdr:rowOff>616</xdr:rowOff>
    </xdr:to>
    <xdr:sp macro="" textlink="">
      <xdr:nvSpPr>
        <xdr:cNvPr id="3" name="AutoShape 1">
          <a:extLst>
            <a:ext uri="{FF2B5EF4-FFF2-40B4-BE49-F238E27FC236}">
              <a16:creationId xmlns:a16="http://schemas.microsoft.com/office/drawing/2014/main" id="{0805E911-046F-420B-A295-94FD39C8F907}"/>
            </a:ext>
          </a:extLst>
        </xdr:cNvPr>
        <xdr:cNvSpPr>
          <a:spLocks noChangeArrowheads="1"/>
        </xdr:cNvSpPr>
      </xdr:nvSpPr>
      <xdr:spPr bwMode="auto">
        <a:xfrm>
          <a:off x="4766310" y="9361649"/>
          <a:ext cx="1183304" cy="605927"/>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defRPr sz="1000"/>
          </a:pPr>
          <a:r>
            <a:rPr lang="es-AR" sz="1200" b="1" i="0" u="none" strike="noStrike" baseline="0">
              <a:solidFill>
                <a:srgbClr val="333399"/>
              </a:solidFill>
              <a:latin typeface="Calibri"/>
            </a:rPr>
            <a:t>Terminal FCF Growth</a:t>
          </a:r>
        </a:p>
      </xdr:txBody>
    </xdr:sp>
    <xdr:clientData/>
  </xdr:twoCellAnchor>
  <xdr:twoCellAnchor>
    <xdr:from>
      <xdr:col>7</xdr:col>
      <xdr:colOff>586740</xdr:colOff>
      <xdr:row>46</xdr:row>
      <xdr:rowOff>176420</xdr:rowOff>
    </xdr:from>
    <xdr:to>
      <xdr:col>9</xdr:col>
      <xdr:colOff>588944</xdr:colOff>
      <xdr:row>50</xdr:row>
      <xdr:rowOff>12271</xdr:rowOff>
    </xdr:to>
    <xdr:sp macro="" textlink="">
      <xdr:nvSpPr>
        <xdr:cNvPr id="4" name="AutoShape 1">
          <a:extLst>
            <a:ext uri="{FF2B5EF4-FFF2-40B4-BE49-F238E27FC236}">
              <a16:creationId xmlns:a16="http://schemas.microsoft.com/office/drawing/2014/main" id="{A1252A7A-6A09-4245-9AF3-40DFA76F0074}"/>
            </a:ext>
          </a:extLst>
        </xdr:cNvPr>
        <xdr:cNvSpPr>
          <a:spLocks noChangeArrowheads="1"/>
        </xdr:cNvSpPr>
      </xdr:nvSpPr>
      <xdr:spPr bwMode="auto">
        <a:xfrm>
          <a:off x="4766310" y="8360300"/>
          <a:ext cx="1183304" cy="628331"/>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200"/>
            </a:lnSpc>
            <a:defRPr sz="1000"/>
          </a:pPr>
          <a:r>
            <a:rPr lang="es-AR" sz="1200" b="1" i="0" u="none" strike="noStrike" baseline="0">
              <a:solidFill>
                <a:srgbClr val="333399"/>
              </a:solidFill>
              <a:latin typeface="Calibri"/>
            </a:rPr>
            <a:t>Implied 2016 EBITDA Multiple</a:t>
          </a:r>
        </a:p>
      </xdr:txBody>
    </xdr:sp>
    <xdr:clientData/>
  </xdr:twoCellAnchor>
  <xdr:twoCellAnchor>
    <xdr:from>
      <xdr:col>7</xdr:col>
      <xdr:colOff>586740</xdr:colOff>
      <xdr:row>41</xdr:row>
      <xdr:rowOff>175260</xdr:rowOff>
    </xdr:from>
    <xdr:to>
      <xdr:col>9</xdr:col>
      <xdr:colOff>588944</xdr:colOff>
      <xdr:row>45</xdr:row>
      <xdr:rowOff>9162</xdr:rowOff>
    </xdr:to>
    <xdr:sp macro="" textlink="">
      <xdr:nvSpPr>
        <xdr:cNvPr id="5" name="AutoShape 1">
          <a:extLst>
            <a:ext uri="{FF2B5EF4-FFF2-40B4-BE49-F238E27FC236}">
              <a16:creationId xmlns:a16="http://schemas.microsoft.com/office/drawing/2014/main" id="{BD31BA5C-AE78-444C-B3A8-F6E51A2453C9}"/>
            </a:ext>
          </a:extLst>
        </xdr:cNvPr>
        <xdr:cNvSpPr>
          <a:spLocks noChangeArrowheads="1"/>
        </xdr:cNvSpPr>
      </xdr:nvSpPr>
      <xdr:spPr bwMode="auto">
        <a:xfrm>
          <a:off x="4766310" y="7368540"/>
          <a:ext cx="1183304" cy="62638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Premium/ (Discount)%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586740</xdr:colOff>
      <xdr:row>51</xdr:row>
      <xdr:rowOff>194310</xdr:rowOff>
    </xdr:from>
    <xdr:to>
      <xdr:col>9</xdr:col>
      <xdr:colOff>588944</xdr:colOff>
      <xdr:row>55</xdr:row>
      <xdr:rowOff>11692</xdr:rowOff>
    </xdr:to>
    <xdr:sp macro="" textlink="">
      <xdr:nvSpPr>
        <xdr:cNvPr id="2" name="AutoShape 1">
          <a:extLst>
            <a:ext uri="{FF2B5EF4-FFF2-40B4-BE49-F238E27FC236}">
              <a16:creationId xmlns:a16="http://schemas.microsoft.com/office/drawing/2014/main" id="{344B3819-02D7-4409-8411-6ECF20FE6BF2}"/>
            </a:ext>
          </a:extLst>
        </xdr:cNvPr>
        <xdr:cNvSpPr>
          <a:spLocks noChangeArrowheads="1"/>
        </xdr:cNvSpPr>
      </xdr:nvSpPr>
      <xdr:spPr bwMode="auto">
        <a:xfrm>
          <a:off x="4827270" y="6396990"/>
          <a:ext cx="1183304" cy="60986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Price </a:t>
          </a:r>
        </a:p>
        <a:p>
          <a:pPr algn="ctr" rtl="0">
            <a:lnSpc>
              <a:spcPts val="1400"/>
            </a:lnSpc>
            <a:defRPr sz="1000"/>
          </a:pPr>
          <a:r>
            <a:rPr lang="es-AR" sz="1200" b="1" i="0" u="none" strike="noStrike" baseline="0">
              <a:solidFill>
                <a:srgbClr val="FFFFFF"/>
              </a:solidFill>
              <a:latin typeface="Calibri"/>
            </a:rPr>
            <a:t>per Share</a:t>
          </a:r>
        </a:p>
      </xdr:txBody>
    </xdr:sp>
    <xdr:clientData/>
  </xdr:twoCellAnchor>
  <xdr:twoCellAnchor>
    <xdr:from>
      <xdr:col>7</xdr:col>
      <xdr:colOff>586740</xdr:colOff>
      <xdr:row>66</xdr:row>
      <xdr:rowOff>187169</xdr:rowOff>
    </xdr:from>
    <xdr:to>
      <xdr:col>9</xdr:col>
      <xdr:colOff>588944</xdr:colOff>
      <xdr:row>70</xdr:row>
      <xdr:rowOff>616</xdr:rowOff>
    </xdr:to>
    <xdr:sp macro="" textlink="">
      <xdr:nvSpPr>
        <xdr:cNvPr id="3" name="AutoShape 1">
          <a:extLst>
            <a:ext uri="{FF2B5EF4-FFF2-40B4-BE49-F238E27FC236}">
              <a16:creationId xmlns:a16="http://schemas.microsoft.com/office/drawing/2014/main" id="{38628B07-BE95-4E15-93ED-490F86DE07C5}"/>
            </a:ext>
          </a:extLst>
        </xdr:cNvPr>
        <xdr:cNvSpPr>
          <a:spLocks noChangeArrowheads="1"/>
        </xdr:cNvSpPr>
      </xdr:nvSpPr>
      <xdr:spPr bwMode="auto">
        <a:xfrm>
          <a:off x="4827270" y="9361649"/>
          <a:ext cx="1183304" cy="605927"/>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defRPr sz="1000"/>
          </a:pPr>
          <a:r>
            <a:rPr lang="es-AR" sz="1200" b="1" i="0" u="none" strike="noStrike" baseline="0">
              <a:solidFill>
                <a:srgbClr val="333399"/>
              </a:solidFill>
              <a:latin typeface="Calibri"/>
            </a:rPr>
            <a:t>Terminal FCF Growth</a:t>
          </a:r>
        </a:p>
      </xdr:txBody>
    </xdr:sp>
    <xdr:clientData/>
  </xdr:twoCellAnchor>
  <xdr:twoCellAnchor>
    <xdr:from>
      <xdr:col>7</xdr:col>
      <xdr:colOff>586740</xdr:colOff>
      <xdr:row>61</xdr:row>
      <xdr:rowOff>176420</xdr:rowOff>
    </xdr:from>
    <xdr:to>
      <xdr:col>9</xdr:col>
      <xdr:colOff>588944</xdr:colOff>
      <xdr:row>65</xdr:row>
      <xdr:rowOff>12271</xdr:rowOff>
    </xdr:to>
    <xdr:sp macro="" textlink="">
      <xdr:nvSpPr>
        <xdr:cNvPr id="4" name="AutoShape 1">
          <a:extLst>
            <a:ext uri="{FF2B5EF4-FFF2-40B4-BE49-F238E27FC236}">
              <a16:creationId xmlns:a16="http://schemas.microsoft.com/office/drawing/2014/main" id="{CB1975E4-E8D4-40FE-8184-86C777BCA9E8}"/>
            </a:ext>
          </a:extLst>
        </xdr:cNvPr>
        <xdr:cNvSpPr>
          <a:spLocks noChangeArrowheads="1"/>
        </xdr:cNvSpPr>
      </xdr:nvSpPr>
      <xdr:spPr bwMode="auto">
        <a:xfrm>
          <a:off x="4827270" y="8360300"/>
          <a:ext cx="1183304" cy="628331"/>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200"/>
            </a:lnSpc>
            <a:defRPr sz="1000"/>
          </a:pPr>
          <a:r>
            <a:rPr lang="es-AR" sz="1200" b="1" i="0" u="none" strike="noStrike" baseline="0">
              <a:solidFill>
                <a:srgbClr val="333399"/>
              </a:solidFill>
              <a:latin typeface="Calibri"/>
            </a:rPr>
            <a:t>Implied 2016 EBITDA Multiple</a:t>
          </a:r>
        </a:p>
      </xdr:txBody>
    </xdr:sp>
    <xdr:clientData/>
  </xdr:twoCellAnchor>
  <xdr:twoCellAnchor>
    <xdr:from>
      <xdr:col>7</xdr:col>
      <xdr:colOff>586740</xdr:colOff>
      <xdr:row>56</xdr:row>
      <xdr:rowOff>175260</xdr:rowOff>
    </xdr:from>
    <xdr:to>
      <xdr:col>9</xdr:col>
      <xdr:colOff>588944</xdr:colOff>
      <xdr:row>60</xdr:row>
      <xdr:rowOff>9162</xdr:rowOff>
    </xdr:to>
    <xdr:sp macro="" textlink="">
      <xdr:nvSpPr>
        <xdr:cNvPr id="5" name="AutoShape 1">
          <a:extLst>
            <a:ext uri="{FF2B5EF4-FFF2-40B4-BE49-F238E27FC236}">
              <a16:creationId xmlns:a16="http://schemas.microsoft.com/office/drawing/2014/main" id="{8681F049-2E43-4729-B9FB-E476C397C573}"/>
            </a:ext>
          </a:extLst>
        </xdr:cNvPr>
        <xdr:cNvSpPr>
          <a:spLocks noChangeArrowheads="1"/>
        </xdr:cNvSpPr>
      </xdr:nvSpPr>
      <xdr:spPr bwMode="auto">
        <a:xfrm>
          <a:off x="4827270" y="7368540"/>
          <a:ext cx="1183304" cy="62638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Premium/ (Discount)%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11</xdr:row>
      <xdr:rowOff>0</xdr:rowOff>
    </xdr:from>
    <xdr:to>
      <xdr:col>11</xdr:col>
      <xdr:colOff>7620</xdr:colOff>
      <xdr:row>32</xdr:row>
      <xdr:rowOff>0</xdr:rowOff>
    </xdr:to>
    <xdr:graphicFrame macro="">
      <xdr:nvGraphicFramePr>
        <xdr:cNvPr id="2" name="Chart 1">
          <a:extLst>
            <a:ext uri="{FF2B5EF4-FFF2-40B4-BE49-F238E27FC236}">
              <a16:creationId xmlns:a16="http://schemas.microsoft.com/office/drawing/2014/main" id="{56347D13-15B5-40EA-B39E-BAEB2EBFC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80010</xdr:colOff>
      <xdr:row>4</xdr:row>
      <xdr:rowOff>0</xdr:rowOff>
    </xdr:from>
    <xdr:to>
      <xdr:col>3</xdr:col>
      <xdr:colOff>689610</xdr:colOff>
      <xdr:row>4</xdr:row>
      <xdr:rowOff>0</xdr:rowOff>
    </xdr:to>
    <xdr:sp macro="" textlink="">
      <xdr:nvSpPr>
        <xdr:cNvPr id="3" name="Line 2">
          <a:extLst>
            <a:ext uri="{FF2B5EF4-FFF2-40B4-BE49-F238E27FC236}">
              <a16:creationId xmlns:a16="http://schemas.microsoft.com/office/drawing/2014/main" id="{B1035561-6FD5-4858-ABE8-852130DC64E0}"/>
            </a:ext>
          </a:extLst>
        </xdr:cNvPr>
        <xdr:cNvSpPr>
          <a:spLocks noChangeShapeType="1"/>
        </xdr:cNvSpPr>
      </xdr:nvSpPr>
      <xdr:spPr bwMode="auto">
        <a:xfrm>
          <a:off x="3074670" y="731520"/>
          <a:ext cx="6096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60960</xdr:colOff>
      <xdr:row>4</xdr:row>
      <xdr:rowOff>0</xdr:rowOff>
    </xdr:from>
    <xdr:to>
      <xdr:col>2</xdr:col>
      <xdr:colOff>689610</xdr:colOff>
      <xdr:row>4</xdr:row>
      <xdr:rowOff>0</xdr:rowOff>
    </xdr:to>
    <xdr:sp macro="" textlink="">
      <xdr:nvSpPr>
        <xdr:cNvPr id="4" name="Line 3">
          <a:extLst>
            <a:ext uri="{FF2B5EF4-FFF2-40B4-BE49-F238E27FC236}">
              <a16:creationId xmlns:a16="http://schemas.microsoft.com/office/drawing/2014/main" id="{B04CECDF-72FA-4ACA-BD0D-1880E15CA0AA}"/>
            </a:ext>
          </a:extLst>
        </xdr:cNvPr>
        <xdr:cNvSpPr>
          <a:spLocks noChangeShapeType="1"/>
        </xdr:cNvSpPr>
      </xdr:nvSpPr>
      <xdr:spPr bwMode="auto">
        <a:xfrm>
          <a:off x="2289810" y="731520"/>
          <a:ext cx="6286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15240</xdr:colOff>
      <xdr:row>4</xdr:row>
      <xdr:rowOff>0</xdr:rowOff>
    </xdr:from>
    <xdr:to>
      <xdr:col>11</xdr:col>
      <xdr:colOff>0</xdr:colOff>
      <xdr:row>4</xdr:row>
      <xdr:rowOff>0</xdr:rowOff>
    </xdr:to>
    <xdr:sp macro="" textlink="">
      <xdr:nvSpPr>
        <xdr:cNvPr id="5" name="Line 4">
          <a:extLst>
            <a:ext uri="{FF2B5EF4-FFF2-40B4-BE49-F238E27FC236}">
              <a16:creationId xmlns:a16="http://schemas.microsoft.com/office/drawing/2014/main" id="{07D97AFA-5650-496E-8609-0297FC590086}"/>
            </a:ext>
          </a:extLst>
        </xdr:cNvPr>
        <xdr:cNvSpPr>
          <a:spLocks noChangeShapeType="1"/>
        </xdr:cNvSpPr>
      </xdr:nvSpPr>
      <xdr:spPr bwMode="auto">
        <a:xfrm>
          <a:off x="3775710" y="731520"/>
          <a:ext cx="534543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xdr:colOff>
      <xdr:row>4</xdr:row>
      <xdr:rowOff>0</xdr:rowOff>
    </xdr:from>
    <xdr:to>
      <xdr:col>1</xdr:col>
      <xdr:colOff>1165860</xdr:colOff>
      <xdr:row>4</xdr:row>
      <xdr:rowOff>0</xdr:rowOff>
    </xdr:to>
    <xdr:sp macro="" textlink="">
      <xdr:nvSpPr>
        <xdr:cNvPr id="6" name="Line 5">
          <a:extLst>
            <a:ext uri="{FF2B5EF4-FFF2-40B4-BE49-F238E27FC236}">
              <a16:creationId xmlns:a16="http://schemas.microsoft.com/office/drawing/2014/main" id="{C9D66EC5-2FC3-4F2C-A69C-BDF4E87EB958}"/>
            </a:ext>
          </a:extLst>
        </xdr:cNvPr>
        <xdr:cNvSpPr>
          <a:spLocks noChangeShapeType="1"/>
        </xdr:cNvSpPr>
      </xdr:nvSpPr>
      <xdr:spPr bwMode="auto">
        <a:xfrm>
          <a:off x="640080" y="731520"/>
          <a:ext cx="115443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8</xdr:col>
      <xdr:colOff>643201</xdr:colOff>
      <xdr:row>16</xdr:row>
      <xdr:rowOff>4991</xdr:rowOff>
    </xdr:from>
    <xdr:ext cx="494366" cy="209160"/>
    <xdr:sp macro="" textlink="">
      <xdr:nvSpPr>
        <xdr:cNvPr id="8" name="Text Box 12">
          <a:extLst>
            <a:ext uri="{FF2B5EF4-FFF2-40B4-BE49-F238E27FC236}">
              <a16:creationId xmlns:a16="http://schemas.microsoft.com/office/drawing/2014/main" id="{360596E1-1CF9-4CAB-BE49-1D54B8B66FC4}"/>
            </a:ext>
          </a:extLst>
        </xdr:cNvPr>
        <xdr:cNvSpPr txBox="1">
          <a:spLocks noChangeArrowheads="1"/>
        </xdr:cNvSpPr>
      </xdr:nvSpPr>
      <xdr:spPr bwMode="auto">
        <a:xfrm>
          <a:off x="7479837" y="2707598"/>
          <a:ext cx="494366"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$10.606</a:t>
          </a:r>
        </a:p>
      </xdr:txBody>
    </xdr:sp>
    <xdr:clientData/>
  </xdr:oneCellAnchor>
  <xdr:twoCellAnchor>
    <xdr:from>
      <xdr:col>5</xdr:col>
      <xdr:colOff>662335</xdr:colOff>
      <xdr:row>12</xdr:row>
      <xdr:rowOff>15240</xdr:rowOff>
    </xdr:from>
    <xdr:to>
      <xdr:col>5</xdr:col>
      <xdr:colOff>707766</xdr:colOff>
      <xdr:row>28</xdr:row>
      <xdr:rowOff>0</xdr:rowOff>
    </xdr:to>
    <xdr:sp macro="" textlink="">
      <xdr:nvSpPr>
        <xdr:cNvPr id="9" name="Rectangle 14">
          <a:extLst>
            <a:ext uri="{FF2B5EF4-FFF2-40B4-BE49-F238E27FC236}">
              <a16:creationId xmlns:a16="http://schemas.microsoft.com/office/drawing/2014/main" id="{E83265DA-70D0-4232-9A46-A784A2180A95}"/>
            </a:ext>
          </a:extLst>
        </xdr:cNvPr>
        <xdr:cNvSpPr>
          <a:spLocks noChangeArrowheads="1"/>
        </xdr:cNvSpPr>
      </xdr:nvSpPr>
      <xdr:spPr bwMode="auto">
        <a:xfrm>
          <a:off x="5319793" y="2055548"/>
          <a:ext cx="45431" cy="2605471"/>
        </a:xfrm>
        <a:prstGeom prst="rect">
          <a:avLst/>
        </a:prstGeom>
        <a:solidFill>
          <a:schemeClr val="accent5">
            <a:lumMod val="40000"/>
            <a:lumOff val="60000"/>
          </a:schemeClr>
        </a:solidFill>
        <a:ln w="9525">
          <a:solidFill>
            <a:srgbClr val="000000"/>
          </a:solidFill>
          <a:miter lim="800000"/>
          <a:headEnd/>
          <a:tailEnd/>
        </a:ln>
      </xdr:spPr>
      <xdr:txBody>
        <a:bodyPr/>
        <a:lstStyle/>
        <a:p>
          <a:endParaRPr lang="en-US"/>
        </a:p>
      </xdr:txBody>
    </xdr:sp>
    <xdr:clientData/>
  </xdr:twoCellAnchor>
  <xdr:oneCellAnchor>
    <xdr:from>
      <xdr:col>5</xdr:col>
      <xdr:colOff>439720</xdr:colOff>
      <xdr:row>27</xdr:row>
      <xdr:rowOff>156672</xdr:rowOff>
    </xdr:from>
    <xdr:ext cx="507441" cy="216780"/>
    <xdr:sp macro="" textlink="">
      <xdr:nvSpPr>
        <xdr:cNvPr id="10" name="Text Box 15">
          <a:extLst>
            <a:ext uri="{FF2B5EF4-FFF2-40B4-BE49-F238E27FC236}">
              <a16:creationId xmlns:a16="http://schemas.microsoft.com/office/drawing/2014/main" id="{2874BF9A-25EE-4112-AA96-790BD9757348}"/>
            </a:ext>
          </a:extLst>
        </xdr:cNvPr>
        <xdr:cNvSpPr txBox="1">
          <a:spLocks noChangeArrowheads="1"/>
        </xdr:cNvSpPr>
      </xdr:nvSpPr>
      <xdr:spPr bwMode="auto">
        <a:xfrm>
          <a:off x="4979673" y="4653896"/>
          <a:ext cx="507441" cy="216780"/>
        </a:xfrm>
        <a:prstGeom prst="rect">
          <a:avLst/>
        </a:prstGeom>
        <a:solidFill>
          <a:schemeClr val="accent5">
            <a:lumMod val="40000"/>
            <a:lumOff val="60000"/>
          </a:schemeClr>
        </a:solidFill>
        <a:ln w="9525">
          <a:noFill/>
          <a:miter lim="800000"/>
          <a:headEnd/>
          <a:tailEnd/>
        </a:ln>
      </xdr:spPr>
      <xdr:txBody>
        <a:bodyPr wrap="none" lIns="27432" tIns="36576" rIns="0" bIns="0" anchor="t" upright="1">
          <a:noAutofit/>
        </a:bodyPr>
        <a:lstStyle/>
        <a:p>
          <a:pPr algn="l" rtl="0">
            <a:defRPr sz="1000"/>
          </a:pPr>
          <a:r>
            <a:rPr lang="es-ES" sz="1000" b="1" i="1" u="none" strike="noStrike" baseline="0">
              <a:solidFill>
                <a:srgbClr val="000000"/>
              </a:solidFill>
              <a:latin typeface="Calibri"/>
              <a:cs typeface="Calibri"/>
            </a:rPr>
            <a:t>$315.00</a:t>
          </a:r>
        </a:p>
      </xdr:txBody>
    </xdr:sp>
    <xdr:clientData/>
  </xdr:oneCellAnchor>
  <xdr:oneCellAnchor>
    <xdr:from>
      <xdr:col>2</xdr:col>
      <xdr:colOff>471170</xdr:colOff>
      <xdr:row>18</xdr:row>
      <xdr:rowOff>19050</xdr:rowOff>
    </xdr:from>
    <xdr:ext cx="650661" cy="220569"/>
    <xdr:sp macro="" textlink="">
      <xdr:nvSpPr>
        <xdr:cNvPr id="11" name="Text Box 13">
          <a:extLst>
            <a:ext uri="{FF2B5EF4-FFF2-40B4-BE49-F238E27FC236}">
              <a16:creationId xmlns:a16="http://schemas.microsoft.com/office/drawing/2014/main" id="{28AFF5A9-0889-43FC-ADC8-AA31062EB59C}"/>
            </a:ext>
          </a:extLst>
        </xdr:cNvPr>
        <xdr:cNvSpPr txBox="1">
          <a:spLocks noChangeArrowheads="1"/>
        </xdr:cNvSpPr>
      </xdr:nvSpPr>
      <xdr:spPr bwMode="auto">
        <a:xfrm>
          <a:off x="2700020" y="3417570"/>
          <a:ext cx="650661" cy="220569"/>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0" i="0" u="none" strike="noStrike" baseline="0">
              <a:solidFill>
                <a:srgbClr val="FFFFFF"/>
              </a:solidFill>
              <a:latin typeface="Calibri"/>
              <a:cs typeface="Calibri"/>
            </a:rPr>
            <a:t>mid= $136</a:t>
          </a:r>
        </a:p>
      </xdr:txBody>
    </xdr:sp>
    <xdr:clientData/>
  </xdr:oneCellAnchor>
  <xdr:oneCellAnchor>
    <xdr:from>
      <xdr:col>2</xdr:col>
      <xdr:colOff>230962</xdr:colOff>
      <xdr:row>12</xdr:row>
      <xdr:rowOff>115243</xdr:rowOff>
    </xdr:from>
    <xdr:ext cx="422873" cy="209160"/>
    <xdr:sp macro="" textlink="">
      <xdr:nvSpPr>
        <xdr:cNvPr id="14" name="Text Box 18">
          <a:extLst>
            <a:ext uri="{FF2B5EF4-FFF2-40B4-BE49-F238E27FC236}">
              <a16:creationId xmlns:a16="http://schemas.microsoft.com/office/drawing/2014/main" id="{6881FFB7-05D9-4C3E-9B17-A9D35BAFAD89}"/>
            </a:ext>
          </a:extLst>
        </xdr:cNvPr>
        <xdr:cNvSpPr txBox="1">
          <a:spLocks noChangeArrowheads="1"/>
        </xdr:cNvSpPr>
      </xdr:nvSpPr>
      <xdr:spPr bwMode="auto">
        <a:xfrm>
          <a:off x="2591738" y="2155551"/>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$3.625</a:t>
          </a:r>
        </a:p>
      </xdr:txBody>
    </xdr:sp>
    <xdr:clientData/>
  </xdr:oneCellAnchor>
  <xdr:oneCellAnchor>
    <xdr:from>
      <xdr:col>6</xdr:col>
      <xdr:colOff>764189</xdr:colOff>
      <xdr:row>12</xdr:row>
      <xdr:rowOff>118978</xdr:rowOff>
    </xdr:from>
    <xdr:ext cx="422873" cy="209160"/>
    <xdr:sp macro="" textlink="">
      <xdr:nvSpPr>
        <xdr:cNvPr id="15" name="Text Box 19">
          <a:extLst>
            <a:ext uri="{FF2B5EF4-FFF2-40B4-BE49-F238E27FC236}">
              <a16:creationId xmlns:a16="http://schemas.microsoft.com/office/drawing/2014/main" id="{CAD0B174-412F-46B8-ADE2-CDC2ED0A3974}"/>
            </a:ext>
          </a:extLst>
        </xdr:cNvPr>
        <xdr:cNvSpPr txBox="1">
          <a:spLocks noChangeArrowheads="1"/>
        </xdr:cNvSpPr>
      </xdr:nvSpPr>
      <xdr:spPr bwMode="auto">
        <a:xfrm>
          <a:off x="6187208" y="2159286"/>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$8.464</a:t>
          </a:r>
        </a:p>
      </xdr:txBody>
    </xdr:sp>
    <xdr:clientData/>
  </xdr:oneCellAnchor>
  <xdr:oneCellAnchor>
    <xdr:from>
      <xdr:col>2</xdr:col>
      <xdr:colOff>723979</xdr:colOff>
      <xdr:row>12</xdr:row>
      <xdr:rowOff>131415</xdr:rowOff>
    </xdr:from>
    <xdr:ext cx="407356" cy="177806"/>
    <xdr:sp macro="" textlink="">
      <xdr:nvSpPr>
        <xdr:cNvPr id="16" name="Text Box 20">
          <a:extLst>
            <a:ext uri="{FF2B5EF4-FFF2-40B4-BE49-F238E27FC236}">
              <a16:creationId xmlns:a16="http://schemas.microsoft.com/office/drawing/2014/main" id="{5DBEA81D-9BC8-4858-ABC7-3204C3450771}"/>
            </a:ext>
          </a:extLst>
        </xdr:cNvPr>
        <xdr:cNvSpPr txBox="1">
          <a:spLocks noChangeArrowheads="1"/>
        </xdr:cNvSpPr>
      </xdr:nvSpPr>
      <xdr:spPr bwMode="auto">
        <a:xfrm>
          <a:off x="2967250" y="2171723"/>
          <a:ext cx="407356" cy="177806"/>
        </a:xfrm>
        <a:prstGeom prst="rect">
          <a:avLst/>
        </a:prstGeom>
        <a:noFill/>
        <a:ln w="9525">
          <a:noFill/>
          <a:miter lim="800000"/>
          <a:headEnd/>
          <a:tailEnd/>
        </a:ln>
      </xdr:spPr>
      <xdr:txBody>
        <a:bodyPr wrap="none" lIns="27432" tIns="36576" rIns="0" bIns="0" anchor="t" upright="1">
          <a:spAutoFit/>
        </a:bodyPr>
        <a:lstStyle/>
        <a:p>
          <a:pPr algn="l" rtl="0">
            <a:defRPr sz="1000"/>
          </a:pPr>
          <a:r>
            <a:rPr lang="es-ES" sz="900" b="0" i="1" u="none" strike="noStrike" baseline="0">
              <a:solidFill>
                <a:srgbClr val="FFFFFF"/>
              </a:solidFill>
              <a:latin typeface="Calibri"/>
              <a:cs typeface="Calibri"/>
            </a:rPr>
            <a:t>$159,55</a:t>
          </a:r>
        </a:p>
      </xdr:txBody>
    </xdr:sp>
    <xdr:clientData/>
  </xdr:oneCellAnchor>
  <xdr:oneCellAnchor>
    <xdr:from>
      <xdr:col>3</xdr:col>
      <xdr:colOff>370908</xdr:colOff>
      <xdr:row>26</xdr:row>
      <xdr:rowOff>4551</xdr:rowOff>
    </xdr:from>
    <xdr:ext cx="420756" cy="209160"/>
    <xdr:sp macro="" textlink="">
      <xdr:nvSpPr>
        <xdr:cNvPr id="20" name="Text Box 6">
          <a:extLst>
            <a:ext uri="{FF2B5EF4-FFF2-40B4-BE49-F238E27FC236}">
              <a16:creationId xmlns:a16="http://schemas.microsoft.com/office/drawing/2014/main" id="{BCA4CD6A-D95B-4159-84DC-6D3C03BDC716}"/>
            </a:ext>
          </a:extLst>
        </xdr:cNvPr>
        <xdr:cNvSpPr txBox="1">
          <a:spLocks noChangeArrowheads="1"/>
        </xdr:cNvSpPr>
      </xdr:nvSpPr>
      <xdr:spPr bwMode="auto">
        <a:xfrm>
          <a:off x="3379740" y="4337981"/>
          <a:ext cx="420756"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$5.014</a:t>
          </a:r>
        </a:p>
      </xdr:txBody>
    </xdr:sp>
    <xdr:clientData/>
  </xdr:oneCellAnchor>
  <xdr:oneCellAnchor>
    <xdr:from>
      <xdr:col>4</xdr:col>
      <xdr:colOff>716128</xdr:colOff>
      <xdr:row>26</xdr:row>
      <xdr:rowOff>18236</xdr:rowOff>
    </xdr:from>
    <xdr:ext cx="420756" cy="209160"/>
    <xdr:sp macro="" textlink="">
      <xdr:nvSpPr>
        <xdr:cNvPr id="21" name="Text Box 22">
          <a:extLst>
            <a:ext uri="{FF2B5EF4-FFF2-40B4-BE49-F238E27FC236}">
              <a16:creationId xmlns:a16="http://schemas.microsoft.com/office/drawing/2014/main" id="{0586D57A-36D4-4267-B7AA-DA4B699CF9B2}"/>
            </a:ext>
          </a:extLst>
        </xdr:cNvPr>
        <xdr:cNvSpPr txBox="1">
          <a:spLocks noChangeArrowheads="1"/>
        </xdr:cNvSpPr>
      </xdr:nvSpPr>
      <xdr:spPr bwMode="auto">
        <a:xfrm>
          <a:off x="4490521" y="4358787"/>
          <a:ext cx="420756"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$5.973</a:t>
          </a:r>
        </a:p>
      </xdr:txBody>
    </xdr:sp>
    <xdr:clientData/>
  </xdr:oneCellAnchor>
  <xdr:oneCellAnchor>
    <xdr:from>
      <xdr:col>3</xdr:col>
      <xdr:colOff>333558</xdr:colOff>
      <xdr:row>22</xdr:row>
      <xdr:rowOff>112063</xdr:rowOff>
    </xdr:from>
    <xdr:ext cx="422873" cy="209160"/>
    <xdr:sp macro="" textlink="">
      <xdr:nvSpPr>
        <xdr:cNvPr id="25" name="Text Box 26">
          <a:extLst>
            <a:ext uri="{FF2B5EF4-FFF2-40B4-BE49-F238E27FC236}">
              <a16:creationId xmlns:a16="http://schemas.microsoft.com/office/drawing/2014/main" id="{E3C37B4E-A352-4A16-A759-17BA8475BCDE}"/>
            </a:ext>
          </a:extLst>
        </xdr:cNvPr>
        <xdr:cNvSpPr txBox="1">
          <a:spLocks noChangeArrowheads="1"/>
        </xdr:cNvSpPr>
      </xdr:nvSpPr>
      <xdr:spPr bwMode="auto">
        <a:xfrm>
          <a:off x="3342906" y="3859943"/>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$4.927</a:t>
          </a:r>
        </a:p>
      </xdr:txBody>
    </xdr:sp>
    <xdr:clientData/>
  </xdr:oneCellAnchor>
  <xdr:oneCellAnchor>
    <xdr:from>
      <xdr:col>5</xdr:col>
      <xdr:colOff>7757</xdr:colOff>
      <xdr:row>22</xdr:row>
      <xdr:rowOff>117087</xdr:rowOff>
    </xdr:from>
    <xdr:ext cx="422873" cy="209160"/>
    <xdr:sp macro="" textlink="">
      <xdr:nvSpPr>
        <xdr:cNvPr id="26" name="Text Box 26">
          <a:extLst>
            <a:ext uri="{FF2B5EF4-FFF2-40B4-BE49-F238E27FC236}">
              <a16:creationId xmlns:a16="http://schemas.microsoft.com/office/drawing/2014/main" id="{C5A37249-9C4D-4840-9BB7-6BA7843B0673}"/>
            </a:ext>
          </a:extLst>
        </xdr:cNvPr>
        <xdr:cNvSpPr txBox="1">
          <a:spLocks noChangeArrowheads="1"/>
        </xdr:cNvSpPr>
      </xdr:nvSpPr>
      <xdr:spPr bwMode="auto">
        <a:xfrm>
          <a:off x="4549387" y="3864967"/>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$6.087</a:t>
          </a:r>
        </a:p>
      </xdr:txBody>
    </xdr:sp>
    <xdr:clientData/>
  </xdr:oneCellAnchor>
  <xdr:oneCellAnchor>
    <xdr:from>
      <xdr:col>5</xdr:col>
      <xdr:colOff>99748</xdr:colOff>
      <xdr:row>16</xdr:row>
      <xdr:rowOff>23217</xdr:rowOff>
    </xdr:from>
    <xdr:ext cx="419446" cy="177806"/>
    <xdr:sp macro="" textlink="">
      <xdr:nvSpPr>
        <xdr:cNvPr id="29" name="Text Box 20">
          <a:extLst>
            <a:ext uri="{FF2B5EF4-FFF2-40B4-BE49-F238E27FC236}">
              <a16:creationId xmlns:a16="http://schemas.microsoft.com/office/drawing/2014/main" id="{20581666-EFE9-494C-804D-4905F1B766FE}"/>
            </a:ext>
          </a:extLst>
        </xdr:cNvPr>
        <xdr:cNvSpPr txBox="1">
          <a:spLocks noChangeArrowheads="1"/>
        </xdr:cNvSpPr>
      </xdr:nvSpPr>
      <xdr:spPr bwMode="auto">
        <a:xfrm>
          <a:off x="4639701" y="2725824"/>
          <a:ext cx="419446" cy="177806"/>
        </a:xfrm>
        <a:prstGeom prst="rect">
          <a:avLst/>
        </a:prstGeom>
        <a:noFill/>
        <a:ln w="9525">
          <a:noFill/>
          <a:miter lim="800000"/>
          <a:headEnd/>
          <a:tailEnd/>
        </a:ln>
      </xdr:spPr>
      <xdr:txBody>
        <a:bodyPr wrap="square" lIns="27432" tIns="36576" rIns="0" bIns="0" anchor="t" upright="1">
          <a:spAutoFit/>
        </a:bodyPr>
        <a:lstStyle/>
        <a:p>
          <a:pPr algn="l" rtl="0">
            <a:defRPr sz="1000"/>
          </a:pPr>
          <a:r>
            <a:rPr lang="es-ES" sz="900" b="0" i="1" u="none" strike="noStrike" baseline="0">
              <a:solidFill>
                <a:srgbClr val="FFFFFF"/>
              </a:solidFill>
              <a:latin typeface="Calibri"/>
              <a:cs typeface="Calibri"/>
            </a:rPr>
            <a:t>$273,16</a:t>
          </a:r>
        </a:p>
      </xdr:txBody>
    </xdr:sp>
    <xdr:clientData/>
  </xdr:oneCellAnchor>
  <xdr:oneCellAnchor>
    <xdr:from>
      <xdr:col>8</xdr:col>
      <xdr:colOff>174481</xdr:colOff>
      <xdr:row>16</xdr:row>
      <xdr:rowOff>16038</xdr:rowOff>
    </xdr:from>
    <xdr:ext cx="429356" cy="177806"/>
    <xdr:sp macro="" textlink="">
      <xdr:nvSpPr>
        <xdr:cNvPr id="30" name="Text Box 20">
          <a:extLst>
            <a:ext uri="{FF2B5EF4-FFF2-40B4-BE49-F238E27FC236}">
              <a16:creationId xmlns:a16="http://schemas.microsoft.com/office/drawing/2014/main" id="{32BC541F-B12E-4543-B05D-77C64C6B86E2}"/>
            </a:ext>
          </a:extLst>
        </xdr:cNvPr>
        <xdr:cNvSpPr txBox="1">
          <a:spLocks noChangeArrowheads="1"/>
        </xdr:cNvSpPr>
      </xdr:nvSpPr>
      <xdr:spPr bwMode="auto">
        <a:xfrm>
          <a:off x="7011117" y="2718645"/>
          <a:ext cx="429356" cy="177806"/>
        </a:xfrm>
        <a:prstGeom prst="rect">
          <a:avLst/>
        </a:prstGeom>
        <a:noFill/>
        <a:ln w="9525">
          <a:noFill/>
          <a:miter lim="800000"/>
          <a:headEnd/>
          <a:tailEnd/>
        </a:ln>
      </xdr:spPr>
      <xdr:txBody>
        <a:bodyPr wrap="square" lIns="27432" tIns="36576" rIns="0" bIns="0" anchor="t" upright="1">
          <a:spAutoFit/>
        </a:bodyPr>
        <a:lstStyle/>
        <a:p>
          <a:pPr algn="l" rtl="0">
            <a:defRPr sz="1000"/>
          </a:pPr>
          <a:r>
            <a:rPr lang="es-ES" sz="900" b="0" i="1" u="none" strike="noStrike" baseline="0">
              <a:solidFill>
                <a:srgbClr val="FFFFFF"/>
              </a:solidFill>
              <a:latin typeface="Calibri"/>
              <a:cs typeface="Calibri"/>
            </a:rPr>
            <a:t>$467,19</a:t>
          </a:r>
        </a:p>
      </xdr:txBody>
    </xdr:sp>
    <xdr:clientData/>
  </xdr:oneCellAnchor>
  <xdr:oneCellAnchor>
    <xdr:from>
      <xdr:col>6</xdr:col>
      <xdr:colOff>311357</xdr:colOff>
      <xdr:row>12</xdr:row>
      <xdr:rowOff>127605</xdr:rowOff>
    </xdr:from>
    <xdr:ext cx="407356" cy="177806"/>
    <xdr:sp macro="" textlink="">
      <xdr:nvSpPr>
        <xdr:cNvPr id="31" name="Text Box 20">
          <a:extLst>
            <a:ext uri="{FF2B5EF4-FFF2-40B4-BE49-F238E27FC236}">
              <a16:creationId xmlns:a16="http://schemas.microsoft.com/office/drawing/2014/main" id="{74A5F08A-358D-4A0C-9B33-F8A08455CC09}"/>
            </a:ext>
          </a:extLst>
        </xdr:cNvPr>
        <xdr:cNvSpPr txBox="1">
          <a:spLocks noChangeArrowheads="1"/>
        </xdr:cNvSpPr>
      </xdr:nvSpPr>
      <xdr:spPr bwMode="auto">
        <a:xfrm>
          <a:off x="5616871" y="2175035"/>
          <a:ext cx="407356" cy="177806"/>
        </a:xfrm>
        <a:prstGeom prst="rect">
          <a:avLst/>
        </a:prstGeom>
        <a:noFill/>
        <a:ln w="9525">
          <a:noFill/>
          <a:miter lim="800000"/>
          <a:headEnd/>
          <a:tailEnd/>
        </a:ln>
      </xdr:spPr>
      <xdr:txBody>
        <a:bodyPr wrap="none" lIns="27432" tIns="36576" rIns="0" bIns="0" anchor="t" upright="1">
          <a:spAutoFit/>
        </a:bodyPr>
        <a:lstStyle/>
        <a:p>
          <a:pPr algn="l" rtl="0">
            <a:defRPr sz="1000"/>
          </a:pPr>
          <a:r>
            <a:rPr lang="es-ES" sz="900" b="0" i="1" u="none" strike="noStrike" baseline="0">
              <a:solidFill>
                <a:srgbClr val="FFFFFF"/>
              </a:solidFill>
              <a:latin typeface="Calibri"/>
              <a:cs typeface="Calibri"/>
            </a:rPr>
            <a:t>$372,47</a:t>
          </a:r>
        </a:p>
      </xdr:txBody>
    </xdr:sp>
    <xdr:clientData/>
  </xdr:oneCellAnchor>
  <xdr:oneCellAnchor>
    <xdr:from>
      <xdr:col>5</xdr:col>
      <xdr:colOff>486317</xdr:colOff>
      <xdr:row>10</xdr:row>
      <xdr:rowOff>54160</xdr:rowOff>
    </xdr:from>
    <xdr:ext cx="380279" cy="381386"/>
    <xdr:sp macro="" textlink="">
      <xdr:nvSpPr>
        <xdr:cNvPr id="34" name="Text Box 15">
          <a:extLst>
            <a:ext uri="{FF2B5EF4-FFF2-40B4-BE49-F238E27FC236}">
              <a16:creationId xmlns:a16="http://schemas.microsoft.com/office/drawing/2014/main" id="{1AABD736-D5A8-4BEE-92D0-ED0F05E9E28D}"/>
            </a:ext>
          </a:extLst>
        </xdr:cNvPr>
        <xdr:cNvSpPr txBox="1">
          <a:spLocks noChangeArrowheads="1"/>
        </xdr:cNvSpPr>
      </xdr:nvSpPr>
      <xdr:spPr bwMode="auto">
        <a:xfrm>
          <a:off x="5143775" y="1766880"/>
          <a:ext cx="380279" cy="381386"/>
        </a:xfrm>
        <a:prstGeom prst="rect">
          <a:avLst/>
        </a:prstGeom>
        <a:solidFill>
          <a:schemeClr val="accent5">
            <a:lumMod val="40000"/>
            <a:lumOff val="60000"/>
          </a:schemeClr>
        </a:solidFill>
        <a:ln w="9525">
          <a:noFill/>
          <a:miter lim="800000"/>
          <a:headEnd/>
          <a:tailEnd/>
        </a:ln>
      </xdr:spPr>
      <xdr:txBody>
        <a:bodyPr wrap="square" lIns="27432" tIns="36576" rIns="0" bIns="0" anchor="t" upright="1">
          <a:spAutoFit/>
        </a:bodyPr>
        <a:lstStyle/>
        <a:p>
          <a:pPr algn="ctr" rtl="0">
            <a:defRPr sz="1000"/>
          </a:pPr>
          <a:r>
            <a:rPr lang="es-ES" sz="1100" b="1" i="0" u="none" strike="noStrike" baseline="0">
              <a:solidFill>
                <a:srgbClr val="000000"/>
              </a:solidFill>
              <a:latin typeface="Calibri"/>
              <a:cs typeface="Calibri"/>
            </a:rPr>
            <a:t>JAB</a:t>
          </a:r>
        </a:p>
        <a:p>
          <a:pPr algn="ctr" rtl="0">
            <a:defRPr sz="1000"/>
          </a:pPr>
          <a:r>
            <a:rPr lang="es-ES" sz="1100" b="1" i="0" u="none" strike="noStrike" baseline="0">
              <a:solidFill>
                <a:srgbClr val="000000"/>
              </a:solidFill>
              <a:latin typeface="Calibri"/>
              <a:cs typeface="Calibri"/>
            </a:rPr>
            <a:t>Price</a:t>
          </a:r>
        </a:p>
      </xdr:txBody>
    </xdr:sp>
    <xdr:clientData/>
  </xdr:oneCellAnchor>
  <xdr:oneCellAnchor>
    <xdr:from>
      <xdr:col>4</xdr:col>
      <xdr:colOff>477307</xdr:colOff>
      <xdr:row>22</xdr:row>
      <xdr:rowOff>131496</xdr:rowOff>
    </xdr:from>
    <xdr:ext cx="261610" cy="177806"/>
    <xdr:sp macro="" textlink="">
      <xdr:nvSpPr>
        <xdr:cNvPr id="37" name="Text Box 21">
          <a:extLst>
            <a:ext uri="{FF2B5EF4-FFF2-40B4-BE49-F238E27FC236}">
              <a16:creationId xmlns:a16="http://schemas.microsoft.com/office/drawing/2014/main" id="{9E3F8049-DB1B-440F-91A8-571ACA1C7851}"/>
            </a:ext>
          </a:extLst>
        </xdr:cNvPr>
        <xdr:cNvSpPr txBox="1">
          <a:spLocks noChangeArrowheads="1"/>
        </xdr:cNvSpPr>
      </xdr:nvSpPr>
      <xdr:spPr bwMode="auto">
        <a:xfrm>
          <a:off x="4252796" y="3879376"/>
          <a:ext cx="261610" cy="177806"/>
        </a:xfrm>
        <a:prstGeom prst="rect">
          <a:avLst/>
        </a:prstGeom>
        <a:noFill/>
        <a:ln w="9525">
          <a:noFill/>
          <a:miter lim="800000"/>
          <a:headEnd/>
          <a:tailEnd/>
        </a:ln>
      </xdr:spPr>
      <xdr:txBody>
        <a:bodyPr wrap="none" lIns="27432" tIns="36576" rIns="0" bIns="0" anchor="t" upright="1">
          <a:spAutoFit/>
        </a:bodyPr>
        <a:lstStyle/>
        <a:p>
          <a:pPr algn="l" rtl="0">
            <a:defRPr sz="1000"/>
          </a:pPr>
          <a:r>
            <a:rPr lang="es-ES" sz="900" b="0" i="0" u="none" strike="noStrike" baseline="0">
              <a:solidFill>
                <a:srgbClr val="FFFFFF"/>
              </a:solidFill>
              <a:latin typeface="Calibri"/>
              <a:cs typeface="Calibri"/>
            </a:rPr>
            <a:t>$268</a:t>
          </a:r>
        </a:p>
      </xdr:txBody>
    </xdr:sp>
    <xdr:clientData/>
  </xdr:oneCellAnchor>
  <xdr:oneCellAnchor>
    <xdr:from>
      <xdr:col>4</xdr:col>
      <xdr:colOff>8797</xdr:colOff>
      <xdr:row>22</xdr:row>
      <xdr:rowOff>128216</xdr:rowOff>
    </xdr:from>
    <xdr:ext cx="261610" cy="177806"/>
    <xdr:sp macro="" textlink="">
      <xdr:nvSpPr>
        <xdr:cNvPr id="38" name="Text Box 21">
          <a:extLst>
            <a:ext uri="{FF2B5EF4-FFF2-40B4-BE49-F238E27FC236}">
              <a16:creationId xmlns:a16="http://schemas.microsoft.com/office/drawing/2014/main" id="{2CBD1E1E-4B33-47E2-907E-0F61F8C1F64E}"/>
            </a:ext>
          </a:extLst>
        </xdr:cNvPr>
        <xdr:cNvSpPr txBox="1">
          <a:spLocks noChangeArrowheads="1"/>
        </xdr:cNvSpPr>
      </xdr:nvSpPr>
      <xdr:spPr bwMode="auto">
        <a:xfrm>
          <a:off x="3784286" y="3876096"/>
          <a:ext cx="261610" cy="177806"/>
        </a:xfrm>
        <a:prstGeom prst="rect">
          <a:avLst/>
        </a:prstGeom>
        <a:noFill/>
        <a:ln w="9525">
          <a:noFill/>
          <a:miter lim="800000"/>
          <a:headEnd/>
          <a:tailEnd/>
        </a:ln>
      </xdr:spPr>
      <xdr:txBody>
        <a:bodyPr wrap="none" lIns="27432" tIns="36576" rIns="0" bIns="0" anchor="t" upright="1">
          <a:spAutoFit/>
        </a:bodyPr>
        <a:lstStyle/>
        <a:p>
          <a:pPr algn="l" rtl="0">
            <a:defRPr sz="1000"/>
          </a:pPr>
          <a:r>
            <a:rPr lang="es-ES" sz="900" b="0" i="0" u="none" strike="noStrike" baseline="0">
              <a:solidFill>
                <a:srgbClr val="FFFFFF"/>
              </a:solidFill>
              <a:latin typeface="Calibri"/>
              <a:cs typeface="Calibri"/>
            </a:rPr>
            <a:t>$217</a:t>
          </a:r>
        </a:p>
      </xdr:txBody>
    </xdr:sp>
    <xdr:clientData/>
  </xdr:oneCellAnchor>
  <xdr:oneCellAnchor>
    <xdr:from>
      <xdr:col>4</xdr:col>
      <xdr:colOff>49372</xdr:colOff>
      <xdr:row>26</xdr:row>
      <xdr:rowOff>18792</xdr:rowOff>
    </xdr:from>
    <xdr:ext cx="419446" cy="177806"/>
    <xdr:sp macro="" textlink="">
      <xdr:nvSpPr>
        <xdr:cNvPr id="39" name="Text Box 20">
          <a:extLst>
            <a:ext uri="{FF2B5EF4-FFF2-40B4-BE49-F238E27FC236}">
              <a16:creationId xmlns:a16="http://schemas.microsoft.com/office/drawing/2014/main" id="{6AA69E7B-74F8-4820-9E07-C75339E00EA4}"/>
            </a:ext>
          </a:extLst>
        </xdr:cNvPr>
        <xdr:cNvSpPr txBox="1">
          <a:spLocks noChangeArrowheads="1"/>
        </xdr:cNvSpPr>
      </xdr:nvSpPr>
      <xdr:spPr bwMode="auto">
        <a:xfrm>
          <a:off x="3824861" y="4429281"/>
          <a:ext cx="419446" cy="177806"/>
        </a:xfrm>
        <a:prstGeom prst="rect">
          <a:avLst/>
        </a:prstGeom>
        <a:noFill/>
        <a:ln w="9525">
          <a:noFill/>
          <a:miter lim="800000"/>
          <a:headEnd/>
          <a:tailEnd/>
        </a:ln>
      </xdr:spPr>
      <xdr:txBody>
        <a:bodyPr wrap="square" lIns="27432" tIns="36576" rIns="0" bIns="0" anchor="t" upright="1">
          <a:spAutoFit/>
        </a:bodyPr>
        <a:lstStyle/>
        <a:p>
          <a:pPr algn="l" rtl="0">
            <a:defRPr sz="1000"/>
          </a:pPr>
          <a:r>
            <a:rPr lang="es-ES" sz="900" b="0" i="0" u="none" strike="noStrike" baseline="0">
              <a:solidFill>
                <a:srgbClr val="FFFFFF"/>
              </a:solidFill>
              <a:latin typeface="Calibri"/>
              <a:cs typeface="Calibri"/>
            </a:rPr>
            <a:t>$221</a:t>
          </a:r>
        </a:p>
      </xdr:txBody>
    </xdr:sp>
    <xdr:clientData/>
  </xdr:oneCellAnchor>
  <xdr:oneCellAnchor>
    <xdr:from>
      <xdr:col>4</xdr:col>
      <xdr:colOff>413045</xdr:colOff>
      <xdr:row>26</xdr:row>
      <xdr:rowOff>25567</xdr:rowOff>
    </xdr:from>
    <xdr:ext cx="449421" cy="177806"/>
    <xdr:sp macro="" textlink="">
      <xdr:nvSpPr>
        <xdr:cNvPr id="40" name="Text Box 20">
          <a:extLst>
            <a:ext uri="{FF2B5EF4-FFF2-40B4-BE49-F238E27FC236}">
              <a16:creationId xmlns:a16="http://schemas.microsoft.com/office/drawing/2014/main" id="{8FB263AC-6FF8-49AC-815B-AE80252B8ACB}"/>
            </a:ext>
          </a:extLst>
        </xdr:cNvPr>
        <xdr:cNvSpPr txBox="1">
          <a:spLocks noChangeArrowheads="1"/>
        </xdr:cNvSpPr>
      </xdr:nvSpPr>
      <xdr:spPr bwMode="auto">
        <a:xfrm>
          <a:off x="4187438" y="4366118"/>
          <a:ext cx="449421" cy="177806"/>
        </a:xfrm>
        <a:prstGeom prst="rect">
          <a:avLst/>
        </a:prstGeom>
        <a:noFill/>
        <a:ln w="9525">
          <a:noFill/>
          <a:miter lim="800000"/>
          <a:headEnd/>
          <a:tailEnd/>
        </a:ln>
      </xdr:spPr>
      <xdr:txBody>
        <a:bodyPr wrap="square" lIns="27432" tIns="36576" rIns="0" bIns="0" anchor="t" upright="1">
          <a:spAutoFit/>
        </a:bodyPr>
        <a:lstStyle/>
        <a:p>
          <a:pPr algn="l" rtl="0">
            <a:defRPr sz="1000"/>
          </a:pPr>
          <a:r>
            <a:rPr lang="es-ES" sz="900" b="0" i="0" u="none" strike="noStrike" baseline="0">
              <a:solidFill>
                <a:srgbClr val="FFFFFF"/>
              </a:solidFill>
              <a:latin typeface="Calibri"/>
              <a:cs typeface="Calibri"/>
            </a:rPr>
            <a:t>$263</a:t>
          </a:r>
        </a:p>
      </xdr:txBody>
    </xdr:sp>
    <xdr:clientData/>
  </xdr:oneCellAnchor>
  <xdr:oneCellAnchor>
    <xdr:from>
      <xdr:col>5</xdr:col>
      <xdr:colOff>734581</xdr:colOff>
      <xdr:row>19</xdr:row>
      <xdr:rowOff>81480</xdr:rowOff>
    </xdr:from>
    <xdr:ext cx="422873" cy="209160"/>
    <xdr:sp macro="" textlink="">
      <xdr:nvSpPr>
        <xdr:cNvPr id="44" name="Text Box 26">
          <a:extLst>
            <a:ext uri="{FF2B5EF4-FFF2-40B4-BE49-F238E27FC236}">
              <a16:creationId xmlns:a16="http://schemas.microsoft.com/office/drawing/2014/main" id="{94A3C2A4-2E39-411E-AD34-3BDAE414225A}"/>
            </a:ext>
          </a:extLst>
        </xdr:cNvPr>
        <xdr:cNvSpPr txBox="1">
          <a:spLocks noChangeArrowheads="1"/>
        </xdr:cNvSpPr>
      </xdr:nvSpPr>
      <xdr:spPr bwMode="auto">
        <a:xfrm>
          <a:off x="5392039" y="3268349"/>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$7.049</a:t>
          </a:r>
        </a:p>
      </xdr:txBody>
    </xdr:sp>
    <xdr:clientData/>
  </xdr:oneCellAnchor>
  <xdr:oneCellAnchor>
    <xdr:from>
      <xdr:col>5</xdr:col>
      <xdr:colOff>26851</xdr:colOff>
      <xdr:row>19</xdr:row>
      <xdr:rowOff>85426</xdr:rowOff>
    </xdr:from>
    <xdr:ext cx="261610" cy="177806"/>
    <xdr:sp macro="" textlink="">
      <xdr:nvSpPr>
        <xdr:cNvPr id="45" name="Text Box 21">
          <a:extLst>
            <a:ext uri="{FF2B5EF4-FFF2-40B4-BE49-F238E27FC236}">
              <a16:creationId xmlns:a16="http://schemas.microsoft.com/office/drawing/2014/main" id="{15A32756-169A-4FE8-AAC1-89ED1D4F93BF}"/>
            </a:ext>
          </a:extLst>
        </xdr:cNvPr>
        <xdr:cNvSpPr txBox="1">
          <a:spLocks noChangeArrowheads="1"/>
        </xdr:cNvSpPr>
      </xdr:nvSpPr>
      <xdr:spPr bwMode="auto">
        <a:xfrm>
          <a:off x="4684309" y="3272295"/>
          <a:ext cx="261610" cy="177806"/>
        </a:xfrm>
        <a:prstGeom prst="rect">
          <a:avLst/>
        </a:prstGeom>
        <a:noFill/>
        <a:ln w="9525">
          <a:noFill/>
          <a:miter lim="800000"/>
          <a:headEnd/>
          <a:tailEnd/>
        </a:ln>
      </xdr:spPr>
      <xdr:txBody>
        <a:bodyPr wrap="none" lIns="27432" tIns="36576" rIns="0" bIns="0" anchor="t" upright="1">
          <a:spAutoFit/>
        </a:bodyPr>
        <a:lstStyle/>
        <a:p>
          <a:pPr algn="l" rtl="0">
            <a:defRPr sz="1000"/>
          </a:pPr>
          <a:r>
            <a:rPr lang="es-ES" sz="900" b="0" i="0" u="none" strike="noStrike" baseline="0">
              <a:solidFill>
                <a:srgbClr val="FFFFFF"/>
              </a:solidFill>
              <a:latin typeface="Calibri"/>
              <a:cs typeface="Calibri"/>
            </a:rPr>
            <a:t>$271</a:t>
          </a:r>
        </a:p>
      </xdr:txBody>
    </xdr:sp>
    <xdr:clientData/>
  </xdr:oneCellAnchor>
  <xdr:oneCellAnchor>
    <xdr:from>
      <xdr:col>5</xdr:col>
      <xdr:colOff>351779</xdr:colOff>
      <xdr:row>19</xdr:row>
      <xdr:rowOff>85487</xdr:rowOff>
    </xdr:from>
    <xdr:ext cx="261610" cy="177806"/>
    <xdr:sp macro="" textlink="">
      <xdr:nvSpPr>
        <xdr:cNvPr id="46" name="Text Box 21">
          <a:extLst>
            <a:ext uri="{FF2B5EF4-FFF2-40B4-BE49-F238E27FC236}">
              <a16:creationId xmlns:a16="http://schemas.microsoft.com/office/drawing/2014/main" id="{4ED222C9-A7AA-41C9-ADBF-4CBE9BBED51B}"/>
            </a:ext>
          </a:extLst>
        </xdr:cNvPr>
        <xdr:cNvSpPr txBox="1">
          <a:spLocks noChangeArrowheads="1"/>
        </xdr:cNvSpPr>
      </xdr:nvSpPr>
      <xdr:spPr bwMode="auto">
        <a:xfrm>
          <a:off x="5009237" y="3272356"/>
          <a:ext cx="261610" cy="177806"/>
        </a:xfrm>
        <a:prstGeom prst="rect">
          <a:avLst/>
        </a:prstGeom>
        <a:noFill/>
        <a:ln w="9525">
          <a:noFill/>
          <a:miter lim="800000"/>
          <a:headEnd/>
          <a:tailEnd/>
        </a:ln>
      </xdr:spPr>
      <xdr:txBody>
        <a:bodyPr wrap="none" lIns="27432" tIns="36576" rIns="0" bIns="0" anchor="t" upright="1">
          <a:spAutoFit/>
        </a:bodyPr>
        <a:lstStyle/>
        <a:p>
          <a:pPr algn="l" rtl="0">
            <a:defRPr sz="1000"/>
          </a:pPr>
          <a:r>
            <a:rPr lang="es-ES" sz="900" b="0" i="0" u="none" strike="noStrike" baseline="0">
              <a:solidFill>
                <a:srgbClr val="FFFFFF"/>
              </a:solidFill>
              <a:latin typeface="Calibri"/>
              <a:cs typeface="Calibri"/>
            </a:rPr>
            <a:t>$310</a:t>
          </a:r>
        </a:p>
      </xdr:txBody>
    </xdr:sp>
    <xdr:clientData/>
  </xdr:oneCellAnchor>
  <xdr:twoCellAnchor>
    <xdr:from>
      <xdr:col>4</xdr:col>
      <xdr:colOff>405960</xdr:colOff>
      <xdr:row>12</xdr:row>
      <xdr:rowOff>15240</xdr:rowOff>
    </xdr:from>
    <xdr:to>
      <xdr:col>4</xdr:col>
      <xdr:colOff>451391</xdr:colOff>
      <xdr:row>28</xdr:row>
      <xdr:rowOff>0</xdr:rowOff>
    </xdr:to>
    <xdr:sp macro="" textlink="">
      <xdr:nvSpPr>
        <xdr:cNvPr id="32" name="Rectangle 14">
          <a:extLst>
            <a:ext uri="{FF2B5EF4-FFF2-40B4-BE49-F238E27FC236}">
              <a16:creationId xmlns:a16="http://schemas.microsoft.com/office/drawing/2014/main" id="{ED8E144A-F759-4CCB-98B6-ABC81559BA0F}"/>
            </a:ext>
          </a:extLst>
        </xdr:cNvPr>
        <xdr:cNvSpPr>
          <a:spLocks noChangeArrowheads="1"/>
        </xdr:cNvSpPr>
      </xdr:nvSpPr>
      <xdr:spPr bwMode="auto">
        <a:xfrm>
          <a:off x="4180353" y="2062670"/>
          <a:ext cx="45431" cy="2605470"/>
        </a:xfrm>
        <a:prstGeom prst="rect">
          <a:avLst/>
        </a:prstGeom>
        <a:solidFill>
          <a:srgbClr val="FFC000"/>
        </a:solidFill>
        <a:ln w="9525">
          <a:solidFill>
            <a:srgbClr val="000000"/>
          </a:solidFill>
          <a:miter lim="800000"/>
          <a:headEnd/>
          <a:tailEnd/>
        </a:ln>
      </xdr:spPr>
      <xdr:txBody>
        <a:bodyPr/>
        <a:lstStyle/>
        <a:p>
          <a:endParaRPr lang="en-US"/>
        </a:p>
      </xdr:txBody>
    </xdr:sp>
    <xdr:clientData/>
  </xdr:twoCellAnchor>
  <xdr:oneCellAnchor>
    <xdr:from>
      <xdr:col>4</xdr:col>
      <xdr:colOff>183345</xdr:colOff>
      <xdr:row>27</xdr:row>
      <xdr:rowOff>156672</xdr:rowOff>
    </xdr:from>
    <xdr:ext cx="507441" cy="216780"/>
    <xdr:sp macro="" textlink="">
      <xdr:nvSpPr>
        <xdr:cNvPr id="33" name="Text Box 15">
          <a:extLst>
            <a:ext uri="{FF2B5EF4-FFF2-40B4-BE49-F238E27FC236}">
              <a16:creationId xmlns:a16="http://schemas.microsoft.com/office/drawing/2014/main" id="{20A662B8-C885-4924-A98F-3BEA6A7C9C88}"/>
            </a:ext>
          </a:extLst>
        </xdr:cNvPr>
        <xdr:cNvSpPr txBox="1">
          <a:spLocks noChangeArrowheads="1"/>
        </xdr:cNvSpPr>
      </xdr:nvSpPr>
      <xdr:spPr bwMode="auto">
        <a:xfrm>
          <a:off x="3957738" y="4661018"/>
          <a:ext cx="507441" cy="216780"/>
        </a:xfrm>
        <a:prstGeom prst="rect">
          <a:avLst/>
        </a:prstGeom>
        <a:solidFill>
          <a:srgbClr val="FFC000"/>
        </a:solidFill>
        <a:ln w="9525">
          <a:noFill/>
          <a:miter lim="800000"/>
          <a:headEnd/>
          <a:tailEnd/>
        </a:ln>
      </xdr:spPr>
      <xdr:txBody>
        <a:bodyPr wrap="none" lIns="27432" tIns="36576" rIns="0" bIns="0" anchor="t" upright="1">
          <a:noAutofit/>
        </a:bodyPr>
        <a:lstStyle/>
        <a:p>
          <a:pPr algn="l" rtl="0">
            <a:defRPr sz="1000"/>
          </a:pPr>
          <a:r>
            <a:rPr lang="es-ES" sz="1000" b="1" i="1" u="none" strike="noStrike" baseline="0">
              <a:solidFill>
                <a:srgbClr val="000000"/>
              </a:solidFill>
              <a:latin typeface="Calibri"/>
              <a:cs typeface="Calibri"/>
            </a:rPr>
            <a:t>$250.00</a:t>
          </a:r>
        </a:p>
      </xdr:txBody>
    </xdr:sp>
    <xdr:clientData/>
  </xdr:oneCellAnchor>
  <xdr:oneCellAnchor>
    <xdr:from>
      <xdr:col>4</xdr:col>
      <xdr:colOff>229942</xdr:colOff>
      <xdr:row>10</xdr:row>
      <xdr:rowOff>54160</xdr:rowOff>
    </xdr:from>
    <xdr:ext cx="380279" cy="381386"/>
    <xdr:sp macro="" textlink="">
      <xdr:nvSpPr>
        <xdr:cNvPr id="35" name="Text Box 15">
          <a:extLst>
            <a:ext uri="{FF2B5EF4-FFF2-40B4-BE49-F238E27FC236}">
              <a16:creationId xmlns:a16="http://schemas.microsoft.com/office/drawing/2014/main" id="{8348247A-F2DE-4E99-809C-5214B7EA0B42}"/>
            </a:ext>
          </a:extLst>
        </xdr:cNvPr>
        <xdr:cNvSpPr txBox="1">
          <a:spLocks noChangeArrowheads="1"/>
        </xdr:cNvSpPr>
      </xdr:nvSpPr>
      <xdr:spPr bwMode="auto">
        <a:xfrm>
          <a:off x="4004335" y="1774001"/>
          <a:ext cx="380279" cy="381386"/>
        </a:xfrm>
        <a:prstGeom prst="rect">
          <a:avLst/>
        </a:prstGeom>
        <a:solidFill>
          <a:srgbClr val="FFC000"/>
        </a:solidFill>
        <a:ln w="9525">
          <a:noFill/>
          <a:miter lim="800000"/>
          <a:headEnd/>
          <a:tailEnd/>
        </a:ln>
      </xdr:spPr>
      <xdr:txBody>
        <a:bodyPr wrap="square" lIns="27432" tIns="36576" rIns="0" bIns="0" anchor="t" upright="1">
          <a:spAutoFit/>
        </a:bodyPr>
        <a:lstStyle/>
        <a:p>
          <a:pPr algn="ctr" rtl="0">
            <a:defRPr sz="1000"/>
          </a:pPr>
          <a:r>
            <a:rPr lang="es-ES" sz="1100" b="1" i="0" u="none" strike="noStrike" baseline="0">
              <a:solidFill>
                <a:srgbClr val="000000"/>
              </a:solidFill>
              <a:latin typeface="Calibri"/>
              <a:cs typeface="Calibri"/>
            </a:rPr>
            <a:t>Wall St.</a:t>
          </a:r>
        </a:p>
      </xdr:txBody>
    </xdr:sp>
    <xdr:clientData/>
  </xdr:oneCellAnchor>
  <xdr:oneCellAnchor>
    <xdr:from>
      <xdr:col>4</xdr:col>
      <xdr:colOff>413026</xdr:colOff>
      <xdr:row>16</xdr:row>
      <xdr:rowOff>10828</xdr:rowOff>
    </xdr:from>
    <xdr:ext cx="422873" cy="209160"/>
    <xdr:sp macro="" textlink="">
      <xdr:nvSpPr>
        <xdr:cNvPr id="7" name="Text Box 11">
          <a:extLst>
            <a:ext uri="{FF2B5EF4-FFF2-40B4-BE49-F238E27FC236}">
              <a16:creationId xmlns:a16="http://schemas.microsoft.com/office/drawing/2014/main" id="{C62401D6-DA67-49A6-8D13-D5A135838B1C}"/>
            </a:ext>
          </a:extLst>
        </xdr:cNvPr>
        <xdr:cNvSpPr txBox="1">
          <a:spLocks noChangeArrowheads="1"/>
        </xdr:cNvSpPr>
      </xdr:nvSpPr>
      <xdr:spPr bwMode="auto">
        <a:xfrm>
          <a:off x="4187419" y="2713435"/>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$6.207</a:t>
          </a:r>
        </a:p>
      </xdr:txBody>
    </xdr:sp>
    <xdr:clientData/>
  </xdr:oneCellAnchor>
  <xdr:oneCellAnchor>
    <xdr:from>
      <xdr:col>4</xdr:col>
      <xdr:colOff>376009</xdr:colOff>
      <xdr:row>19</xdr:row>
      <xdr:rowOff>72895</xdr:rowOff>
    </xdr:from>
    <xdr:ext cx="422873" cy="209160"/>
    <xdr:sp macro="" textlink="">
      <xdr:nvSpPr>
        <xdr:cNvPr id="43" name="Text Box 26">
          <a:extLst>
            <a:ext uri="{FF2B5EF4-FFF2-40B4-BE49-F238E27FC236}">
              <a16:creationId xmlns:a16="http://schemas.microsoft.com/office/drawing/2014/main" id="{3BD290EA-8C6B-4CE4-872A-D2FD51B75EF0}"/>
            </a:ext>
          </a:extLst>
        </xdr:cNvPr>
        <xdr:cNvSpPr txBox="1">
          <a:spLocks noChangeArrowheads="1"/>
        </xdr:cNvSpPr>
      </xdr:nvSpPr>
      <xdr:spPr bwMode="auto">
        <a:xfrm>
          <a:off x="4150402" y="3266886"/>
          <a:ext cx="422873" cy="209160"/>
        </a:xfrm>
        <a:prstGeom prst="rect">
          <a:avLst/>
        </a:prstGeom>
        <a:noFill/>
        <a:ln w="9525">
          <a:noFill/>
          <a:miter lim="800000"/>
          <a:headEnd/>
          <a:tailEnd/>
        </a:ln>
      </xdr:spPr>
      <xdr:txBody>
        <a:bodyPr wrap="none" lIns="27432" tIns="36576" rIns="0" bIns="0" anchor="t" upright="1">
          <a:spAutoFit/>
        </a:bodyPr>
        <a:lstStyle/>
        <a:p>
          <a:pPr algn="l" rtl="0">
            <a:defRPr sz="1000"/>
          </a:pPr>
          <a:r>
            <a:rPr lang="es-ES" sz="1100" b="1" i="0" u="none" strike="noStrike" baseline="0">
              <a:solidFill>
                <a:srgbClr val="000000"/>
              </a:solidFill>
              <a:latin typeface="Calibri"/>
              <a:cs typeface="Calibri"/>
            </a:rPr>
            <a:t>$6.167</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134</xdr:col>
      <xdr:colOff>0</xdr:colOff>
      <xdr:row>5</xdr:row>
      <xdr:rowOff>0</xdr:rowOff>
    </xdr:from>
    <xdr:to>
      <xdr:col>142</xdr:col>
      <xdr:colOff>352425</xdr:colOff>
      <xdr:row>21</xdr:row>
      <xdr:rowOff>13335</xdr:rowOff>
    </xdr:to>
    <xdr:graphicFrame macro="">
      <xdr:nvGraphicFramePr>
        <xdr:cNvPr id="4" name="Chart 3">
          <a:extLst>
            <a:ext uri="{FF2B5EF4-FFF2-40B4-BE49-F238E27FC236}">
              <a16:creationId xmlns:a16="http://schemas.microsoft.com/office/drawing/2014/main" id="{46E3751D-F82D-42A6-96DC-0F980F22F22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181</xdr:col>
      <xdr:colOff>9525</xdr:colOff>
      <xdr:row>5</xdr:row>
      <xdr:rowOff>0</xdr:rowOff>
    </xdr:from>
    <xdr:to>
      <xdr:col>186</xdr:col>
      <xdr:colOff>762000</xdr:colOff>
      <xdr:row>20</xdr:row>
      <xdr:rowOff>200312</xdr:rowOff>
    </xdr:to>
    <xdr:graphicFrame macro="">
      <xdr:nvGraphicFramePr>
        <xdr:cNvPr id="5" name="Chart 4">
          <a:extLst>
            <a:ext uri="{FF2B5EF4-FFF2-40B4-BE49-F238E27FC236}">
              <a16:creationId xmlns:a16="http://schemas.microsoft.com/office/drawing/2014/main" id="{1C5337AB-A2DF-496C-BCFD-DBE9EE87E0D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114</xdr:col>
      <xdr:colOff>342899</xdr:colOff>
      <xdr:row>26</xdr:row>
      <xdr:rowOff>50800</xdr:rowOff>
    </xdr:from>
    <xdr:to>
      <xdr:col>122</xdr:col>
      <xdr:colOff>196272</xdr:colOff>
      <xdr:row>43</xdr:row>
      <xdr:rowOff>110446</xdr:rowOff>
    </xdr:to>
    <xdr:graphicFrame macro="">
      <xdr:nvGraphicFramePr>
        <xdr:cNvPr id="14" name="Chart 13">
          <a:extLst>
            <a:ext uri="{FF2B5EF4-FFF2-40B4-BE49-F238E27FC236}">
              <a16:creationId xmlns:a16="http://schemas.microsoft.com/office/drawing/2014/main" id="{BCCFB032-0311-4983-81FA-4BB5A1F4F0E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946150</xdr:colOff>
      <xdr:row>12</xdr:row>
      <xdr:rowOff>0</xdr:rowOff>
    </xdr:from>
    <xdr:to>
      <xdr:col>81</xdr:col>
      <xdr:colOff>387350</xdr:colOff>
      <xdr:row>29</xdr:row>
      <xdr:rowOff>22860</xdr:rowOff>
    </xdr:to>
    <xdr:graphicFrame macro="">
      <xdr:nvGraphicFramePr>
        <xdr:cNvPr id="15" name="Chart 14">
          <a:extLst>
            <a:ext uri="{FF2B5EF4-FFF2-40B4-BE49-F238E27FC236}">
              <a16:creationId xmlns:a16="http://schemas.microsoft.com/office/drawing/2014/main" id="{C9989FD9-F5B7-435B-9C6E-82743A44E8B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45</xdr:col>
      <xdr:colOff>662902</xdr:colOff>
      <xdr:row>10</xdr:row>
      <xdr:rowOff>124499</xdr:rowOff>
    </xdr:from>
    <xdr:to>
      <xdr:col>53</xdr:col>
      <xdr:colOff>227253</xdr:colOff>
      <xdr:row>25</xdr:row>
      <xdr:rowOff>24746</xdr:rowOff>
    </xdr:to>
    <xdr:graphicFrame macro="">
      <xdr:nvGraphicFramePr>
        <xdr:cNvPr id="16" name="Chart 15">
          <a:extLst>
            <a:ext uri="{FF2B5EF4-FFF2-40B4-BE49-F238E27FC236}">
              <a16:creationId xmlns:a16="http://schemas.microsoft.com/office/drawing/2014/main" id="{9203365D-524F-406F-B22D-803DF4346D3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16</xdr:row>
      <xdr:rowOff>0</xdr:rowOff>
    </xdr:from>
    <xdr:to>
      <xdr:col>23</xdr:col>
      <xdr:colOff>295275</xdr:colOff>
      <xdr:row>29</xdr:row>
      <xdr:rowOff>123825</xdr:rowOff>
    </xdr:to>
    <xdr:graphicFrame macro="">
      <xdr:nvGraphicFramePr>
        <xdr:cNvPr id="9" name="Chart 8">
          <a:extLst>
            <a:ext uri="{FF2B5EF4-FFF2-40B4-BE49-F238E27FC236}">
              <a16:creationId xmlns:a16="http://schemas.microsoft.com/office/drawing/2014/main" id="{DEAE78C8-47B3-4259-8BAE-B67C0E0C8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16</xdr:row>
      <xdr:rowOff>0</xdr:rowOff>
    </xdr:from>
    <xdr:to>
      <xdr:col>32</xdr:col>
      <xdr:colOff>70757</xdr:colOff>
      <xdr:row>29</xdr:row>
      <xdr:rowOff>95250</xdr:rowOff>
    </xdr:to>
    <xdr:graphicFrame macro="">
      <xdr:nvGraphicFramePr>
        <xdr:cNvPr id="13" name="Chart 12">
          <a:extLst>
            <a:ext uri="{FF2B5EF4-FFF2-40B4-BE49-F238E27FC236}">
              <a16:creationId xmlns:a16="http://schemas.microsoft.com/office/drawing/2014/main" id="{20D224B2-C073-48B0-AD7C-52A331C2C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0.40903</cdr:x>
      <cdr:y>0.375</cdr:y>
    </cdr:from>
    <cdr:to>
      <cdr:x>0.59028</cdr:x>
      <cdr:y>0.62269</cdr:y>
    </cdr:to>
    <cdr:sp macro="" textlink="Exhibits!$AB$14">
      <cdr:nvSpPr>
        <cdr:cNvPr id="3" name="TextBox 1">
          <a:extLst xmlns:a="http://schemas.openxmlformats.org/drawingml/2006/main">
            <a:ext uri="{FF2B5EF4-FFF2-40B4-BE49-F238E27FC236}">
              <a16:creationId xmlns:a16="http://schemas.microsoft.com/office/drawing/2014/main" id="{8C2F94DB-5005-4672-814A-642EC4283DD0}"/>
            </a:ext>
          </a:extLst>
        </cdr:cNvPr>
        <cdr:cNvSpPr txBox="1"/>
      </cdr:nvSpPr>
      <cdr:spPr>
        <a:xfrm xmlns:a="http://schemas.openxmlformats.org/drawingml/2006/main">
          <a:off x="1870075" y="1028700"/>
          <a:ext cx="828675" cy="67945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DA145EB9-E59E-4735-8E2A-CAFB51EF7D71}" type="TxLink">
            <a:rPr lang="en-US" sz="1200" b="1" i="0" u="none" strike="noStrike">
              <a:solidFill>
                <a:srgbClr val="000000"/>
              </a:solidFill>
              <a:latin typeface="Calibri"/>
              <a:cs typeface="Calibri"/>
            </a:rPr>
            <a:pPr algn="ctr"/>
            <a:t>$47,0 Bn</a:t>
          </a:fld>
          <a:endParaRPr lang="en-US" sz="1200" b="1"/>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0-AV/UTDT/MFIN/2020%20MFIN/Curso%20FC/5-IPO/Clase/Facebook%20IPO_anali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ATP%20Nutrition/Pitch%20-%2012.2016/Model/ATP%20Nutrition%20Model%20-%2012.2016%20v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1"/>
      <sheetName val="Ex3 "/>
      <sheetName val="Ex4"/>
      <sheetName val="Ex5"/>
      <sheetName val="Ex6"/>
      <sheetName val="Shareholders (Ex8)"/>
      <sheetName val="Ex9"/>
      <sheetName val="Ex10"/>
      <sheetName val="DCF (Ex11)"/>
      <sheetName val="Comps (Ex12)"/>
      <sheetName val="Financials (Ex2)"/>
      <sheetName val="Model"/>
      <sheetName val="DCF"/>
      <sheetName val="WACC"/>
      <sheetName val="AVP"/>
      <sheetName val="Anex I. IPO terms"/>
      <sheetName val="Anex II. Prospectus--&gt;"/>
      <sheetName val="IPO Cash Flow"/>
      <sheetName val="IPO P&amp;L"/>
      <sheetName val="IPO Bce Sheet"/>
      <sheetName val="IPO Equi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ow r="250">
          <cell r="E250">
            <v>0.39880952380952384</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FF"/>
      <sheetName val="Valuation---&gt;"/>
      <sheetName val="M&amp;A Comps"/>
      <sheetName val="Pub Comps"/>
      <sheetName val="DCF"/>
      <sheetName val="PP - 2019"/>
      <sheetName val="PP - 2020"/>
      <sheetName val="DS"/>
      <sheetName val="_CIQHiddenCacheSheet"/>
      <sheetName val="LBO"/>
      <sheetName val="Financials---&gt;"/>
      <sheetName val="Summary - Company IS"/>
      <sheetName val="Summary - PP IS"/>
      <sheetName val="Company - IS"/>
      <sheetName val="PP - IS"/>
      <sheetName val="From Company ---&gt;"/>
      <sheetName val="BS - YTD"/>
      <sheetName val="Exhibits---&gt;"/>
      <sheetName val="Exhibits"/>
      <sheetName val="Format"/>
    </sheetNames>
    <sheetDataSet>
      <sheetData sheetId="0">
        <row r="10">
          <cell r="D10">
            <v>0.35</v>
          </cell>
        </row>
        <row r="14">
          <cell r="D14">
            <v>43100</v>
          </cell>
        </row>
        <row r="15">
          <cell r="D15">
            <v>43465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8" Type="http://schemas.openxmlformats.org/officeDocument/2006/relationships/hyperlink" Target="http://www.mergentonline.com.turing.library.northwestern.edu/equitypricing.php?pagetype=report&amp;compnumber=66466" TargetMode="External"/><Relationship Id="rId3" Type="http://schemas.openxmlformats.org/officeDocument/2006/relationships/hyperlink" Target="https://www.restaurant.org/Downloads/PDFs/Events-Groups/17_SHOW_PPT_5-4-compressed.pdf" TargetMode="External"/><Relationship Id="rId7" Type="http://schemas.openxmlformats.org/officeDocument/2006/relationships/hyperlink" Target="https://www.restaurant.org/Downloads/PDFs/Events-Groups/17_SHOW_PPT_5-4-compressed.pdf" TargetMode="External"/><Relationship Id="rId12" Type="http://schemas.openxmlformats.org/officeDocument/2006/relationships/drawing" Target="../drawings/drawing4.xml"/><Relationship Id="rId2" Type="http://schemas.openxmlformats.org/officeDocument/2006/relationships/hyperlink" Target="https://www.restaurant.org/Downloads/PDFs/Events-Groups/17_SHOW_PPT_5-4-compressed.pdf" TargetMode="External"/><Relationship Id="rId1" Type="http://schemas.openxmlformats.org/officeDocument/2006/relationships/hyperlink" Target="https://www.sec.gov/Archives/edgar/data/724606/000072460617000004/a2016122710k.htm" TargetMode="External"/><Relationship Id="rId6" Type="http://schemas.openxmlformats.org/officeDocument/2006/relationships/hyperlink" Target="https://www.restaurantbusinessonline.com/top-500-2018?year=2017&amp;page=1" TargetMode="External"/><Relationship Id="rId11" Type="http://schemas.openxmlformats.org/officeDocument/2006/relationships/printerSettings" Target="../printerSettings/printerSettings11.bin"/><Relationship Id="rId5" Type="http://schemas.openxmlformats.org/officeDocument/2006/relationships/hyperlink" Target="https://www.restaurantbusinessonline.com/top-500-2018?year=2017&amp;page=1" TargetMode="External"/><Relationship Id="rId10" Type="http://schemas.openxmlformats.org/officeDocument/2006/relationships/hyperlink" Target="https://www.sec.gov/Archives/edgar/data/724606/000119312517189582/d366589ddefm14a.htm" TargetMode="External"/><Relationship Id="rId4" Type="http://schemas.openxmlformats.org/officeDocument/2006/relationships/hyperlink" Target="https://www.sec.gov/Archives/edgar/data/724606/000072460617000004/a2016122710k.htm" TargetMode="External"/><Relationship Id="rId9" Type="http://schemas.openxmlformats.org/officeDocument/2006/relationships/hyperlink" Target="https://www.sec.gov/Archives/edgar/data/724606/000119312517189582/d366589ddefm14a.ht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showGridLines="0" topLeftCell="A25" zoomScaleNormal="100" workbookViewId="0">
      <selection activeCell="E33" sqref="E33"/>
    </sheetView>
  </sheetViews>
  <sheetFormatPr baseColWidth="10" defaultColWidth="8.83203125" defaultRowHeight="15.5" outlineLevelCol="1" x14ac:dyDescent="0.35"/>
  <cols>
    <col min="14" max="14" width="9" style="566"/>
    <col min="15" max="16" width="9" hidden="1" customWidth="1" outlineLevel="1"/>
    <col min="17" max="17" width="9" collapsed="1"/>
  </cols>
  <sheetData>
    <row r="2" spans="1:14" s="483" customFormat="1" x14ac:dyDescent="0.35">
      <c r="A2" s="398" t="s">
        <v>31</v>
      </c>
      <c r="B2" s="484" t="s">
        <v>593</v>
      </c>
      <c r="C2" s="484"/>
      <c r="D2" s="484"/>
      <c r="E2" s="484"/>
      <c r="F2" s="484"/>
      <c r="G2" s="484"/>
      <c r="H2" s="484"/>
      <c r="I2" s="484"/>
      <c r="J2" s="484"/>
      <c r="K2" s="484"/>
      <c r="L2" s="484"/>
      <c r="M2" s="484"/>
      <c r="N2" s="568"/>
    </row>
    <row r="3" spans="1:14" x14ac:dyDescent="0.35">
      <c r="B3" t="s">
        <v>745</v>
      </c>
    </row>
    <row r="4" spans="1:14" x14ac:dyDescent="0.35">
      <c r="B4" t="s">
        <v>844</v>
      </c>
    </row>
    <row r="6" spans="1:14" x14ac:dyDescent="0.35">
      <c r="B6" s="482" t="s">
        <v>594</v>
      </c>
      <c r="C6" s="482"/>
      <c r="D6" s="482"/>
      <c r="E6" s="482"/>
      <c r="F6" s="482"/>
      <c r="G6" s="482"/>
      <c r="H6" s="482"/>
      <c r="I6" s="482"/>
      <c r="J6" s="482"/>
      <c r="K6" s="482"/>
      <c r="L6" s="482"/>
      <c r="M6" s="482"/>
    </row>
    <row r="8" spans="1:14" x14ac:dyDescent="0.35">
      <c r="B8" t="s">
        <v>595</v>
      </c>
    </row>
    <row r="9" spans="1:14" x14ac:dyDescent="0.35">
      <c r="B9" t="s">
        <v>777</v>
      </c>
    </row>
    <row r="10" spans="1:14" x14ac:dyDescent="0.35">
      <c r="B10" t="s">
        <v>776</v>
      </c>
    </row>
    <row r="12" spans="1:14" x14ac:dyDescent="0.35">
      <c r="B12" s="486" t="s">
        <v>596</v>
      </c>
    </row>
    <row r="13" spans="1:14" x14ac:dyDescent="0.35">
      <c r="B13" s="487" t="s">
        <v>597</v>
      </c>
    </row>
    <row r="15" spans="1:14" ht="16" thickBot="1" x14ac:dyDescent="0.4">
      <c r="B15" s="485" t="s">
        <v>778</v>
      </c>
      <c r="C15" s="485"/>
      <c r="D15" s="485"/>
      <c r="E15" s="485"/>
      <c r="F15" s="485"/>
      <c r="G15" s="485"/>
      <c r="H15" s="485"/>
      <c r="I15" s="485"/>
      <c r="J15" s="485"/>
      <c r="K15" s="485"/>
      <c r="L15" s="485"/>
      <c r="M15" s="485"/>
    </row>
    <row r="16" spans="1:14" ht="16" thickTop="1" x14ac:dyDescent="0.35"/>
    <row r="17" spans="1:23" x14ac:dyDescent="0.35">
      <c r="A17" s="398" t="s">
        <v>31</v>
      </c>
      <c r="B17" s="484" t="s">
        <v>607</v>
      </c>
      <c r="C17" s="484"/>
      <c r="D17" s="484"/>
      <c r="E17" s="484"/>
      <c r="F17" s="484"/>
      <c r="G17" s="484"/>
      <c r="H17" s="484"/>
      <c r="I17" s="484"/>
      <c r="J17" s="484"/>
      <c r="K17" s="484"/>
      <c r="L17" s="484"/>
      <c r="M17" s="484"/>
      <c r="O17" s="566"/>
      <c r="P17" s="566"/>
      <c r="Q17" s="566"/>
      <c r="R17" s="566"/>
      <c r="S17" s="566"/>
      <c r="T17" s="566"/>
      <c r="U17" s="566"/>
      <c r="V17" s="566"/>
      <c r="W17" s="566"/>
    </row>
    <row r="18" spans="1:23" x14ac:dyDescent="0.35">
      <c r="B18" s="483" t="s">
        <v>608</v>
      </c>
      <c r="O18" s="566"/>
      <c r="P18" s="566"/>
      <c r="Q18" s="566"/>
      <c r="R18" s="566"/>
      <c r="S18" s="566"/>
      <c r="T18" s="566"/>
      <c r="U18" s="566"/>
      <c r="V18" s="566"/>
      <c r="W18" s="566"/>
    </row>
    <row r="19" spans="1:23" x14ac:dyDescent="0.35">
      <c r="B19" s="488" t="s">
        <v>773</v>
      </c>
      <c r="O19" s="566"/>
      <c r="P19" s="566"/>
      <c r="Q19" s="566"/>
      <c r="R19" s="566"/>
      <c r="S19" s="566"/>
      <c r="T19" s="566"/>
      <c r="U19" s="566"/>
      <c r="V19" s="566"/>
      <c r="W19" s="566"/>
    </row>
    <row r="20" spans="1:23" x14ac:dyDescent="0.35">
      <c r="B20" s="489" t="s">
        <v>611</v>
      </c>
      <c r="E20" t="str">
        <f ca="1">REPLACE(_xlfn.FORMULATEXT(O20),1,1,"")&amp;IF(ISBLANK(P20),," - "&amp;REPLACE(_xlfn.FORMULATEXT(P20),1,1,""))</f>
        <v>'LBO Model'!E8</v>
      </c>
      <c r="O20" s="566" t="str">
        <f>'LBO Model'!E8</f>
        <v>Open Case #1</v>
      </c>
      <c r="P20" s="566"/>
      <c r="Q20" s="566"/>
      <c r="R20" s="566"/>
      <c r="S20" s="566"/>
      <c r="T20" s="566"/>
      <c r="U20" s="566"/>
      <c r="V20" s="566"/>
      <c r="W20" s="566"/>
    </row>
    <row r="21" spans="1:23" x14ac:dyDescent="0.35">
      <c r="B21" s="489" t="s">
        <v>612</v>
      </c>
      <c r="E21" t="str">
        <f ca="1">REPLACE(_xlfn.FORMULATEXT(O21),1,1,"")&amp;IF(ISBLANK(P21),," - "&amp;REPLACE(_xlfn.FORMULATEXT(P21),1,1,""))</f>
        <v>'LBO Model'!E9</v>
      </c>
      <c r="O21" s="566" t="str">
        <f>'LBO Model'!E9</f>
        <v>Open Case #2</v>
      </c>
      <c r="P21" s="566"/>
      <c r="Q21" s="566"/>
      <c r="R21" s="566"/>
      <c r="S21" s="566"/>
      <c r="T21" s="566"/>
      <c r="U21" s="566"/>
      <c r="V21" s="566"/>
      <c r="W21" s="566"/>
    </row>
    <row r="22" spans="1:23" x14ac:dyDescent="0.35">
      <c r="B22" s="488" t="s">
        <v>613</v>
      </c>
      <c r="O22" s="566"/>
      <c r="P22" s="566"/>
      <c r="Q22" s="566"/>
      <c r="R22" s="566"/>
      <c r="S22" s="566"/>
      <c r="T22" s="566"/>
      <c r="U22" s="566"/>
      <c r="V22" s="566"/>
      <c r="W22" s="566"/>
    </row>
    <row r="23" spans="1:23" x14ac:dyDescent="0.35">
      <c r="B23" s="489" t="s">
        <v>415</v>
      </c>
      <c r="E23" t="str">
        <f ca="1">REPLACE(_xlfn.FORMULATEXT(O23),1,1,"")&amp;IF(ISBLANK(P23),," - "&amp;REPLACE(_xlfn.FORMULATEXT(P23),1,1,""))</f>
        <v>'LBO Model'!I427 - 'LBO Model'!R437</v>
      </c>
      <c r="O23" s="566">
        <f>'LBO Model'!I427</f>
        <v>0</v>
      </c>
      <c r="P23" s="566">
        <f>'LBO Model'!R437</f>
        <v>5.2239948360287482E-2</v>
      </c>
      <c r="Q23" s="566"/>
      <c r="R23" s="566"/>
      <c r="S23" s="566"/>
      <c r="T23" s="566"/>
      <c r="U23" s="566"/>
      <c r="V23" s="566"/>
      <c r="W23" s="566"/>
    </row>
    <row r="24" spans="1:23" x14ac:dyDescent="0.35">
      <c r="B24" s="489" t="s">
        <v>614</v>
      </c>
      <c r="E24" t="str">
        <f ca="1">REPLACE(_xlfn.FORMULATEXT(O24),1,1,"")&amp;IF(ISBLANK(P24),," - "&amp;REPLACE(_xlfn.FORMULATEXT(P24),1,1,""))</f>
        <v>'LBO Model'!I443 - 'LBO Model'!R453</v>
      </c>
      <c r="O24" s="566">
        <f>'LBO Model'!I443</f>
        <v>0</v>
      </c>
      <c r="P24" s="566">
        <f>'LBO Model'!R453</f>
        <v>5.7504440497335704E-2</v>
      </c>
      <c r="Q24" s="566"/>
      <c r="R24" s="566"/>
      <c r="S24" s="566"/>
      <c r="T24" s="566"/>
      <c r="U24" s="566"/>
      <c r="V24" s="566"/>
      <c r="W24" s="566"/>
    </row>
    <row r="25" spans="1:23" x14ac:dyDescent="0.35">
      <c r="B25" s="489" t="s">
        <v>513</v>
      </c>
      <c r="E25" t="str">
        <f ca="1">REPLACE(_xlfn.FORMULATEXT(O25),1,1,"")&amp;IF(ISBLANK(P25),," - "&amp;REPLACE(_xlfn.FORMULATEXT(P25),1,1,""))</f>
        <v>'LBO Model'!I459 - 'LBO Model'!R469</v>
      </c>
      <c r="O25" s="566">
        <f>'LBO Model'!I459</f>
        <v>0</v>
      </c>
      <c r="P25" s="566">
        <f>'LBO Model'!R469</f>
        <v>5.2239948360287482E-2</v>
      </c>
      <c r="Q25" s="566"/>
      <c r="R25" s="566"/>
      <c r="S25" s="566"/>
      <c r="T25" s="566"/>
      <c r="U25" s="566"/>
      <c r="V25" s="566"/>
      <c r="W25" s="566"/>
    </row>
    <row r="26" spans="1:23" x14ac:dyDescent="0.35">
      <c r="B26" s="489" t="str">
        <f>'LBO Model'!E8</f>
        <v>Open Case #1</v>
      </c>
      <c r="E26" t="str">
        <f ca="1">REPLACE(_xlfn.FORMULATEXT(O26),1,1,"")&amp;IF(ISBLANK(P26),," - "&amp;REPLACE(_xlfn.FORMULATEXT(P26),1,1,""))</f>
        <v>'LBO Model'!I475 - 'LBO Model'!R485</v>
      </c>
      <c r="O26" s="566">
        <f>'LBO Model'!I475</f>
        <v>0</v>
      </c>
      <c r="P26" s="566">
        <f>'LBO Model'!R485</f>
        <v>0</v>
      </c>
      <c r="Q26" s="566"/>
      <c r="R26" s="566"/>
      <c r="S26" s="566"/>
      <c r="T26" s="566"/>
      <c r="U26" s="566"/>
      <c r="V26" s="566"/>
      <c r="W26" s="566"/>
    </row>
    <row r="27" spans="1:23" x14ac:dyDescent="0.35">
      <c r="B27" s="489" t="str">
        <f>'LBO Model'!E9</f>
        <v>Open Case #2</v>
      </c>
      <c r="E27" t="str">
        <f ca="1">REPLACE(_xlfn.FORMULATEXT(O27),1,1,"")&amp;IF(ISBLANK(P27),," - "&amp;REPLACE(_xlfn.FORMULATEXT(P27),1,1,""))</f>
        <v>'LBO Model'!I491 - 'LBO Model'!R501</v>
      </c>
      <c r="O27" s="566">
        <f>'LBO Model'!I491</f>
        <v>0</v>
      </c>
      <c r="P27" s="566">
        <f>'LBO Model'!R501</f>
        <v>0</v>
      </c>
      <c r="Q27" s="566"/>
      <c r="R27" s="566"/>
      <c r="S27" s="566"/>
      <c r="T27" s="566"/>
      <c r="U27" s="566"/>
      <c r="V27" s="566"/>
      <c r="W27" s="566"/>
    </row>
    <row r="28" spans="1:23" x14ac:dyDescent="0.35">
      <c r="B28" s="489"/>
      <c r="O28" s="566"/>
      <c r="P28" s="566"/>
      <c r="Q28" s="566"/>
      <c r="R28" s="566"/>
      <c r="S28" s="566"/>
      <c r="T28" s="566"/>
      <c r="U28" s="566"/>
      <c r="V28" s="566"/>
      <c r="W28" s="566"/>
    </row>
    <row r="29" spans="1:23" x14ac:dyDescent="0.35">
      <c r="B29" s="488" t="s">
        <v>831</v>
      </c>
      <c r="E29" t="str">
        <f ca="1">REPLACE(_xlfn.FORMULATEXT(O29),1,1,"")&amp;IF(ISBLANK(P29),," - "&amp;REPLACE(_xlfn.FORMULATEXT(P29),1,1,""))</f>
        <v>'LBO Model'!J6</v>
      </c>
      <c r="O29" s="566" t="str">
        <f>'LBO Model'!J6</f>
        <v>Low Bid</v>
      </c>
      <c r="P29" s="566"/>
      <c r="Q29" s="566"/>
      <c r="R29" s="566"/>
      <c r="S29" s="566"/>
      <c r="T29" s="566"/>
      <c r="U29" s="566"/>
      <c r="V29" s="566"/>
      <c r="W29" s="566"/>
    </row>
    <row r="30" spans="1:23" x14ac:dyDescent="0.35">
      <c r="B30" s="488" t="s">
        <v>832</v>
      </c>
      <c r="E30" t="str">
        <f ca="1">REPLACE(_xlfn.FORMULATEXT(O30),1,1,"")&amp;IF(ISBLANK(P30),," - "&amp;REPLACE(_xlfn.FORMULATEXT(P30),1,1,""))</f>
        <v>'LBO Model'!J7</v>
      </c>
      <c r="O30" s="566" t="str">
        <f>'LBO Model'!J7</f>
        <v>KLG High Bid</v>
      </c>
      <c r="P30" s="566"/>
      <c r="Q30" s="566"/>
      <c r="R30" s="566"/>
      <c r="S30" s="566"/>
      <c r="T30" s="566"/>
      <c r="U30" s="566"/>
      <c r="V30" s="566"/>
      <c r="W30" s="566"/>
    </row>
    <row r="31" spans="1:23" x14ac:dyDescent="0.35">
      <c r="B31" s="488" t="s">
        <v>836</v>
      </c>
      <c r="E31" t="str">
        <f ca="1">REPLACE(_xlfn.FORMULATEXT(O31),1,1,"")&amp;IF(ISBLANK(P31),," - "&amp;REPLACE(_xlfn.FORMULATEXT(P31),1,1,""))</f>
        <v>'LBO Model'!J8</v>
      </c>
      <c r="O31" s="566" t="str">
        <f>'LBO Model'!J8</f>
        <v>KLG Low Bid</v>
      </c>
      <c r="P31" s="566"/>
      <c r="Q31" s="566"/>
      <c r="R31" s="566"/>
      <c r="S31" s="566"/>
      <c r="T31" s="566"/>
      <c r="U31" s="566"/>
      <c r="V31" s="566"/>
      <c r="W31" s="566"/>
    </row>
    <row r="32" spans="1:23" x14ac:dyDescent="0.35">
      <c r="B32" s="488" t="s">
        <v>774</v>
      </c>
      <c r="O32" s="566"/>
      <c r="P32" s="566"/>
      <c r="Q32" s="566"/>
      <c r="R32" s="566"/>
      <c r="S32" s="566"/>
      <c r="T32" s="566"/>
      <c r="U32" s="566"/>
      <c r="V32" s="566"/>
      <c r="W32" s="566"/>
    </row>
    <row r="33" spans="2:23" x14ac:dyDescent="0.35">
      <c r="B33" s="489" t="str">
        <f>'LBO Model'!J5</f>
        <v>High Bid</v>
      </c>
      <c r="E33" t="str">
        <f ca="1">REPLACE(_xlfn.FORMULATEXT(O33),1,1,"")&amp;IF(ISBLANK(P33),," - "&amp;REPLACE(_xlfn.FORMULATEXT(P33),1,1,""))</f>
        <v>'LBO Model'!F507 - 'LBO Model'!F511</v>
      </c>
      <c r="O33" s="566">
        <f>'LBO Model'!F507</f>
        <v>0.28021880196016624</v>
      </c>
      <c r="P33" s="566">
        <f>'LBO Model'!F511</f>
        <v>0.59516486278953196</v>
      </c>
      <c r="Q33" s="566"/>
      <c r="R33" s="566"/>
      <c r="S33" s="566"/>
      <c r="T33" s="566"/>
      <c r="U33" s="566"/>
      <c r="V33" s="566"/>
      <c r="W33" s="566"/>
    </row>
    <row r="34" spans="2:23" x14ac:dyDescent="0.35">
      <c r="B34" s="489" t="str">
        <f>'LBO Model'!J6</f>
        <v>Low Bid</v>
      </c>
      <c r="E34" t="str">
        <f ca="1">REPLACE(_xlfn.FORMULATEXT(O34),1,1,"")&amp;IF(ISBLANK(P34),," - "&amp;REPLACE(_xlfn.FORMULATEXT(P34),1,1,""))</f>
        <v>'LBO Model'!G507 - 'LBO Model'!G511</v>
      </c>
      <c r="O34" s="566">
        <f>'LBO Model'!G507</f>
        <v>0</v>
      </c>
      <c r="P34" s="566">
        <f>'LBO Model'!G511</f>
        <v>0.49091938762749071</v>
      </c>
      <c r="Q34" s="566"/>
      <c r="R34" s="566"/>
      <c r="S34" s="566"/>
      <c r="T34" s="566"/>
      <c r="U34" s="566"/>
      <c r="V34" s="566"/>
      <c r="W34" s="566"/>
    </row>
    <row r="35" spans="2:23" x14ac:dyDescent="0.35">
      <c r="B35" s="489" t="str">
        <f>'LBO Model'!J7</f>
        <v>KLG High Bid</v>
      </c>
      <c r="E35" t="str">
        <f ca="1">REPLACE(_xlfn.FORMULATEXT(O35),1,1,"")&amp;IF(ISBLANK(P35),," - "&amp;REPLACE(_xlfn.FORMULATEXT(P35),1,1,""))</f>
        <v>'LBO Model'!H507 - 'LBO Model'!H511</v>
      </c>
      <c r="O35" s="566">
        <f>'LBO Model'!H507</f>
        <v>0.17442848109239584</v>
      </c>
      <c r="P35" s="566">
        <f>'LBO Model'!H511</f>
        <v>0.56124616378731473</v>
      </c>
      <c r="Q35" s="566"/>
      <c r="R35" s="566"/>
      <c r="S35" s="566"/>
      <c r="T35" s="566"/>
      <c r="U35" s="566"/>
      <c r="V35" s="566"/>
      <c r="W35" s="566"/>
    </row>
    <row r="36" spans="2:23" x14ac:dyDescent="0.35">
      <c r="B36" s="489" t="str">
        <f>'LBO Model'!J8</f>
        <v>KLG Low Bid</v>
      </c>
      <c r="E36" t="str">
        <f ca="1">REPLACE(_xlfn.FORMULATEXT(O36),1,1,"")&amp;IF(ISBLANK(P36),," - "&amp;REPLACE(_xlfn.FORMULATEXT(P36),1,1,""))</f>
        <v>'LBO Model'!I507 - 'LBO Model'!I511</v>
      </c>
      <c r="O36" s="566">
        <f>'LBO Model'!I507</f>
        <v>-0.15</v>
      </c>
      <c r="P36" s="566">
        <f>'LBO Model'!I511</f>
        <v>0.4</v>
      </c>
      <c r="Q36" s="566"/>
      <c r="R36" s="566"/>
      <c r="S36" s="566"/>
      <c r="T36" s="566"/>
      <c r="U36" s="566"/>
      <c r="V36" s="566"/>
      <c r="W36" s="566"/>
    </row>
    <row r="37" spans="2:23" x14ac:dyDescent="0.35">
      <c r="B37" s="483"/>
      <c r="O37" s="566"/>
      <c r="P37" s="566"/>
      <c r="Q37" s="566"/>
      <c r="R37" s="566"/>
      <c r="S37" s="566"/>
      <c r="T37" s="566"/>
      <c r="U37" s="566"/>
      <c r="V37" s="566"/>
      <c r="W37" s="566"/>
    </row>
    <row r="38" spans="2:23" x14ac:dyDescent="0.35">
      <c r="B38" s="488" t="s">
        <v>460</v>
      </c>
      <c r="E38" t="str">
        <f t="shared" ref="E38:E45" ca="1" si="0">REPLACE(_xlfn.FORMULATEXT(O38),1,1,"")&amp;IF(ISBLANK(P38),," - "&amp;REPLACE(_xlfn.FORMULATEXT(P38),1,1,""))</f>
        <v>'LBO Model'!F346</v>
      </c>
      <c r="O38" s="566">
        <f ca="1">'LBO Model'!F346</f>
        <v>15.000000000000256</v>
      </c>
      <c r="P38" s="566"/>
      <c r="Q38" s="566"/>
      <c r="R38" s="566"/>
      <c r="S38" s="566"/>
      <c r="T38" s="566"/>
      <c r="U38" s="566"/>
      <c r="V38" s="566"/>
      <c r="W38" s="566"/>
    </row>
    <row r="39" spans="2:23" x14ac:dyDescent="0.35">
      <c r="B39" s="489" t="s">
        <v>826</v>
      </c>
      <c r="E39" t="str">
        <f t="shared" ca="1" si="0"/>
        <v>'LBO Model'!T345</v>
      </c>
      <c r="O39" s="566">
        <f>'LBO Model'!T345</f>
        <v>1</v>
      </c>
      <c r="P39" s="566"/>
      <c r="Q39" s="566"/>
      <c r="R39" s="566"/>
      <c r="S39" s="566"/>
      <c r="T39" s="566"/>
      <c r="U39" s="566"/>
      <c r="V39" s="566"/>
      <c r="W39" s="566"/>
    </row>
    <row r="40" spans="2:23" x14ac:dyDescent="0.35">
      <c r="B40" s="489"/>
      <c r="O40" s="566"/>
      <c r="P40" s="566"/>
      <c r="Q40" s="566"/>
      <c r="R40" s="566"/>
      <c r="S40" s="566"/>
      <c r="T40" s="566"/>
      <c r="U40" s="566"/>
      <c r="V40" s="566"/>
      <c r="W40" s="566"/>
    </row>
    <row r="41" spans="2:23" x14ac:dyDescent="0.35">
      <c r="B41" s="488" t="s">
        <v>609</v>
      </c>
      <c r="O41" s="566"/>
      <c r="P41" s="566"/>
      <c r="Q41" s="566"/>
      <c r="R41" s="566"/>
      <c r="S41" s="566"/>
      <c r="T41" s="566"/>
      <c r="U41" s="566"/>
      <c r="V41" s="566"/>
      <c r="W41" s="566"/>
    </row>
    <row r="42" spans="2:23" x14ac:dyDescent="0.35">
      <c r="B42" s="489" t="s">
        <v>504</v>
      </c>
      <c r="E42" t="str">
        <f t="shared" ca="1" si="0"/>
        <v>'LBO Model'!B384</v>
      </c>
      <c r="O42" s="567">
        <f ca="1">'LBO Model'!B384</f>
        <v>0.12021880196016622</v>
      </c>
      <c r="P42" s="566"/>
      <c r="Q42" s="566"/>
      <c r="R42" s="566"/>
      <c r="S42" s="566"/>
      <c r="T42" s="566"/>
      <c r="U42" s="566"/>
      <c r="V42" s="566"/>
      <c r="W42" s="566"/>
    </row>
    <row r="43" spans="2:23" x14ac:dyDescent="0.35">
      <c r="B43" s="615" t="s">
        <v>826</v>
      </c>
      <c r="E43" t="str">
        <f t="shared" ca="1" si="0"/>
        <v>'LBO Model'!J384</v>
      </c>
      <c r="O43" s="567">
        <f>'LBO Model'!J384</f>
        <v>0.05</v>
      </c>
      <c r="P43" s="566"/>
      <c r="Q43" s="566"/>
      <c r="R43" s="566"/>
      <c r="S43" s="566"/>
      <c r="T43" s="566"/>
      <c r="U43" s="566"/>
      <c r="V43" s="566"/>
      <c r="W43" s="566"/>
    </row>
    <row r="44" spans="2:23" x14ac:dyDescent="0.35">
      <c r="B44" s="489" t="s">
        <v>610</v>
      </c>
      <c r="E44" t="str">
        <f t="shared" ca="1" si="0"/>
        <v>'LBO Model'!B397</v>
      </c>
      <c r="O44" s="567">
        <f ca="1">'LBO Model'!B397</f>
        <v>0.29516486278953191</v>
      </c>
      <c r="P44" s="566"/>
      <c r="Q44" s="566"/>
      <c r="R44" s="566"/>
      <c r="S44" s="566"/>
      <c r="T44" s="566"/>
      <c r="U44" s="566"/>
      <c r="V44" s="566"/>
      <c r="W44" s="566"/>
    </row>
    <row r="45" spans="2:23" ht="16" thickBot="1" x14ac:dyDescent="0.4">
      <c r="B45" s="617" t="s">
        <v>826</v>
      </c>
      <c r="C45" s="485"/>
      <c r="D45" s="485"/>
      <c r="E45" s="485" t="str">
        <f t="shared" ca="1" si="0"/>
        <v>'LBO Model'!J397</v>
      </c>
      <c r="F45" s="485"/>
      <c r="G45" s="485"/>
      <c r="H45" s="485"/>
      <c r="I45" s="485"/>
      <c r="J45" s="485"/>
      <c r="K45" s="485"/>
      <c r="L45" s="485"/>
      <c r="M45" s="485"/>
      <c r="O45" s="567">
        <f>'LBO Model'!J397</f>
        <v>0.1</v>
      </c>
      <c r="P45" s="566"/>
      <c r="Q45" s="566"/>
      <c r="R45" s="566"/>
      <c r="S45" s="566"/>
      <c r="T45" s="566"/>
      <c r="U45" s="566"/>
      <c r="V45" s="566"/>
      <c r="W45" s="566"/>
    </row>
    <row r="46" spans="2:23" ht="16" thickTop="1" x14ac:dyDescent="0.35">
      <c r="O46" s="566"/>
      <c r="P46" s="566"/>
      <c r="Q46" s="566"/>
      <c r="R46" s="566"/>
      <c r="S46" s="566"/>
      <c r="T46" s="566"/>
      <c r="U46" s="566"/>
      <c r="V46" s="566"/>
      <c r="W46" s="566"/>
    </row>
    <row r="47" spans="2:23" x14ac:dyDescent="0.35">
      <c r="O47" s="566"/>
      <c r="P47" s="566"/>
      <c r="Q47" s="566"/>
      <c r="R47" s="566"/>
      <c r="S47" s="566"/>
      <c r="T47" s="566"/>
      <c r="U47" s="566"/>
      <c r="V47" s="566"/>
      <c r="W47" s="566"/>
    </row>
    <row r="48" spans="2:23" x14ac:dyDescent="0.35">
      <c r="O48" s="566"/>
      <c r="P48" s="566"/>
      <c r="Q48" s="566"/>
      <c r="R48" s="566"/>
      <c r="S48" s="566"/>
      <c r="T48" s="566"/>
      <c r="U48" s="566"/>
      <c r="V48" s="566"/>
      <c r="W48" s="566"/>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
  <sheetViews>
    <sheetView showGridLines="0" zoomScaleNormal="100" workbookViewId="0"/>
  </sheetViews>
  <sheetFormatPr baseColWidth="10" defaultColWidth="9" defaultRowHeight="15.5" x14ac:dyDescent="0.35"/>
  <cols>
    <col min="1" max="16384" width="9" style="34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X511"/>
  <sheetViews>
    <sheetView showGridLines="0" tabSelected="1" zoomScale="99" zoomScaleNormal="99" workbookViewId="0">
      <selection activeCell="D4" sqref="D4"/>
    </sheetView>
  </sheetViews>
  <sheetFormatPr baseColWidth="10" defaultColWidth="9" defaultRowHeight="13" outlineLevelRow="1" outlineLevelCol="1" x14ac:dyDescent="0.3"/>
  <cols>
    <col min="1" max="1" width="9" style="246"/>
    <col min="2" max="2" width="10.08203125" style="248" customWidth="1"/>
    <col min="3" max="5" width="9.58203125" style="248" customWidth="1"/>
    <col min="6" max="7" width="9.58203125" style="248" customWidth="1" outlineLevel="1"/>
    <col min="8" max="8" width="9.33203125" style="248" customWidth="1" outlineLevel="1"/>
    <col min="9" max="10" width="9.33203125" style="248" customWidth="1"/>
    <col min="11" max="16" width="8.08203125" style="248" customWidth="1"/>
    <col min="17" max="17" width="8.08203125" style="248" customWidth="1" outlineLevel="1"/>
    <col min="18" max="18" width="9.58203125" style="248" customWidth="1"/>
    <col min="19" max="19" width="9" style="248"/>
    <col min="20" max="21" width="9.5" style="248" bestFit="1" customWidth="1"/>
    <col min="22" max="16384" width="9" style="248"/>
  </cols>
  <sheetData>
    <row r="2" spans="1:24" ht="15.5" x14ac:dyDescent="0.35">
      <c r="A2" s="246" t="s">
        <v>31</v>
      </c>
      <c r="B2" s="265" t="s">
        <v>828</v>
      </c>
      <c r="C2" s="392"/>
      <c r="D2" s="392"/>
      <c r="E2" s="392"/>
      <c r="F2" s="392"/>
      <c r="G2" s="392"/>
      <c r="H2" s="392"/>
      <c r="I2" s="392"/>
      <c r="J2" s="392"/>
      <c r="K2" s="392"/>
      <c r="L2" s="392"/>
      <c r="M2" s="392"/>
      <c r="N2" s="392"/>
      <c r="O2" s="392"/>
      <c r="P2" s="392"/>
      <c r="Q2" s="392"/>
      <c r="R2" s="392"/>
    </row>
    <row r="3" spans="1:24" x14ac:dyDescent="0.3">
      <c r="B3" s="394"/>
      <c r="C3" s="393"/>
      <c r="D3" s="393"/>
      <c r="E3" s="393"/>
      <c r="F3" s="393"/>
      <c r="G3" s="393"/>
    </row>
    <row r="4" spans="1:24" x14ac:dyDescent="0.3">
      <c r="B4" s="394"/>
      <c r="C4" s="395" t="s">
        <v>823</v>
      </c>
      <c r="D4" s="396">
        <v>1</v>
      </c>
      <c r="E4" s="397" t="str">
        <f>CHOOSE(D4,E5,E6,E7,E8,E9)</f>
        <v>Base Case</v>
      </c>
      <c r="F4" s="408"/>
      <c r="G4" s="394"/>
      <c r="H4" s="395" t="s">
        <v>824</v>
      </c>
      <c r="I4" s="396">
        <v>1</v>
      </c>
      <c r="J4" s="397" t="str">
        <f>CHOOSE(I4,J5,J6,J7,J8)</f>
        <v>High Bid</v>
      </c>
      <c r="K4" s="408"/>
    </row>
    <row r="5" spans="1:24" x14ac:dyDescent="0.3">
      <c r="B5" s="393"/>
      <c r="C5" s="393"/>
      <c r="D5" s="398">
        <v>1</v>
      </c>
      <c r="E5" s="393" t="s">
        <v>415</v>
      </c>
      <c r="F5" s="393"/>
      <c r="G5" s="393"/>
      <c r="H5" s="393"/>
      <c r="I5" s="398">
        <v>1</v>
      </c>
      <c r="J5" s="393" t="s">
        <v>770</v>
      </c>
      <c r="K5" s="393"/>
      <c r="L5" s="248" t="s">
        <v>1103</v>
      </c>
    </row>
    <row r="6" spans="1:24" x14ac:dyDescent="0.3">
      <c r="B6" s="393"/>
      <c r="C6" s="393"/>
      <c r="D6" s="398">
        <v>2</v>
      </c>
      <c r="E6" s="393" t="s">
        <v>614</v>
      </c>
      <c r="F6" s="393"/>
      <c r="G6" s="393"/>
      <c r="H6" s="393"/>
      <c r="I6" s="398">
        <v>2</v>
      </c>
      <c r="J6" s="605" t="s">
        <v>771</v>
      </c>
      <c r="K6" s="480"/>
      <c r="L6" s="248" t="s">
        <v>1102</v>
      </c>
    </row>
    <row r="7" spans="1:24" x14ac:dyDescent="0.3">
      <c r="B7" s="393"/>
      <c r="C7" s="393"/>
      <c r="D7" s="398">
        <v>3</v>
      </c>
      <c r="E7" s="393" t="s">
        <v>513</v>
      </c>
      <c r="F7" s="393"/>
      <c r="G7" s="393"/>
      <c r="H7" s="393"/>
      <c r="I7" s="398">
        <v>3</v>
      </c>
      <c r="J7" s="605" t="s">
        <v>766</v>
      </c>
      <c r="K7" s="480"/>
    </row>
    <row r="8" spans="1:24" x14ac:dyDescent="0.3">
      <c r="B8" s="393"/>
      <c r="C8" s="393"/>
      <c r="D8" s="398">
        <v>4</v>
      </c>
      <c r="E8" s="605" t="s">
        <v>514</v>
      </c>
      <c r="F8" s="480"/>
      <c r="G8" s="393"/>
      <c r="I8" s="398">
        <v>4</v>
      </c>
      <c r="J8" s="605" t="s">
        <v>835</v>
      </c>
      <c r="K8" s="480"/>
      <c r="L8" s="248" t="s">
        <v>1101</v>
      </c>
    </row>
    <row r="9" spans="1:24" x14ac:dyDescent="0.3">
      <c r="B9" s="393"/>
      <c r="C9" s="393"/>
      <c r="D9" s="398">
        <v>5</v>
      </c>
      <c r="E9" s="605" t="s">
        <v>516</v>
      </c>
      <c r="F9" s="480"/>
      <c r="G9" s="393"/>
    </row>
    <row r="11" spans="1:24" s="245" customFormat="1" ht="15.5" x14ac:dyDescent="0.35">
      <c r="A11" s="246" t="s">
        <v>31</v>
      </c>
      <c r="B11" s="239" t="s">
        <v>481</v>
      </c>
      <c r="C11" s="240"/>
      <c r="D11" s="240"/>
      <c r="E11" s="240"/>
      <c r="F11" s="240"/>
      <c r="G11" s="241"/>
      <c r="H11" s="242" t="s">
        <v>389</v>
      </c>
      <c r="I11" s="243"/>
      <c r="J11" s="243"/>
      <c r="K11" s="243"/>
      <c r="L11" s="243"/>
      <c r="M11" s="244"/>
      <c r="N11" s="242" t="s">
        <v>391</v>
      </c>
      <c r="O11" s="243"/>
      <c r="P11" s="243"/>
      <c r="Q11" s="243"/>
      <c r="R11" s="244"/>
      <c r="V11" s="248"/>
      <c r="W11" s="248"/>
      <c r="X11" s="248"/>
    </row>
    <row r="12" spans="1:24" x14ac:dyDescent="0.3">
      <c r="A12" s="894"/>
      <c r="B12" s="549" t="s">
        <v>379</v>
      </c>
      <c r="C12" s="549"/>
      <c r="D12" s="549"/>
      <c r="E12" s="549"/>
      <c r="F12" s="549"/>
      <c r="G12" s="549"/>
      <c r="H12" s="549"/>
      <c r="I12" s="549"/>
      <c r="J12" s="549"/>
      <c r="K12" s="576"/>
      <c r="L12" s="576"/>
      <c r="M12" s="250" t="s">
        <v>393</v>
      </c>
      <c r="N12" s="549"/>
      <c r="O12" s="549"/>
      <c r="P12" s="549"/>
      <c r="Q12" s="549"/>
      <c r="R12" s="549"/>
      <c r="S12" s="549"/>
    </row>
    <row r="13" spans="1:24" ht="14.5" x14ac:dyDescent="0.45">
      <c r="A13" s="894"/>
      <c r="B13" s="549"/>
      <c r="C13" s="549"/>
      <c r="D13" s="549"/>
      <c r="E13" s="549"/>
      <c r="F13" s="577" t="s">
        <v>370</v>
      </c>
      <c r="G13" s="549"/>
      <c r="H13" s="549"/>
      <c r="I13" s="549"/>
      <c r="J13" s="549"/>
      <c r="K13" s="577" t="s">
        <v>370</v>
      </c>
      <c r="L13" s="577" t="s">
        <v>392</v>
      </c>
      <c r="M13" s="403" t="s">
        <v>394</v>
      </c>
      <c r="N13" s="549"/>
      <c r="O13" s="549"/>
      <c r="P13" s="549"/>
      <c r="Q13" s="549"/>
      <c r="R13" s="577" t="s">
        <v>370</v>
      </c>
      <c r="S13" s="549"/>
    </row>
    <row r="14" spans="1:24" ht="12.75" customHeight="1" x14ac:dyDescent="0.3">
      <c r="A14" s="895"/>
      <c r="B14" s="549" t="s">
        <v>834</v>
      </c>
      <c r="C14" s="549"/>
      <c r="D14" s="549"/>
      <c r="E14" s="549"/>
      <c r="F14" s="578">
        <f>315/1.3</f>
        <v>242.30769230769229</v>
      </c>
      <c r="G14" s="549"/>
      <c r="H14" s="549" t="s">
        <v>390</v>
      </c>
      <c r="I14" s="549"/>
      <c r="J14" s="549"/>
      <c r="K14" s="563">
        <f>H84+F26</f>
        <v>84.187449999999998</v>
      </c>
      <c r="L14" s="564">
        <f ca="1">K14/$K$24</f>
        <v>1.1050568343471383E-2</v>
      </c>
      <c r="M14" s="307">
        <v>0.03</v>
      </c>
      <c r="N14" s="549" t="s">
        <v>395</v>
      </c>
      <c r="O14" s="549"/>
      <c r="P14" s="549"/>
      <c r="Q14" s="549"/>
      <c r="R14" s="563">
        <f ca="1">F16*F18</f>
        <v>7048.9174184113099</v>
      </c>
      <c r="S14" s="549"/>
    </row>
    <row r="15" spans="1:24" ht="12.75" customHeight="1" x14ac:dyDescent="0.3">
      <c r="A15" s="894"/>
      <c r="B15" s="549" t="s">
        <v>780</v>
      </c>
      <c r="C15" s="549"/>
      <c r="D15" s="549"/>
      <c r="E15" s="549"/>
      <c r="F15" s="616">
        <f ca="1">'LBO Model'!E507</f>
        <v>0.28021880196016624</v>
      </c>
      <c r="G15" s="549"/>
      <c r="H15" s="549" t="s">
        <v>195</v>
      </c>
      <c r="I15" s="549"/>
      <c r="J15" s="549"/>
      <c r="K15" s="549">
        <f ca="1">L15*$K$24</f>
        <v>750.00033463008185</v>
      </c>
      <c r="L15" s="580">
        <f ca="1">1-SUM(L14,L16:L18,L22)</f>
        <v>9.8446145541361885E-2</v>
      </c>
      <c r="M15" s="307">
        <f>1.7069%+2%</f>
        <v>3.7069000000000005E-2</v>
      </c>
      <c r="N15" s="549" t="s">
        <v>396</v>
      </c>
      <c r="O15" s="549"/>
      <c r="P15" s="549"/>
      <c r="Q15" s="549"/>
      <c r="R15" s="549">
        <f ca="1">F16*F19+F22</f>
        <v>3.6161315887971615</v>
      </c>
      <c r="S15" s="549"/>
    </row>
    <row r="16" spans="1:24" ht="12.75" customHeight="1" x14ac:dyDescent="0.3">
      <c r="A16" s="894"/>
      <c r="B16" s="497" t="s">
        <v>779</v>
      </c>
      <c r="C16" s="497"/>
      <c r="D16" s="497"/>
      <c r="E16" s="497"/>
      <c r="F16" s="571">
        <f ca="1">F14*(1+F15)</f>
        <v>310.20686355188644</v>
      </c>
      <c r="G16" s="254"/>
      <c r="H16" s="549" t="s">
        <v>196</v>
      </c>
      <c r="I16" s="549"/>
      <c r="J16" s="549"/>
      <c r="K16" s="549">
        <f ca="1">L16*$K$24</f>
        <v>2250.0009025775685</v>
      </c>
      <c r="L16" s="606">
        <f ca="1">'LBO Model'!E509</f>
        <v>0.29533842332563481</v>
      </c>
      <c r="M16" s="307">
        <v>6.3E-2</v>
      </c>
      <c r="N16" s="549" t="s">
        <v>784</v>
      </c>
      <c r="O16" s="549"/>
      <c r="P16" s="549"/>
      <c r="Q16" s="549"/>
      <c r="R16" s="549">
        <f>F24</f>
        <v>427.82299999999998</v>
      </c>
      <c r="S16" s="549"/>
    </row>
    <row r="17" spans="1:20" ht="12.75" customHeight="1" x14ac:dyDescent="0.3">
      <c r="A17" s="894"/>
      <c r="B17" s="549"/>
      <c r="C17" s="549"/>
      <c r="D17" s="549"/>
      <c r="E17" s="549"/>
      <c r="F17" s="549"/>
      <c r="G17" s="549"/>
      <c r="H17" s="549" t="s">
        <v>197</v>
      </c>
      <c r="I17" s="549"/>
      <c r="J17" s="549"/>
      <c r="K17" s="549">
        <f ca="1">L17*$K$24</f>
        <v>0</v>
      </c>
      <c r="L17" s="606">
        <f ca="1">'LBO Model'!E510</f>
        <v>0</v>
      </c>
      <c r="M17" s="307">
        <v>9.5000000000000001E-2</v>
      </c>
      <c r="N17" s="549" t="s">
        <v>201</v>
      </c>
      <c r="O17" s="549"/>
      <c r="P17" s="549"/>
      <c r="Q17" s="549"/>
      <c r="R17" s="549">
        <f ca="1">IFERROR(E65,-1)</f>
        <v>67.500027837172794</v>
      </c>
      <c r="S17" s="549"/>
      <c r="T17" s="320" t="str">
        <f ca="1">IF(R17=-1,"Possible Recurision Error","Recursion Point")</f>
        <v>Recursion Point</v>
      </c>
    </row>
    <row r="18" spans="1:20" ht="12.75" customHeight="1" x14ac:dyDescent="0.3">
      <c r="A18" s="894"/>
      <c r="B18" s="549" t="s">
        <v>503</v>
      </c>
      <c r="C18" s="549"/>
      <c r="D18" s="549"/>
      <c r="E18" s="549"/>
      <c r="F18" s="572">
        <v>22.723279999999999</v>
      </c>
      <c r="G18" s="558"/>
      <c r="H18" s="549" t="s">
        <v>198</v>
      </c>
      <c r="I18" s="549"/>
      <c r="J18" s="549"/>
      <c r="K18" s="549">
        <f ca="1">L18*$K$24</f>
        <v>4534.1932261296397</v>
      </c>
      <c r="L18" s="606">
        <f ca="1">'LBO Model'!E511</f>
        <v>0.59516486278953196</v>
      </c>
      <c r="M18" s="227"/>
      <c r="N18" s="549" t="s">
        <v>397</v>
      </c>
      <c r="O18" s="549"/>
      <c r="P18" s="549"/>
      <c r="Q18" s="549"/>
      <c r="R18" s="549">
        <f ca="1">E71</f>
        <v>70.525335500001063</v>
      </c>
      <c r="S18" s="549"/>
    </row>
    <row r="19" spans="1:20" ht="12.75" customHeight="1" x14ac:dyDescent="0.3">
      <c r="A19" s="894"/>
      <c r="B19" s="549" t="s">
        <v>841</v>
      </c>
      <c r="C19" s="549"/>
      <c r="D19" s="549"/>
      <c r="E19" s="549"/>
      <c r="F19" s="647">
        <f ca="1">G77</f>
        <v>2.5000000000000001E-2</v>
      </c>
      <c r="G19" s="549"/>
      <c r="H19" s="549"/>
      <c r="I19" s="549"/>
      <c r="J19" s="549"/>
      <c r="K19" s="549"/>
      <c r="L19" s="564"/>
      <c r="M19" s="227"/>
      <c r="R19" s="549"/>
      <c r="S19" s="549"/>
    </row>
    <row r="20" spans="1:20" ht="12.75" customHeight="1" x14ac:dyDescent="0.3">
      <c r="A20" s="894"/>
      <c r="B20" s="304" t="s">
        <v>781</v>
      </c>
      <c r="C20" s="304"/>
      <c r="D20" s="304"/>
      <c r="E20" s="304"/>
      <c r="F20" s="304">
        <f ca="1">F18+F19</f>
        <v>22.748279999999998</v>
      </c>
      <c r="G20" s="891"/>
      <c r="H20" s="866" t="s">
        <v>398</v>
      </c>
      <c r="I20" s="866"/>
      <c r="J20" s="866"/>
      <c r="K20" s="867">
        <f ca="1">SUM(K14:K18)</f>
        <v>7618.3819133372899</v>
      </c>
      <c r="L20" s="868">
        <f ca="1">K20/$K$24</f>
        <v>1</v>
      </c>
      <c r="M20" s="869"/>
      <c r="N20" s="866" t="s">
        <v>399</v>
      </c>
      <c r="O20" s="870"/>
      <c r="P20" s="870"/>
      <c r="Q20" s="870"/>
      <c r="R20" s="893">
        <f ca="1">SUM(R14:R18)</f>
        <v>7618.3819133372817</v>
      </c>
      <c r="S20" s="549"/>
    </row>
    <row r="21" spans="1:20" ht="12.75" customHeight="1" x14ac:dyDescent="0.3">
      <c r="A21" s="894"/>
      <c r="B21" s="549" t="s">
        <v>782</v>
      </c>
      <c r="C21" s="549"/>
      <c r="D21" s="549"/>
      <c r="E21" s="549"/>
      <c r="F21" s="563">
        <f ca="1">F16</f>
        <v>310.20686355188644</v>
      </c>
      <c r="G21" s="549"/>
      <c r="H21" s="549"/>
      <c r="I21" s="549"/>
      <c r="J21" s="549"/>
      <c r="K21" s="549"/>
      <c r="L21" s="564"/>
      <c r="M21" s="227"/>
      <c r="N21" s="549"/>
      <c r="O21" s="549"/>
      <c r="P21" s="549"/>
      <c r="Q21" s="549"/>
      <c r="R21" s="549"/>
      <c r="S21" s="549"/>
    </row>
    <row r="22" spans="1:20" ht="12.75" customHeight="1" x14ac:dyDescent="0.3">
      <c r="A22" s="894"/>
      <c r="B22" s="549" t="s">
        <v>842</v>
      </c>
      <c r="C22" s="549"/>
      <c r="D22" s="549"/>
      <c r="E22" s="549"/>
      <c r="F22" s="549">
        <f ca="1">-H77</f>
        <v>-4.1390399999999996</v>
      </c>
      <c r="G22" s="549"/>
      <c r="H22" s="549" t="s">
        <v>371</v>
      </c>
      <c r="I22" s="549"/>
      <c r="J22" s="549"/>
      <c r="K22" s="582">
        <f>F25</f>
        <v>0</v>
      </c>
      <c r="L22" s="564">
        <f ca="1">K22/$K$24</f>
        <v>0</v>
      </c>
      <c r="M22" s="307">
        <v>6.3899999999999998E-2</v>
      </c>
      <c r="N22" s="549" t="s">
        <v>371</v>
      </c>
      <c r="O22" s="549"/>
      <c r="P22" s="549"/>
      <c r="Q22" s="549"/>
      <c r="R22" s="549">
        <f>K22</f>
        <v>0</v>
      </c>
      <c r="S22" s="549"/>
    </row>
    <row r="23" spans="1:20" ht="12.75" customHeight="1" x14ac:dyDescent="0.3">
      <c r="A23" s="894"/>
      <c r="B23" s="304" t="s">
        <v>369</v>
      </c>
      <c r="C23" s="304"/>
      <c r="D23" s="304"/>
      <c r="E23" s="304"/>
      <c r="F23" s="305">
        <f ca="1">F20*F21+F22</f>
        <v>7052.5335500001065</v>
      </c>
      <c r="G23" s="891"/>
      <c r="H23" s="549"/>
      <c r="I23" s="549"/>
      <c r="J23" s="549"/>
      <c r="K23" s="549"/>
      <c r="L23" s="564"/>
      <c r="M23" s="227"/>
      <c r="N23" s="549"/>
      <c r="O23" s="549"/>
      <c r="P23" s="549"/>
      <c r="Q23" s="549"/>
      <c r="R23" s="549"/>
      <c r="S23" s="549"/>
    </row>
    <row r="24" spans="1:20" ht="12.75" customHeight="1" x14ac:dyDescent="0.3">
      <c r="A24" s="894"/>
      <c r="B24" s="549" t="s">
        <v>783</v>
      </c>
      <c r="C24" s="549"/>
      <c r="D24" s="549"/>
      <c r="E24" s="549"/>
      <c r="F24" s="549">
        <f>H108-F25</f>
        <v>427.82299999999998</v>
      </c>
      <c r="G24" s="549"/>
      <c r="H24" s="558" t="s">
        <v>199</v>
      </c>
      <c r="I24" s="549"/>
      <c r="J24" s="549"/>
      <c r="K24" s="573">
        <f ca="1">R24</f>
        <v>7618.3819133372854</v>
      </c>
      <c r="L24" s="574">
        <f ca="1">K24/$K$24</f>
        <v>1</v>
      </c>
      <c r="M24" s="227"/>
      <c r="N24" s="558" t="s">
        <v>202</v>
      </c>
      <c r="O24" s="549"/>
      <c r="P24" s="549"/>
      <c r="Q24" s="549"/>
      <c r="R24" s="573">
        <f ca="1">R20+R22</f>
        <v>7618.3819133372817</v>
      </c>
      <c r="S24" s="549"/>
    </row>
    <row r="25" spans="1:20" ht="12.75" customHeight="1" x14ac:dyDescent="0.3">
      <c r="A25" s="894"/>
      <c r="B25" s="549" t="s">
        <v>785</v>
      </c>
      <c r="C25" s="549"/>
      <c r="D25" s="549"/>
      <c r="E25" s="549"/>
      <c r="F25" s="572">
        <v>0</v>
      </c>
      <c r="G25" s="549"/>
      <c r="H25" s="549"/>
      <c r="I25" s="549"/>
      <c r="J25" s="549"/>
      <c r="K25" s="549"/>
      <c r="L25" s="549"/>
      <c r="M25" s="230"/>
      <c r="N25" s="549"/>
      <c r="O25" s="549"/>
      <c r="P25" s="549"/>
      <c r="Q25" s="549"/>
      <c r="R25" s="230"/>
    </row>
    <row r="26" spans="1:20" ht="12.75" customHeight="1" x14ac:dyDescent="0.3">
      <c r="A26" s="894"/>
      <c r="B26" s="549" t="s">
        <v>786</v>
      </c>
      <c r="C26" s="549"/>
      <c r="D26" s="549"/>
      <c r="E26" s="549"/>
      <c r="F26" s="572">
        <v>-21.341550000000002</v>
      </c>
      <c r="G26" s="558"/>
      <c r="H26" s="549"/>
      <c r="I26" s="549"/>
      <c r="J26" s="549"/>
      <c r="K26" s="549"/>
      <c r="L26" s="549"/>
      <c r="M26" s="230"/>
      <c r="N26" s="549"/>
      <c r="O26" s="549"/>
      <c r="P26" s="549"/>
      <c r="Q26" s="549"/>
      <c r="R26" s="230"/>
    </row>
    <row r="27" spans="1:20" ht="12.75" customHeight="1" x14ac:dyDescent="0.3">
      <c r="A27" s="894"/>
      <c r="B27" s="497" t="s">
        <v>833</v>
      </c>
      <c r="C27" s="497"/>
      <c r="D27" s="497"/>
      <c r="E27" s="497"/>
      <c r="F27" s="498">
        <f ca="1">F23+F24+F25+F26</f>
        <v>7459.0150000001067</v>
      </c>
      <c r="G27" s="254"/>
      <c r="H27" s="549"/>
      <c r="I27" s="549"/>
      <c r="J27" s="549"/>
      <c r="K27" s="549"/>
      <c r="L27" s="549"/>
      <c r="M27" s="230"/>
      <c r="N27" s="549"/>
      <c r="O27" s="549"/>
      <c r="P27" s="549"/>
      <c r="Q27" s="549"/>
      <c r="R27" s="230"/>
    </row>
    <row r="28" spans="1:20" ht="12.75" customHeight="1" x14ac:dyDescent="0.3">
      <c r="A28" s="894"/>
      <c r="B28" s="549"/>
      <c r="C28" s="549"/>
      <c r="D28" s="549"/>
      <c r="E28" s="549"/>
      <c r="F28" s="549"/>
      <c r="G28" s="549"/>
      <c r="H28" s="549"/>
      <c r="I28" s="549"/>
      <c r="J28" s="549"/>
      <c r="K28" s="549"/>
      <c r="L28" s="549"/>
      <c r="M28" s="230"/>
      <c r="N28" s="549"/>
      <c r="O28" s="549"/>
      <c r="P28" s="549"/>
      <c r="Q28" s="549"/>
      <c r="R28" s="230"/>
    </row>
    <row r="29" spans="1:20" ht="12.75" customHeight="1" x14ac:dyDescent="0.3">
      <c r="A29" s="894"/>
      <c r="B29" s="549" t="s">
        <v>787</v>
      </c>
      <c r="C29" s="549"/>
      <c r="D29" s="549"/>
      <c r="E29" s="549"/>
      <c r="F29" s="549">
        <f ca="1">R17+R18</f>
        <v>138.02536333717387</v>
      </c>
      <c r="G29" s="549"/>
      <c r="H29" s="549"/>
      <c r="I29" s="549"/>
      <c r="J29" s="549"/>
      <c r="K29" s="549"/>
      <c r="L29" s="549"/>
      <c r="M29" s="230"/>
      <c r="N29" s="549"/>
      <c r="O29" s="549"/>
      <c r="P29" s="549"/>
      <c r="Q29" s="549"/>
      <c r="R29" s="230"/>
    </row>
    <row r="30" spans="1:20" ht="12.75" customHeight="1" x14ac:dyDescent="0.3">
      <c r="A30" s="894"/>
      <c r="B30" s="497" t="s">
        <v>827</v>
      </c>
      <c r="C30" s="254"/>
      <c r="D30" s="254"/>
      <c r="E30" s="254"/>
      <c r="F30" s="498">
        <f ca="1">F27+F29</f>
        <v>7597.0403633372807</v>
      </c>
      <c r="G30" s="254"/>
      <c r="H30" s="549"/>
      <c r="I30" s="549"/>
      <c r="J30" s="549"/>
      <c r="K30" s="549"/>
      <c r="L30" s="549"/>
      <c r="M30" s="230"/>
      <c r="N30" s="549"/>
      <c r="O30" s="549"/>
      <c r="P30" s="549"/>
      <c r="Q30" s="549"/>
      <c r="R30" s="230"/>
    </row>
    <row r="31" spans="1:20" ht="12.75" customHeight="1" x14ac:dyDescent="0.3">
      <c r="A31" s="894"/>
      <c r="B31" s="549"/>
      <c r="C31" s="549"/>
      <c r="D31" s="549"/>
      <c r="E31" s="549"/>
      <c r="F31" s="549"/>
      <c r="G31" s="549"/>
      <c r="H31" s="549"/>
      <c r="I31" s="549"/>
      <c r="J31" s="549"/>
      <c r="K31" s="906" t="s">
        <v>618</v>
      </c>
      <c r="L31" s="906" t="s">
        <v>619</v>
      </c>
      <c r="M31" s="230"/>
      <c r="N31" s="549"/>
      <c r="O31" s="549"/>
      <c r="P31" s="549"/>
      <c r="Q31" s="549"/>
      <c r="R31" s="230"/>
    </row>
    <row r="32" spans="1:20" ht="12.75" customHeight="1" x14ac:dyDescent="0.3">
      <c r="A32" s="894"/>
      <c r="B32" s="549" t="s">
        <v>412</v>
      </c>
      <c r="C32" s="549"/>
      <c r="D32" s="549"/>
      <c r="E32" s="549"/>
      <c r="F32" s="563">
        <f>H162</f>
        <v>403.19000000000017</v>
      </c>
      <c r="H32" s="549" t="s">
        <v>1050</v>
      </c>
      <c r="K32" s="563">
        <f ca="1">I162</f>
        <v>440.89999999999992</v>
      </c>
      <c r="L32" s="563">
        <f ca="1">J162</f>
        <v>489.40000000000043</v>
      </c>
      <c r="M32" s="230"/>
      <c r="N32" s="549"/>
      <c r="O32" s="549"/>
      <c r="P32" s="549"/>
      <c r="Q32" s="549"/>
      <c r="R32" s="230"/>
    </row>
    <row r="33" spans="1:18" ht="12.75" customHeight="1" x14ac:dyDescent="0.3">
      <c r="A33" s="894"/>
      <c r="B33" s="549"/>
      <c r="C33" s="549"/>
      <c r="D33" s="549"/>
      <c r="E33" s="549"/>
      <c r="F33" s="549"/>
      <c r="G33" s="549"/>
      <c r="H33" s="549"/>
      <c r="I33" s="549"/>
      <c r="K33" s="549"/>
      <c r="L33" s="549"/>
      <c r="M33" s="230"/>
      <c r="N33" s="549"/>
      <c r="O33" s="549"/>
      <c r="P33" s="549"/>
      <c r="Q33" s="549"/>
      <c r="R33" s="230"/>
    </row>
    <row r="34" spans="1:18" ht="12.75" customHeight="1" x14ac:dyDescent="0.3">
      <c r="A34" s="894"/>
      <c r="B34" s="549" t="s">
        <v>413</v>
      </c>
      <c r="C34" s="549"/>
      <c r="D34" s="549"/>
      <c r="E34" s="549"/>
      <c r="F34" s="496">
        <f ca="1">F27/F32</f>
        <v>18.500000000000256</v>
      </c>
      <c r="H34" s="549" t="s">
        <v>1098</v>
      </c>
      <c r="I34" s="549"/>
      <c r="K34" s="496">
        <f ca="1">F27/K32</f>
        <v>16.917702426854408</v>
      </c>
      <c r="L34" s="496">
        <f ca="1">F27/L32</f>
        <v>15.241142214957295</v>
      </c>
      <c r="M34" s="230"/>
      <c r="N34" s="549"/>
      <c r="O34" s="549"/>
      <c r="P34" s="549"/>
      <c r="Q34" s="549"/>
      <c r="R34" s="230"/>
    </row>
    <row r="35" spans="1:18" ht="12.75" customHeight="1" x14ac:dyDescent="0.3">
      <c r="A35" s="894"/>
      <c r="B35" s="549" t="s">
        <v>414</v>
      </c>
      <c r="C35" s="549"/>
      <c r="D35" s="549"/>
      <c r="E35" s="549"/>
      <c r="F35" s="496">
        <f ca="1">F30/F32</f>
        <v>18.842333300273513</v>
      </c>
      <c r="H35" s="549" t="s">
        <v>1099</v>
      </c>
      <c r="I35" s="549"/>
      <c r="K35" s="496">
        <f ca="1">F30/K32</f>
        <v>17.230756097385534</v>
      </c>
      <c r="L35" s="496">
        <f ca="1">F30/L32</f>
        <v>15.523171972491365</v>
      </c>
      <c r="M35" s="230"/>
      <c r="N35" s="549"/>
      <c r="O35" s="549"/>
      <c r="P35" s="549"/>
      <c r="Q35" s="549"/>
      <c r="R35" s="230"/>
    </row>
    <row r="36" spans="1:18" ht="12.75" customHeight="1" x14ac:dyDescent="0.3">
      <c r="G36" s="258"/>
      <c r="H36" s="549"/>
      <c r="I36" s="549"/>
      <c r="J36" s="549"/>
      <c r="K36" s="549"/>
      <c r="L36" s="549"/>
      <c r="M36" s="230"/>
      <c r="N36" s="549"/>
      <c r="O36" s="549"/>
      <c r="P36" s="549"/>
      <c r="Q36" s="549"/>
      <c r="R36" s="259"/>
    </row>
    <row r="37" spans="1:18" ht="15.5" x14ac:dyDescent="0.35">
      <c r="B37" s="239" t="s">
        <v>373</v>
      </c>
      <c r="C37" s="260"/>
      <c r="D37" s="260"/>
      <c r="E37" s="260"/>
      <c r="F37" s="260"/>
      <c r="G37" s="260"/>
      <c r="H37" s="892" t="s">
        <v>359</v>
      </c>
      <c r="I37" s="916"/>
      <c r="J37" s="916"/>
      <c r="K37" s="916"/>
      <c r="L37" s="916"/>
      <c r="M37" s="916"/>
      <c r="N37" s="916"/>
      <c r="O37" s="916"/>
      <c r="P37" s="916"/>
      <c r="Q37" s="916"/>
      <c r="R37" s="244"/>
    </row>
    <row r="38" spans="1:18" ht="12.75" customHeight="1" x14ac:dyDescent="0.3">
      <c r="B38" s="247"/>
      <c r="C38" s="549"/>
      <c r="D38" s="549"/>
      <c r="E38" s="549"/>
      <c r="F38" s="547" t="s">
        <v>663</v>
      </c>
      <c r="G38" s="547"/>
      <c r="H38" s="549"/>
      <c r="I38" s="549"/>
      <c r="J38" s="549"/>
      <c r="K38" s="576" t="s">
        <v>109</v>
      </c>
      <c r="L38" s="547" t="s">
        <v>364</v>
      </c>
      <c r="M38" s="547"/>
      <c r="N38" s="547"/>
      <c r="O38" s="547"/>
      <c r="P38" s="547"/>
      <c r="Q38" s="576" t="s">
        <v>145</v>
      </c>
      <c r="R38" s="230"/>
    </row>
    <row r="39" spans="1:18" ht="14.5" x14ac:dyDescent="0.45">
      <c r="B39" s="247"/>
      <c r="C39" s="549"/>
      <c r="D39" s="549"/>
      <c r="E39" s="577" t="s">
        <v>370</v>
      </c>
      <c r="F39" s="499" t="s">
        <v>664</v>
      </c>
      <c r="G39" s="499" t="s">
        <v>662</v>
      </c>
      <c r="H39" s="549"/>
      <c r="I39" s="549"/>
      <c r="J39" s="549"/>
      <c r="K39" s="583">
        <f>H143</f>
        <v>42731</v>
      </c>
      <c r="L39" s="405">
        <f>DATE(YEAR(K39)+1,MONTH(K39),DAY(K39))</f>
        <v>43096</v>
      </c>
      <c r="M39" s="405">
        <f>DATE(YEAR(L39)+1,MONTH(L39),DAY(L39))</f>
        <v>43461</v>
      </c>
      <c r="N39" s="405">
        <f>DATE(YEAR(M39)+1,MONTH(M39),DAY(M39))</f>
        <v>43826</v>
      </c>
      <c r="O39" s="405">
        <f>DATE(YEAR(N39)+1,MONTH(N39),DAY(N39))</f>
        <v>44192</v>
      </c>
      <c r="P39" s="405">
        <f>DATE(YEAR(O39)+1,MONTH(O39),DAY(O39))</f>
        <v>44557</v>
      </c>
      <c r="Q39" s="584" t="s">
        <v>729</v>
      </c>
      <c r="R39" s="230"/>
    </row>
    <row r="40" spans="1:18" ht="12.75" customHeight="1" x14ac:dyDescent="0.3">
      <c r="B40" s="247" t="s">
        <v>412</v>
      </c>
      <c r="C40" s="549"/>
      <c r="D40" s="549"/>
      <c r="E40" s="585">
        <f>F32</f>
        <v>403.19000000000017</v>
      </c>
      <c r="F40" s="549"/>
      <c r="G40" s="549"/>
      <c r="H40" s="549" t="s">
        <v>107</v>
      </c>
      <c r="I40" s="549"/>
      <c r="J40" s="549"/>
      <c r="K40" s="563">
        <f t="shared" ref="K40:P40" si="0">H148</f>
        <v>2795.3650000000002</v>
      </c>
      <c r="L40" s="563">
        <f t="shared" ca="1" si="0"/>
        <v>2846.1157142857151</v>
      </c>
      <c r="M40" s="563">
        <f t="shared" ca="1" si="0"/>
        <v>3083.1444285714297</v>
      </c>
      <c r="N40" s="563">
        <f t="shared" ca="1" si="0"/>
        <v>3374.4200000000014</v>
      </c>
      <c r="O40" s="563">
        <f t="shared" ca="1" si="0"/>
        <v>3886.8910000000014</v>
      </c>
      <c r="P40" s="563">
        <f t="shared" ca="1" si="0"/>
        <v>4220.0080000000016</v>
      </c>
      <c r="Q40" s="564">
        <f ca="1">(P40/K40)^(1/5)-1</f>
        <v>8.5862787747297054E-2</v>
      </c>
      <c r="R40" s="230"/>
    </row>
    <row r="41" spans="1:18" ht="12.75" customHeight="1" x14ac:dyDescent="0.3">
      <c r="B41" s="247"/>
      <c r="G41" s="549"/>
      <c r="H41" s="556" t="s">
        <v>140</v>
      </c>
      <c r="I41" s="557"/>
      <c r="J41" s="557"/>
      <c r="K41" s="548">
        <f t="shared" ref="K41:P41" si="1">H183</f>
        <v>4.2432073628234201E-2</v>
      </c>
      <c r="L41" s="548">
        <f t="shared" ca="1" si="1"/>
        <v>1.8155308621848887E-2</v>
      </c>
      <c r="M41" s="548">
        <f t="shared" ca="1" si="1"/>
        <v>8.3281474852192172E-2</v>
      </c>
      <c r="N41" s="548">
        <f t="shared" ca="1" si="1"/>
        <v>9.4473540950377632E-2</v>
      </c>
      <c r="O41" s="548">
        <f t="shared" ca="1" si="1"/>
        <v>0.15186935828972081</v>
      </c>
      <c r="P41" s="548">
        <f t="shared" ca="1" si="1"/>
        <v>8.5702686285774377E-2</v>
      </c>
      <c r="Q41" s="564"/>
      <c r="R41" s="230"/>
    </row>
    <row r="42" spans="1:18" ht="12.75" customHeight="1" x14ac:dyDescent="0.3">
      <c r="B42" s="247" t="s">
        <v>195</v>
      </c>
      <c r="C42" s="549"/>
      <c r="D42" s="549"/>
      <c r="E42" s="549">
        <f ca="1">K15</f>
        <v>750.00033463008185</v>
      </c>
      <c r="F42" s="587">
        <f ca="1">E42/$E$40</f>
        <v>1.8601660126245232</v>
      </c>
      <c r="G42" s="587">
        <f ca="1">E42/$E$40</f>
        <v>1.8601660126245232</v>
      </c>
      <c r="H42" s="549"/>
      <c r="I42" s="549"/>
      <c r="J42" s="549"/>
      <c r="K42" s="549"/>
      <c r="L42" s="549"/>
      <c r="M42" s="549"/>
      <c r="N42" s="549"/>
      <c r="O42" s="549"/>
      <c r="P42" s="549"/>
      <c r="Q42" s="564"/>
      <c r="R42" s="230"/>
    </row>
    <row r="43" spans="1:18" ht="12.75" customHeight="1" x14ac:dyDescent="0.3">
      <c r="A43" s="570"/>
      <c r="B43" s="247" t="s">
        <v>196</v>
      </c>
      <c r="C43" s="549"/>
      <c r="D43" s="549"/>
      <c r="E43" s="549">
        <f ca="1">K16</f>
        <v>2250.0009025775685</v>
      </c>
      <c r="F43" s="587">
        <f ca="1">E43/$E$40</f>
        <v>5.5804977865958172</v>
      </c>
      <c r="G43" s="587">
        <f ca="1">SUM(E42:E43)/$E$40</f>
        <v>7.4406637992203404</v>
      </c>
      <c r="H43" s="549" t="s">
        <v>111</v>
      </c>
      <c r="I43" s="549"/>
      <c r="J43" s="549"/>
      <c r="K43" s="549">
        <f t="shared" ref="K43:P43" si="2">H162</f>
        <v>403.19000000000017</v>
      </c>
      <c r="L43" s="549">
        <f t="shared" ca="1" si="2"/>
        <v>440.89999999999992</v>
      </c>
      <c r="M43" s="549">
        <f t="shared" ca="1" si="2"/>
        <v>489.40000000000043</v>
      </c>
      <c r="N43" s="549">
        <f t="shared" ca="1" si="2"/>
        <v>561.10000000000059</v>
      </c>
      <c r="O43" s="549">
        <f t="shared" ca="1" si="2"/>
        <v>631.60000000000036</v>
      </c>
      <c r="P43" s="549">
        <f t="shared" ca="1" si="2"/>
        <v>692.1000000000007</v>
      </c>
      <c r="Q43" s="564">
        <f ca="1">(P43/K43)^(1/5)-1</f>
        <v>0.11411961247036118</v>
      </c>
      <c r="R43" s="230"/>
    </row>
    <row r="44" spans="1:18" ht="12.75" customHeight="1" x14ac:dyDescent="0.3">
      <c r="A44" s="570"/>
      <c r="B44" s="247" t="s">
        <v>197</v>
      </c>
      <c r="C44" s="549"/>
      <c r="D44" s="549"/>
      <c r="E44" s="549">
        <f ca="1">K17</f>
        <v>0</v>
      </c>
      <c r="F44" s="587">
        <f ca="1">E44/$E$40</f>
        <v>0</v>
      </c>
      <c r="G44" s="587">
        <f ca="1">SUM(E42:E44)/$E$40</f>
        <v>7.4406637992203404</v>
      </c>
      <c r="H44" s="556" t="s">
        <v>140</v>
      </c>
      <c r="I44" s="557"/>
      <c r="J44" s="557"/>
      <c r="K44" s="586">
        <f t="shared" ref="K44:P44" si="3">H183</f>
        <v>4.2432073628234201E-2</v>
      </c>
      <c r="L44" s="586">
        <f t="shared" ca="1" si="3"/>
        <v>1.8155308621848887E-2</v>
      </c>
      <c r="M44" s="586">
        <f t="shared" ca="1" si="3"/>
        <v>8.3281474852192172E-2</v>
      </c>
      <c r="N44" s="586">
        <f t="shared" ca="1" si="3"/>
        <v>9.4473540950377632E-2</v>
      </c>
      <c r="O44" s="586">
        <f t="shared" ca="1" si="3"/>
        <v>0.15186935828972081</v>
      </c>
      <c r="P44" s="586">
        <f t="shared" ca="1" si="3"/>
        <v>8.5702686285774377E-2</v>
      </c>
      <c r="Q44" s="549"/>
      <c r="R44" s="230"/>
    </row>
    <row r="45" spans="1:18" ht="12.75" customHeight="1" x14ac:dyDescent="0.3">
      <c r="A45" s="570"/>
      <c r="B45" s="247" t="s">
        <v>371</v>
      </c>
      <c r="C45" s="549"/>
      <c r="D45" s="549"/>
      <c r="E45" s="549">
        <f>K22</f>
        <v>0</v>
      </c>
      <c r="F45" s="587">
        <f>E45/$E$40</f>
        <v>0</v>
      </c>
      <c r="G45" s="587">
        <f ca="1">SUM(E42:E45)/$E$40</f>
        <v>7.4406637992203404</v>
      </c>
      <c r="H45" s="556" t="s">
        <v>365</v>
      </c>
      <c r="I45" s="557"/>
      <c r="J45" s="557"/>
      <c r="K45" s="586">
        <f t="shared" ref="K45:P45" si="4">H188</f>
        <v>0.14423518932232468</v>
      </c>
      <c r="L45" s="586">
        <f t="shared" ca="1" si="4"/>
        <v>0.15491288628461541</v>
      </c>
      <c r="M45" s="586">
        <f t="shared" ca="1" si="4"/>
        <v>0.15873404938955882</v>
      </c>
      <c r="N45" s="586">
        <f t="shared" ca="1" si="4"/>
        <v>0.16628042745123617</v>
      </c>
      <c r="O45" s="586">
        <f t="shared" ca="1" si="4"/>
        <v>0.16249490917033693</v>
      </c>
      <c r="P45" s="586">
        <f t="shared" ca="1" si="4"/>
        <v>0.16400442842762394</v>
      </c>
      <c r="Q45" s="549"/>
      <c r="R45" s="230"/>
    </row>
    <row r="46" spans="1:18" ht="12.75" customHeight="1" x14ac:dyDescent="0.3">
      <c r="A46" s="570"/>
      <c r="B46" s="323" t="s">
        <v>314</v>
      </c>
      <c r="C46" s="558"/>
      <c r="D46" s="558"/>
      <c r="E46" s="498">
        <f ca="1">SUM(E42:E45)</f>
        <v>3000.0012372076503</v>
      </c>
      <c r="F46" s="591">
        <f ca="1">SUM(F42:F45)</f>
        <v>7.4406637992203404</v>
      </c>
      <c r="G46" s="591">
        <f ca="1">E46/$E$40</f>
        <v>7.4406637992203404</v>
      </c>
      <c r="H46" s="549"/>
      <c r="I46" s="549"/>
      <c r="J46" s="549"/>
      <c r="K46" s="549"/>
      <c r="L46" s="549"/>
      <c r="M46" s="549"/>
      <c r="N46" s="549"/>
      <c r="O46" s="549"/>
      <c r="P46" s="549"/>
      <c r="Q46" s="549"/>
      <c r="R46" s="230"/>
    </row>
    <row r="47" spans="1:18" ht="12.75" customHeight="1" x14ac:dyDescent="0.3">
      <c r="B47" s="247"/>
      <c r="C47" s="549"/>
      <c r="D47" s="549"/>
      <c r="E47" s="549"/>
      <c r="F47" s="549"/>
      <c r="G47" s="549"/>
      <c r="H47" s="549" t="s">
        <v>1053</v>
      </c>
      <c r="I47" s="549"/>
      <c r="K47" s="248">
        <f>('Raw SEC Filing'!C59+'Raw SEC Filing'!C66)/1000000</f>
        <v>213.02500000000001</v>
      </c>
      <c r="L47" s="248">
        <f ca="1">I212</f>
        <v>198.50686785037226</v>
      </c>
      <c r="M47" s="248">
        <f ca="1">J212</f>
        <v>311.75704487019266</v>
      </c>
      <c r="N47" s="248">
        <f ca="1">K212</f>
        <v>356.15009104913759</v>
      </c>
      <c r="O47" s="248">
        <f ca="1">L212</f>
        <v>425.10316877047893</v>
      </c>
      <c r="P47" s="248">
        <f ca="1">M212</f>
        <v>451.70685352504285</v>
      </c>
      <c r="Q47" s="564">
        <f ca="1">(P47/K47)^(1/5)-1</f>
        <v>0.16221164118195808</v>
      </c>
      <c r="R47" s="230"/>
    </row>
    <row r="48" spans="1:18" ht="12.75" customHeight="1" x14ac:dyDescent="0.3">
      <c r="B48" s="247"/>
      <c r="C48" s="549"/>
      <c r="D48" s="549"/>
      <c r="E48" s="549"/>
      <c r="F48" s="549"/>
      <c r="G48" s="549"/>
      <c r="H48" s="549"/>
      <c r="I48" s="549"/>
      <c r="J48" s="549"/>
      <c r="K48" s="549"/>
      <c r="L48" s="549"/>
      <c r="M48" s="549"/>
      <c r="N48" s="549"/>
      <c r="O48" s="549"/>
      <c r="P48" s="549"/>
      <c r="Q48" s="549"/>
      <c r="R48" s="230"/>
    </row>
    <row r="49" spans="2:20" ht="12.75" customHeight="1" x14ac:dyDescent="0.3">
      <c r="B49" s="247"/>
      <c r="C49" s="549"/>
      <c r="D49" s="549"/>
      <c r="E49" s="549"/>
      <c r="F49" s="549"/>
      <c r="G49" s="549"/>
      <c r="H49" s="549" t="s">
        <v>1028</v>
      </c>
      <c r="I49" s="549"/>
      <c r="J49" s="549"/>
      <c r="K49" s="549">
        <f t="shared" ref="K49:P49" si="5">H169+H171-H170</f>
        <v>8.8840000000000003</v>
      </c>
      <c r="L49" s="549">
        <f t="shared" ca="1" si="5"/>
        <v>174.13839668673876</v>
      </c>
      <c r="M49" s="549">
        <f t="shared" ca="1" si="5"/>
        <v>170.86082758578993</v>
      </c>
      <c r="N49" s="549">
        <f t="shared" ca="1" si="5"/>
        <v>164.48245205870492</v>
      </c>
      <c r="O49" s="549">
        <f t="shared" ca="1" si="5"/>
        <v>155.72268489242822</v>
      </c>
      <c r="P49" s="549">
        <f t="shared" ca="1" si="5"/>
        <v>141.98782935250091</v>
      </c>
      <c r="Q49" s="549"/>
      <c r="R49" s="230"/>
    </row>
    <row r="50" spans="2:20" ht="12.75" customHeight="1" x14ac:dyDescent="0.3">
      <c r="B50" s="247"/>
      <c r="C50" s="549"/>
      <c r="D50" s="549"/>
      <c r="E50" s="549"/>
      <c r="F50" s="549"/>
      <c r="G50" s="549"/>
      <c r="H50" s="549"/>
      <c r="I50" s="549"/>
      <c r="J50" s="549"/>
      <c r="K50" s="549"/>
      <c r="L50" s="549"/>
      <c r="M50" s="549"/>
      <c r="N50" s="549"/>
      <c r="O50" s="549"/>
      <c r="P50" s="549"/>
      <c r="R50" s="230"/>
      <c r="S50" s="558" t="s">
        <v>453</v>
      </c>
    </row>
    <row r="51" spans="2:20" ht="12.75" customHeight="1" x14ac:dyDescent="0.3">
      <c r="B51" s="247"/>
      <c r="C51" s="549"/>
      <c r="D51" s="549"/>
      <c r="E51" s="549"/>
      <c r="F51" s="549"/>
      <c r="G51" s="549"/>
      <c r="H51" s="549" t="s">
        <v>314</v>
      </c>
      <c r="I51" s="549"/>
      <c r="J51" s="549"/>
      <c r="K51" s="563">
        <f t="shared" ref="K51:P51" ca="1" si="6">H275</f>
        <v>3000.0012372076799</v>
      </c>
      <c r="L51" s="563">
        <f t="shared" ca="1" si="6"/>
        <v>2969.8470493288687</v>
      </c>
      <c r="M51" s="563">
        <f t="shared" ca="1" si="6"/>
        <v>2823.1651153292887</v>
      </c>
      <c r="N51" s="563">
        <f t="shared" ca="1" si="6"/>
        <v>2625.7117596236785</v>
      </c>
      <c r="O51" s="563">
        <f t="shared" ca="1" si="6"/>
        <v>2350.5455590304505</v>
      </c>
      <c r="P51" s="563">
        <f t="shared" ca="1" si="6"/>
        <v>2035.0408181427313</v>
      </c>
      <c r="R51" s="230"/>
      <c r="S51" s="563">
        <f ca="1">K51-P51</f>
        <v>964.96041906494861</v>
      </c>
    </row>
    <row r="52" spans="2:20" ht="12.75" customHeight="1" x14ac:dyDescent="0.3">
      <c r="B52" s="257"/>
      <c r="C52" s="258"/>
      <c r="D52" s="258"/>
      <c r="E52" s="258"/>
      <c r="F52" s="258"/>
      <c r="G52" s="258"/>
      <c r="H52" s="549" t="s">
        <v>384</v>
      </c>
      <c r="I52" s="549"/>
      <c r="J52" s="549"/>
      <c r="K52" s="258">
        <f t="shared" ref="K52:P52" si="7">H247</f>
        <v>21.341549999999998</v>
      </c>
      <c r="L52" s="258">
        <f t="shared" ca="1" si="7"/>
        <v>21.341550000000002</v>
      </c>
      <c r="M52" s="258">
        <f t="shared" ca="1" si="7"/>
        <v>21.341550000000002</v>
      </c>
      <c r="N52" s="258">
        <f t="shared" ca="1" si="7"/>
        <v>21.341550000000002</v>
      </c>
      <c r="O52" s="258">
        <f t="shared" ca="1" si="7"/>
        <v>21.341550000000002</v>
      </c>
      <c r="P52" s="258">
        <f t="shared" ca="1" si="7"/>
        <v>21.341550000000002</v>
      </c>
      <c r="Q52" s="549"/>
      <c r="R52" s="230"/>
    </row>
    <row r="53" spans="2:20" ht="12.75" customHeight="1" x14ac:dyDescent="0.35">
      <c r="B53" s="239" t="s">
        <v>402</v>
      </c>
      <c r="C53" s="242"/>
      <c r="D53" s="242"/>
      <c r="E53" s="242"/>
      <c r="F53" s="242"/>
      <c r="G53" s="242"/>
      <c r="H53" s="549" t="s">
        <v>316</v>
      </c>
      <c r="I53" s="549"/>
      <c r="J53" s="549"/>
      <c r="K53" s="563">
        <f t="shared" ref="K53:P53" ca="1" si="8">K51-K52</f>
        <v>2978.6596872076798</v>
      </c>
      <c r="L53" s="563">
        <f t="shared" ca="1" si="8"/>
        <v>2948.5054993288686</v>
      </c>
      <c r="M53" s="563">
        <f t="shared" ca="1" si="8"/>
        <v>2801.8235653292886</v>
      </c>
      <c r="N53" s="563">
        <f t="shared" ca="1" si="8"/>
        <v>2604.3702096236784</v>
      </c>
      <c r="O53" s="563">
        <f t="shared" ca="1" si="8"/>
        <v>2329.2040090304504</v>
      </c>
      <c r="P53" s="563">
        <f t="shared" ca="1" si="8"/>
        <v>2013.6992681427312</v>
      </c>
      <c r="Q53" s="549"/>
      <c r="R53" s="230"/>
      <c r="T53" s="233"/>
    </row>
    <row r="54" spans="2:20" ht="12.75" customHeight="1" x14ac:dyDescent="0.3">
      <c r="B54" s="247"/>
      <c r="C54" s="549"/>
      <c r="D54" s="576" t="s">
        <v>403</v>
      </c>
      <c r="E54" s="576"/>
      <c r="F54" s="576"/>
      <c r="G54" s="576" t="s">
        <v>405</v>
      </c>
      <c r="H54" s="549"/>
      <c r="I54" s="549"/>
      <c r="J54" s="549"/>
      <c r="K54" s="549"/>
      <c r="L54" s="549"/>
      <c r="M54" s="549"/>
      <c r="N54" s="549"/>
      <c r="O54" s="549"/>
      <c r="P54" s="549"/>
      <c r="Q54" s="549"/>
      <c r="R54" s="230"/>
    </row>
    <row r="55" spans="2:20" ht="14.5" x14ac:dyDescent="0.45">
      <c r="B55" s="247"/>
      <c r="C55" s="549"/>
      <c r="D55" s="577" t="s">
        <v>404</v>
      </c>
      <c r="E55" s="577"/>
      <c r="F55" s="577" t="s">
        <v>403</v>
      </c>
      <c r="G55" s="577" t="s">
        <v>406</v>
      </c>
      <c r="H55" s="549" t="s">
        <v>331</v>
      </c>
      <c r="I55" s="549"/>
      <c r="J55" s="549"/>
      <c r="K55" s="496">
        <f t="shared" ref="K55:P55" ca="1" si="9">H228</f>
        <v>7.4406637992207996</v>
      </c>
      <c r="L55" s="496">
        <f t="shared" ca="1" si="9"/>
        <v>6.7358744598074587</v>
      </c>
      <c r="M55" s="496">
        <f t="shared" ca="1" si="9"/>
        <v>5.7686250824065741</v>
      </c>
      <c r="N55" s="496">
        <f t="shared" ca="1" si="9"/>
        <v>4.6795789692060827</v>
      </c>
      <c r="O55" s="496">
        <f t="shared" ca="1" si="9"/>
        <v>3.721573082691457</v>
      </c>
      <c r="P55" s="496">
        <f t="shared" ca="1" si="9"/>
        <v>2.9403855196341673</v>
      </c>
      <c r="Q55" s="549"/>
      <c r="R55" s="230"/>
    </row>
    <row r="56" spans="2:20" ht="12.75" customHeight="1" x14ac:dyDescent="0.3">
      <c r="B56" s="247" t="s">
        <v>407</v>
      </c>
      <c r="C56" s="549"/>
      <c r="D56" s="563">
        <f ca="1">K18</f>
        <v>4534.1932261296397</v>
      </c>
      <c r="E56" s="549"/>
      <c r="F56" s="581">
        <f ca="1">D56/$D$58</f>
        <v>0.99999999999999178</v>
      </c>
      <c r="G56" s="918">
        <f ca="1">G58-G57</f>
        <v>0.99999999999994926</v>
      </c>
      <c r="H56" s="549" t="s">
        <v>429</v>
      </c>
      <c r="I56" s="549"/>
      <c r="J56" s="549"/>
      <c r="K56" s="496"/>
      <c r="L56" s="496">
        <f t="shared" ref="L56:P57" ca="1" si="10">I230</f>
        <v>2.6089849392258198</v>
      </c>
      <c r="M56" s="496">
        <f t="shared" ca="1" si="10"/>
        <v>2.9532567636775298</v>
      </c>
      <c r="N56" s="496">
        <f t="shared" ca="1" si="10"/>
        <v>3.5214674804811685</v>
      </c>
      <c r="O56" s="496">
        <f t="shared" ca="1" si="10"/>
        <v>4.1945257212638714</v>
      </c>
      <c r="P56" s="496">
        <f t="shared" ca="1" si="10"/>
        <v>5.0576444630384314</v>
      </c>
      <c r="Q56" s="549"/>
      <c r="R56" s="230"/>
    </row>
    <row r="57" spans="2:20" ht="12.75" customHeight="1" x14ac:dyDescent="0.3">
      <c r="B57" s="247" t="s">
        <v>408</v>
      </c>
      <c r="C57" s="549"/>
      <c r="D57" s="549">
        <v>0</v>
      </c>
      <c r="E57" s="549"/>
      <c r="F57" s="407">
        <f ca="1">D57/$D$58</f>
        <v>0</v>
      </c>
      <c r="G57" s="919">
        <v>0</v>
      </c>
      <c r="H57" s="549" t="s">
        <v>430</v>
      </c>
      <c r="I57" s="549"/>
      <c r="J57" s="549"/>
      <c r="K57" s="496"/>
      <c r="L57" s="496">
        <f t="shared" ca="1" si="10"/>
        <v>1.3610406944382136</v>
      </c>
      <c r="M57" s="496">
        <f t="shared" ca="1" si="10"/>
        <v>1.7477468871654633</v>
      </c>
      <c r="N57" s="496">
        <f t="shared" ca="1" si="10"/>
        <v>2.2920981417775992</v>
      </c>
      <c r="O57" s="496">
        <f t="shared" ca="1" si="10"/>
        <v>2.8904505966117839</v>
      </c>
      <c r="P57" s="496">
        <f t="shared" ca="1" si="10"/>
        <v>3.6494255371529274</v>
      </c>
      <c r="Q57" s="549"/>
      <c r="R57" s="230"/>
    </row>
    <row r="58" spans="2:20" ht="12.75" customHeight="1" x14ac:dyDescent="0.3">
      <c r="B58" s="247" t="s">
        <v>142</v>
      </c>
      <c r="C58" s="558"/>
      <c r="D58" s="498">
        <f ca="1">SUM(D56:D57)</f>
        <v>4534.1932261296397</v>
      </c>
      <c r="E58" s="558"/>
      <c r="F58" s="575">
        <f ca="1">SUM(F56:F57)</f>
        <v>0.99999999999999178</v>
      </c>
      <c r="G58" s="575">
        <f ca="1">F58</f>
        <v>0.99999999999999178</v>
      </c>
      <c r="H58" s="654" t="s">
        <v>1052</v>
      </c>
      <c r="I58" s="654"/>
      <c r="J58" s="655"/>
      <c r="K58" s="656"/>
      <c r="L58" s="657">
        <f ca="1">I212/(I214-I218-I219-I220-I221)</f>
        <v>0.99678505760885106</v>
      </c>
      <c r="M58" s="657">
        <f ca="1">J212/(J214-J218-J219-J220-J221)</f>
        <v>0.99795053760808283</v>
      </c>
      <c r="N58" s="657">
        <f ca="1">K212/(K214-K218-K219-K220-K221)</f>
        <v>0.99820553856811822</v>
      </c>
      <c r="O58" s="657">
        <f ca="1">L212/(L214-L218-L219-L220-L221)</f>
        <v>0.99849616816834796</v>
      </c>
      <c r="P58" s="657">
        <f ca="1">M212/(M214-M218-M219-M220-M221)</f>
        <v>0.99858461234754337</v>
      </c>
      <c r="Q58" s="549"/>
      <c r="R58" s="230"/>
    </row>
    <row r="59" spans="2:20" ht="12.75" customHeight="1" x14ac:dyDescent="0.3">
      <c r="B59" s="257"/>
      <c r="C59" s="258"/>
      <c r="D59" s="258"/>
      <c r="E59" s="258"/>
      <c r="F59" s="258"/>
      <c r="G59" s="258"/>
      <c r="H59" s="549"/>
      <c r="I59" s="549"/>
      <c r="J59" s="258"/>
      <c r="K59" s="258"/>
      <c r="L59" s="258"/>
      <c r="M59" s="258"/>
      <c r="N59" s="258"/>
      <c r="O59" s="258"/>
      <c r="P59" s="258"/>
      <c r="Q59" s="258"/>
      <c r="R59" s="259"/>
    </row>
    <row r="60" spans="2:20" ht="15.5" x14ac:dyDescent="0.35">
      <c r="B60" s="239" t="s">
        <v>409</v>
      </c>
      <c r="C60" s="243"/>
      <c r="D60" s="243"/>
      <c r="E60" s="243"/>
      <c r="F60" s="243"/>
      <c r="G60" s="244"/>
      <c r="H60" s="892" t="s">
        <v>346</v>
      </c>
      <c r="I60" s="920"/>
      <c r="J60" s="263"/>
      <c r="K60" s="263"/>
      <c r="L60" s="263"/>
      <c r="M60" s="263"/>
      <c r="N60" s="263"/>
      <c r="O60" s="263"/>
      <c r="P60" s="263"/>
      <c r="Q60" s="263"/>
      <c r="R60" s="263"/>
    </row>
    <row r="61" spans="2:20" ht="14.5" x14ac:dyDescent="0.45">
      <c r="B61" s="558" t="s">
        <v>201</v>
      </c>
      <c r="C61" s="549"/>
      <c r="D61" s="549"/>
      <c r="E61" s="577" t="s">
        <v>370</v>
      </c>
      <c r="F61" s="577" t="s">
        <v>208</v>
      </c>
      <c r="G61" s="577" t="s">
        <v>209</v>
      </c>
      <c r="H61" s="549"/>
      <c r="I61" s="549"/>
      <c r="J61" s="549"/>
      <c r="K61" s="549"/>
      <c r="L61" s="549"/>
      <c r="M61" s="549"/>
      <c r="N61" s="549"/>
      <c r="O61" s="549"/>
      <c r="P61" s="549"/>
      <c r="Q61" s="549"/>
      <c r="R61" s="230"/>
    </row>
    <row r="62" spans="2:20" ht="12.75" customHeight="1" x14ac:dyDescent="0.3">
      <c r="B62" s="931" t="s">
        <v>195</v>
      </c>
      <c r="C62" s="549"/>
      <c r="D62" s="549"/>
      <c r="E62" s="549">
        <f ca="1">K15*G62</f>
        <v>16.875007529176841</v>
      </c>
      <c r="F62" s="572">
        <v>7</v>
      </c>
      <c r="G62" s="932">
        <v>2.2499999999999999E-2</v>
      </c>
      <c r="H62" s="549"/>
      <c r="I62" s="576" t="s">
        <v>111</v>
      </c>
      <c r="J62" s="576"/>
      <c r="K62" s="576"/>
      <c r="L62" s="576"/>
      <c r="M62" s="576"/>
      <c r="N62" s="576"/>
      <c r="O62" s="576" t="s">
        <v>368</v>
      </c>
      <c r="P62" s="576"/>
      <c r="Q62" s="576" t="s">
        <v>475</v>
      </c>
      <c r="R62" s="230"/>
    </row>
    <row r="63" spans="2:20" ht="12.75" customHeight="1" thickBot="1" x14ac:dyDescent="0.35">
      <c r="B63" s="931" t="s">
        <v>196</v>
      </c>
      <c r="C63" s="549"/>
      <c r="D63" s="549"/>
      <c r="E63" s="549">
        <f ca="1">K16*G63</f>
        <v>50.625020307995285</v>
      </c>
      <c r="F63" s="572">
        <v>15</v>
      </c>
      <c r="G63" s="932">
        <v>2.2499999999999999E-2</v>
      </c>
      <c r="H63" s="549"/>
      <c r="I63" s="308" t="s">
        <v>401</v>
      </c>
      <c r="J63" s="308"/>
      <c r="K63" s="308" t="s">
        <v>368</v>
      </c>
      <c r="L63" s="308"/>
      <c r="M63" s="308" t="s">
        <v>475</v>
      </c>
      <c r="N63" s="308"/>
      <c r="O63" s="308" t="s">
        <v>474</v>
      </c>
      <c r="P63" s="308"/>
      <c r="Q63" s="308" t="s">
        <v>474</v>
      </c>
      <c r="R63" s="230"/>
    </row>
    <row r="64" spans="2:20" ht="12.75" customHeight="1" x14ac:dyDescent="0.3">
      <c r="B64" s="931" t="s">
        <v>197</v>
      </c>
      <c r="C64" s="549"/>
      <c r="D64" s="549"/>
      <c r="E64" s="549">
        <f ca="1">K17*G64</f>
        <v>0</v>
      </c>
      <c r="F64" s="572">
        <v>15</v>
      </c>
      <c r="G64" s="932">
        <v>0.03</v>
      </c>
      <c r="H64" s="549"/>
      <c r="I64" s="587">
        <f t="shared" ref="I64:I70" ca="1" si="11">B358</f>
        <v>15.000000000000256</v>
      </c>
      <c r="J64" s="549"/>
      <c r="K64" s="564">
        <f t="shared" ref="K64:K70" ca="1" si="12">E358</f>
        <v>0.13037426417379641</v>
      </c>
      <c r="L64" s="549"/>
      <c r="M64" s="563">
        <f t="shared" ref="M64:M70" ca="1" si="13">F358</f>
        <v>3833.6075057273556</v>
      </c>
      <c r="N64" s="549"/>
      <c r="O64" s="564">
        <f t="shared" ref="O64:O70" ca="1" si="14">E371</f>
        <v>0.13143214568205303</v>
      </c>
      <c r="P64" s="549"/>
      <c r="Q64" s="563">
        <f t="shared" ref="Q64:Q70" ca="1" si="15">F371</f>
        <v>3854.7651063773556</v>
      </c>
      <c r="R64" s="230"/>
    </row>
    <row r="65" spans="1:18" ht="12.75" customHeight="1" x14ac:dyDescent="0.3">
      <c r="B65" s="558" t="s">
        <v>473</v>
      </c>
      <c r="C65" s="558"/>
      <c r="D65" s="558"/>
      <c r="E65" s="933">
        <f ca="1">SUM(E62:E64)</f>
        <v>67.500027837172127</v>
      </c>
      <c r="F65" s="549"/>
      <c r="G65" s="549"/>
      <c r="H65" s="549"/>
      <c r="I65" s="587">
        <f t="shared" ca="1" si="11"/>
        <v>16.000000000000256</v>
      </c>
      <c r="J65" s="549"/>
      <c r="K65" s="564">
        <f t="shared" ca="1" si="12"/>
        <v>0.14848329615143044</v>
      </c>
      <c r="L65" s="549"/>
      <c r="M65" s="563">
        <f t="shared" ca="1" si="13"/>
        <v>4525.7075057273196</v>
      </c>
      <c r="N65" s="549"/>
      <c r="O65" s="564">
        <f t="shared" ca="1" si="14"/>
        <v>0.14955812532973253</v>
      </c>
      <c r="P65" s="549"/>
      <c r="Q65" s="563">
        <f t="shared" ca="1" si="15"/>
        <v>4546.8651063773195</v>
      </c>
      <c r="R65" s="230"/>
    </row>
    <row r="66" spans="1:18" ht="12.75" customHeight="1" x14ac:dyDescent="0.3">
      <c r="B66" s="549"/>
      <c r="C66" s="549"/>
      <c r="D66" s="549"/>
      <c r="E66" s="549"/>
      <c r="F66" s="549"/>
      <c r="G66" s="549"/>
      <c r="H66" s="549"/>
      <c r="I66" s="587">
        <f t="shared" ca="1" si="11"/>
        <v>17.000000000000256</v>
      </c>
      <c r="J66" s="549"/>
      <c r="K66" s="564">
        <f t="shared" ca="1" si="12"/>
        <v>0.16551734310325164</v>
      </c>
      <c r="L66" s="549"/>
      <c r="M66" s="563">
        <f t="shared" ca="1" si="13"/>
        <v>5217.8075057272872</v>
      </c>
      <c r="N66" s="549"/>
      <c r="O66" s="564">
        <f t="shared" ca="1" si="14"/>
        <v>0.16660811390698729</v>
      </c>
      <c r="P66" s="549"/>
      <c r="Q66" s="563">
        <f t="shared" ca="1" si="15"/>
        <v>5238.9651063772872</v>
      </c>
      <c r="R66" s="230"/>
    </row>
    <row r="67" spans="1:18" ht="15" customHeight="1" x14ac:dyDescent="0.45">
      <c r="B67" s="549"/>
      <c r="C67" s="549"/>
      <c r="D67" s="549"/>
      <c r="E67" s="577" t="s">
        <v>370</v>
      </c>
      <c r="F67" s="588" t="s">
        <v>477</v>
      </c>
      <c r="G67" s="934"/>
      <c r="H67" s="549"/>
      <c r="I67" s="420">
        <f t="shared" ca="1" si="11"/>
        <v>18.000000000000256</v>
      </c>
      <c r="J67" s="376"/>
      <c r="K67" s="377">
        <f t="shared" ca="1" si="12"/>
        <v>0.18161013019423894</v>
      </c>
      <c r="L67" s="376"/>
      <c r="M67" s="378">
        <f t="shared" ca="1" si="13"/>
        <v>5909.907505727253</v>
      </c>
      <c r="N67" s="376"/>
      <c r="O67" s="377">
        <f t="shared" ca="1" si="14"/>
        <v>0.18271596172837704</v>
      </c>
      <c r="P67" s="376"/>
      <c r="Q67" s="379">
        <f t="shared" ca="1" si="15"/>
        <v>5931.065106377253</v>
      </c>
      <c r="R67" s="230"/>
    </row>
    <row r="68" spans="1:18" ht="12.75" customHeight="1" x14ac:dyDescent="0.3">
      <c r="B68" s="549" t="s">
        <v>476</v>
      </c>
      <c r="C68" s="549"/>
      <c r="D68" s="549"/>
      <c r="E68" s="589">
        <f ca="1">F68*F23</f>
        <v>35.262667750000531</v>
      </c>
      <c r="F68" s="579">
        <v>5.0000000000000001E-3</v>
      </c>
      <c r="G68" s="549"/>
      <c r="H68" s="549"/>
      <c r="I68" s="587">
        <f t="shared" ca="1" si="11"/>
        <v>19.000000000000256</v>
      </c>
      <c r="J68" s="549"/>
      <c r="K68" s="564">
        <f t="shared" ca="1" si="12"/>
        <v>0.1968711684895191</v>
      </c>
      <c r="L68" s="549"/>
      <c r="M68" s="563">
        <f t="shared" ca="1" si="13"/>
        <v>6602.007505727217</v>
      </c>
      <c r="N68" s="549"/>
      <c r="O68" s="564">
        <f t="shared" ca="1" si="14"/>
        <v>0.19799128234653088</v>
      </c>
      <c r="P68" s="549"/>
      <c r="Q68" s="563">
        <f t="shared" ca="1" si="15"/>
        <v>6623.1651063772169</v>
      </c>
      <c r="R68" s="230"/>
    </row>
    <row r="69" spans="1:18" ht="12.75" customHeight="1" x14ac:dyDescent="0.3">
      <c r="B69" s="549" t="s">
        <v>410</v>
      </c>
      <c r="C69" s="549"/>
      <c r="D69" s="549"/>
      <c r="E69" s="590">
        <f ca="1">F69*F23</f>
        <v>21.157600650000319</v>
      </c>
      <c r="F69" s="579">
        <v>3.0000000000000001E-3</v>
      </c>
      <c r="G69" s="549"/>
      <c r="H69" s="549"/>
      <c r="I69" s="587">
        <f t="shared" ca="1" si="11"/>
        <v>20.000000000000256</v>
      </c>
      <c r="J69" s="549"/>
      <c r="K69" s="564">
        <f t="shared" ca="1" si="12"/>
        <v>0.21139134601742998</v>
      </c>
      <c r="L69" s="549"/>
      <c r="M69" s="563">
        <f t="shared" ca="1" si="13"/>
        <v>7294.1075057271828</v>
      </c>
      <c r="N69" s="549"/>
      <c r="O69" s="564">
        <f t="shared" ca="1" si="14"/>
        <v>0.21252504884916459</v>
      </c>
      <c r="P69" s="549"/>
      <c r="Q69" s="563">
        <f t="shared" ca="1" si="15"/>
        <v>7315.2651063771827</v>
      </c>
      <c r="R69" s="230"/>
    </row>
    <row r="70" spans="1:18" ht="12.75" customHeight="1" x14ac:dyDescent="0.3">
      <c r="B70" s="549" t="s">
        <v>37</v>
      </c>
      <c r="C70" s="549"/>
      <c r="D70" s="549"/>
      <c r="E70" s="590">
        <f ca="1">F70*F23</f>
        <v>14.105067100000213</v>
      </c>
      <c r="F70" s="579">
        <v>2E-3</v>
      </c>
      <c r="G70" s="549"/>
      <c r="H70" s="549"/>
      <c r="I70" s="587">
        <f t="shared" ca="1" si="11"/>
        <v>21.000000000000256</v>
      </c>
      <c r="J70" s="549"/>
      <c r="K70" s="564">
        <f t="shared" ca="1" si="12"/>
        <v>0.22524698102150631</v>
      </c>
      <c r="L70" s="549"/>
      <c r="M70" s="563">
        <f t="shared" ca="1" si="13"/>
        <v>7986.2075057271486</v>
      </c>
      <c r="N70" s="549"/>
      <c r="O70" s="564">
        <f t="shared" ca="1" si="14"/>
        <v>0.22639365090363889</v>
      </c>
      <c r="P70" s="549"/>
      <c r="Q70" s="563">
        <f t="shared" ca="1" si="15"/>
        <v>8007.3651063771485</v>
      </c>
      <c r="R70" s="230"/>
    </row>
    <row r="71" spans="1:18" ht="12.75" customHeight="1" x14ac:dyDescent="0.3">
      <c r="B71" s="558" t="s">
        <v>397</v>
      </c>
      <c r="C71" s="558"/>
      <c r="D71" s="558"/>
      <c r="E71" s="573">
        <f ca="1">SUM(E68:E70)</f>
        <v>70.525335500001063</v>
      </c>
      <c r="F71" s="935">
        <f>SUM(F68:F70)</f>
        <v>0.01</v>
      </c>
      <c r="G71" s="549"/>
      <c r="H71" s="258"/>
      <c r="I71" s="258"/>
      <c r="J71" s="258"/>
      <c r="K71" s="258"/>
      <c r="L71" s="258"/>
      <c r="M71" s="258"/>
      <c r="N71" s="258"/>
      <c r="O71" s="258"/>
      <c r="P71" s="258"/>
      <c r="Q71" s="258"/>
      <c r="R71" s="259"/>
    </row>
    <row r="72" spans="1:18" x14ac:dyDescent="0.3">
      <c r="C72" s="256"/>
      <c r="D72" s="256"/>
      <c r="E72" s="364"/>
    </row>
    <row r="73" spans="1:18" ht="13.5" thickBot="1" x14ac:dyDescent="0.35">
      <c r="B73" s="274" t="s">
        <v>730</v>
      </c>
      <c r="C73" s="274"/>
      <c r="D73" s="274"/>
      <c r="E73" s="370"/>
      <c r="F73" s="267"/>
      <c r="G73" s="267"/>
      <c r="H73" s="267"/>
    </row>
    <row r="74" spans="1:18" x14ac:dyDescent="0.3">
      <c r="B74" s="371" t="s">
        <v>501</v>
      </c>
      <c r="C74" s="371"/>
      <c r="D74" s="368" t="s">
        <v>502</v>
      </c>
      <c r="E74" s="368" t="s">
        <v>214</v>
      </c>
      <c r="F74" s="368" t="s">
        <v>244</v>
      </c>
      <c r="G74" s="369" t="s">
        <v>499</v>
      </c>
      <c r="H74" s="368" t="s">
        <v>215</v>
      </c>
    </row>
    <row r="75" spans="1:18" x14ac:dyDescent="0.3">
      <c r="B75" s="248" t="s">
        <v>500</v>
      </c>
      <c r="D75" s="367">
        <v>1.4E-2</v>
      </c>
      <c r="E75" s="365">
        <v>169.46</v>
      </c>
      <c r="F75" s="380">
        <f ca="1">IF($F$16&gt;=E75,1,0)</f>
        <v>1</v>
      </c>
      <c r="G75" s="366">
        <f ca="1">D75*F75</f>
        <v>1.4E-2</v>
      </c>
      <c r="H75" s="286">
        <f ca="1">D75*E75*F75</f>
        <v>2.3724400000000001</v>
      </c>
    </row>
    <row r="76" spans="1:18" x14ac:dyDescent="0.3">
      <c r="B76" s="248" t="s">
        <v>234</v>
      </c>
      <c r="D76" s="367">
        <v>1.0999999999999999E-2</v>
      </c>
      <c r="E76" s="365">
        <v>160.6</v>
      </c>
      <c r="F76" s="380">
        <f ca="1">IF($F$16&gt;=E76,1,0)</f>
        <v>1</v>
      </c>
      <c r="G76" s="366">
        <f ca="1">D76*F76</f>
        <v>1.0999999999999999E-2</v>
      </c>
      <c r="H76" s="286">
        <f ca="1">D76*E76*F76</f>
        <v>1.7665999999999997</v>
      </c>
    </row>
    <row r="77" spans="1:18" ht="13.5" thickBot="1" x14ac:dyDescent="0.35">
      <c r="B77" s="267" t="s">
        <v>142</v>
      </c>
      <c r="C77" s="267"/>
      <c r="D77" s="374">
        <f>SUM(D75:D76)</f>
        <v>2.5000000000000001E-2</v>
      </c>
      <c r="E77" s="267"/>
      <c r="F77" s="267"/>
      <c r="G77" s="372">
        <f ca="1">SUM(G75:G76)</f>
        <v>2.5000000000000001E-2</v>
      </c>
      <c r="H77" s="373">
        <f ca="1">SUM(H75:H76)</f>
        <v>4.1390399999999996</v>
      </c>
    </row>
    <row r="78" spans="1:18" x14ac:dyDescent="0.3">
      <c r="E78" s="324"/>
    </row>
    <row r="79" spans="1:18" ht="15.5" x14ac:dyDescent="0.35">
      <c r="A79" s="246" t="s">
        <v>31</v>
      </c>
      <c r="B79" s="265" t="s">
        <v>731</v>
      </c>
      <c r="C79" s="266"/>
      <c r="D79" s="266"/>
      <c r="E79" s="266"/>
      <c r="F79" s="266"/>
      <c r="G79" s="266"/>
      <c r="H79" s="266"/>
      <c r="I79" s="266"/>
      <c r="J79" s="266"/>
      <c r="K79" s="266"/>
      <c r="L79" s="266"/>
      <c r="M79" s="266"/>
    </row>
    <row r="80" spans="1:18" ht="13.5" thickBot="1" x14ac:dyDescent="0.35">
      <c r="B80" s="267"/>
      <c r="C80" s="267"/>
      <c r="D80" s="267"/>
      <c r="E80" s="267"/>
      <c r="F80" s="267"/>
      <c r="G80" s="267"/>
      <c r="H80" s="267"/>
      <c r="I80" s="267"/>
      <c r="J80" s="267"/>
      <c r="K80" s="267"/>
      <c r="L80" s="267"/>
      <c r="M80" s="267"/>
    </row>
    <row r="81" spans="1:13" s="256" customFormat="1" x14ac:dyDescent="0.3">
      <c r="A81" s="249"/>
      <c r="B81" s="236" t="str">
        <f>$B$12</f>
        <v>($ in millions)</v>
      </c>
      <c r="F81" s="268" t="s">
        <v>374</v>
      </c>
      <c r="G81" s="268"/>
      <c r="H81" s="268"/>
      <c r="J81" s="249" t="s">
        <v>375</v>
      </c>
      <c r="L81" s="249" t="s">
        <v>376</v>
      </c>
    </row>
    <row r="82" spans="1:13" s="256" customFormat="1" x14ac:dyDescent="0.3">
      <c r="A82" s="249"/>
      <c r="B82" s="264"/>
      <c r="C82" s="264"/>
      <c r="D82" s="264"/>
      <c r="E82" s="264"/>
      <c r="F82" s="231">
        <v>42367</v>
      </c>
      <c r="G82" s="231"/>
      <c r="H82" s="231">
        <v>42731</v>
      </c>
      <c r="I82" s="264"/>
      <c r="J82" s="269" t="s">
        <v>231</v>
      </c>
      <c r="K82" s="264"/>
      <c r="L82" s="269" t="s">
        <v>377</v>
      </c>
      <c r="M82" s="264"/>
    </row>
    <row r="83" spans="1:13" x14ac:dyDescent="0.3">
      <c r="B83" s="270" t="s">
        <v>383</v>
      </c>
    </row>
    <row r="84" spans="1:13" x14ac:dyDescent="0.3">
      <c r="B84" s="248" t="s">
        <v>384</v>
      </c>
      <c r="F84" s="286">
        <f>'Current Balance Sheet'!F8</f>
        <v>241.886</v>
      </c>
      <c r="G84" s="286"/>
      <c r="H84" s="286">
        <f>'Current Balance Sheet'!H8</f>
        <v>105.529</v>
      </c>
      <c r="I84" s="286"/>
      <c r="J84" s="286">
        <f>-K14</f>
        <v>-84.187449999999998</v>
      </c>
      <c r="K84" s="286"/>
      <c r="L84" s="286">
        <f>SUM(H84,J84)</f>
        <v>21.341549999999998</v>
      </c>
    </row>
    <row r="85" spans="1:13" x14ac:dyDescent="0.3">
      <c r="B85" s="248" t="s">
        <v>441</v>
      </c>
      <c r="F85" s="248">
        <f>'Current Balance Sheet'!F9+'Current Balance Sheet'!F10</f>
        <v>115.786</v>
      </c>
      <c r="H85" s="248">
        <f>'Current Balance Sheet'!H9+'Current Balance Sheet'!H10</f>
        <v>112.923</v>
      </c>
      <c r="L85" s="248">
        <f>SUM(H85,J85)</f>
        <v>112.923</v>
      </c>
    </row>
    <row r="86" spans="1:13" x14ac:dyDescent="0.3">
      <c r="B86" s="248" t="s">
        <v>40</v>
      </c>
      <c r="F86" s="248">
        <f>'Current Balance Sheet'!F11</f>
        <v>22.481999999999999</v>
      </c>
      <c r="H86" s="248">
        <f>'Current Balance Sheet'!H11</f>
        <v>23.774999999999999</v>
      </c>
      <c r="L86" s="248">
        <f>SUM(H86,J86)</f>
        <v>23.774999999999999</v>
      </c>
    </row>
    <row r="87" spans="1:13" x14ac:dyDescent="0.3">
      <c r="B87" s="248" t="s">
        <v>442</v>
      </c>
      <c r="F87" s="248">
        <f>'Current Balance Sheet'!F12</f>
        <v>59.457000000000001</v>
      </c>
      <c r="H87" s="248">
        <f>'Current Balance Sheet'!H12</f>
        <v>69.194000000000003</v>
      </c>
      <c r="L87" s="248">
        <f>SUM(H87,J87)</f>
        <v>69.194000000000003</v>
      </c>
    </row>
    <row r="88" spans="1:13" x14ac:dyDescent="0.3">
      <c r="B88" s="248" t="s">
        <v>797</v>
      </c>
      <c r="F88" s="248">
        <f>'Current Balance Sheet'!F13+'Current Balance Sheet'!F14</f>
        <v>28.699000000000002</v>
      </c>
      <c r="H88" s="248">
        <f>'Current Balance Sheet'!H13+'Current Balance Sheet'!H14</f>
        <v>0</v>
      </c>
      <c r="L88" s="248">
        <f>SUM(H88,J88)</f>
        <v>0</v>
      </c>
    </row>
    <row r="89" spans="1:13" x14ac:dyDescent="0.3">
      <c r="B89" s="281" t="s">
        <v>264</v>
      </c>
      <c r="C89" s="281"/>
      <c r="D89" s="281"/>
      <c r="E89" s="281"/>
      <c r="F89" s="298">
        <f>SUM(F84:F88)</f>
        <v>468.31</v>
      </c>
      <c r="G89" s="298"/>
      <c r="H89" s="298">
        <f>SUM(H84:H88)</f>
        <v>311.42099999999999</v>
      </c>
      <c r="I89" s="298"/>
      <c r="J89" s="298"/>
      <c r="K89" s="298"/>
      <c r="L89" s="298">
        <f>SUM(L84:L88)</f>
        <v>227.23354999999998</v>
      </c>
      <c r="M89" s="271"/>
    </row>
    <row r="91" spans="1:13" x14ac:dyDescent="0.3">
      <c r="B91" s="248" t="s">
        <v>798</v>
      </c>
      <c r="F91" s="248">
        <f>'Current Balance Sheet'!F17</f>
        <v>776.24800000000005</v>
      </c>
      <c r="H91" s="248">
        <f>'Current Balance Sheet'!H17</f>
        <v>802.75900000000001</v>
      </c>
      <c r="L91" s="248">
        <f>SUM(H91,J91)</f>
        <v>802.75900000000001</v>
      </c>
    </row>
    <row r="93" spans="1:13" x14ac:dyDescent="0.3">
      <c r="B93" s="248" t="s">
        <v>77</v>
      </c>
      <c r="F93" s="248">
        <f>'Current Balance Sheet'!F20</f>
        <v>121.791</v>
      </c>
      <c r="H93" s="248">
        <f>'Current Balance Sheet'!H20</f>
        <v>122.377</v>
      </c>
      <c r="J93" s="248">
        <f>-H93</f>
        <v>-122.377</v>
      </c>
      <c r="L93" s="248">
        <f t="shared" ref="L93:L98" si="16">SUM(H93,J93)</f>
        <v>0</v>
      </c>
    </row>
    <row r="94" spans="1:13" x14ac:dyDescent="0.3">
      <c r="B94" s="248" t="s">
        <v>799</v>
      </c>
      <c r="F94" s="251">
        <v>0</v>
      </c>
      <c r="H94" s="251">
        <v>0</v>
      </c>
      <c r="J94" s="248">
        <f ca="1">E135</f>
        <v>2961.0331265000464</v>
      </c>
      <c r="L94" s="248">
        <f ca="1">SUM(H94,J94)</f>
        <v>2961.0331265000464</v>
      </c>
    </row>
    <row r="95" spans="1:13" x14ac:dyDescent="0.3">
      <c r="B95" s="248" t="s">
        <v>800</v>
      </c>
      <c r="F95" s="253">
        <v>0</v>
      </c>
      <c r="H95" s="253">
        <v>0</v>
      </c>
      <c r="J95" s="248">
        <f ca="1">J132</f>
        <v>3925.0904235000603</v>
      </c>
      <c r="L95" s="248">
        <f ca="1">SUM(H95,J95)</f>
        <v>3925.0904235000603</v>
      </c>
    </row>
    <row r="96" spans="1:13" x14ac:dyDescent="0.3">
      <c r="B96" s="248" t="s">
        <v>238</v>
      </c>
      <c r="F96" s="251">
        <v>0</v>
      </c>
      <c r="H96" s="251">
        <v>0</v>
      </c>
      <c r="J96" s="248">
        <f ca="1">R17</f>
        <v>67.500027837172794</v>
      </c>
      <c r="L96" s="248">
        <f ca="1">SUM(H96,J96)</f>
        <v>67.500027837172794</v>
      </c>
    </row>
    <row r="97" spans="1:13" x14ac:dyDescent="0.3">
      <c r="B97" s="248" t="s">
        <v>485</v>
      </c>
      <c r="F97" s="253">
        <v>0</v>
      </c>
      <c r="H97" s="253">
        <v>0</v>
      </c>
      <c r="L97" s="248">
        <f t="shared" si="16"/>
        <v>0</v>
      </c>
    </row>
    <row r="98" spans="1:13" x14ac:dyDescent="0.3">
      <c r="B98" s="248" t="s">
        <v>801</v>
      </c>
      <c r="F98" s="248">
        <f>'Current Balance Sheet'!F21+'Current Balance Sheet'!F22</f>
        <v>74.490000000000009</v>
      </c>
      <c r="H98" s="248">
        <f>'Current Balance Sheet'!H21+'Current Balance Sheet'!H22</f>
        <v>65.054000000000002</v>
      </c>
      <c r="L98" s="248">
        <f t="shared" si="16"/>
        <v>65.054000000000002</v>
      </c>
    </row>
    <row r="100" spans="1:13" s="256" customFormat="1" x14ac:dyDescent="0.3">
      <c r="A100" s="249"/>
      <c r="B100" s="256" t="s">
        <v>385</v>
      </c>
      <c r="F100" s="295">
        <f>SUM(F89,F91,F93:F98)</f>
        <v>1440.8389999999999</v>
      </c>
      <c r="G100" s="295"/>
      <c r="H100" s="295">
        <f>SUM(H89,H91,H93:H98)</f>
        <v>1301.6110000000001</v>
      </c>
      <c r="I100" s="295"/>
      <c r="J100" s="295"/>
      <c r="K100" s="295"/>
      <c r="L100" s="295">
        <f ca="1">SUM(L89,L91,L93:L98)</f>
        <v>8048.6701278372793</v>
      </c>
    </row>
    <row r="102" spans="1:13" x14ac:dyDescent="0.3">
      <c r="B102" s="270" t="s">
        <v>386</v>
      </c>
    </row>
    <row r="103" spans="1:13" x14ac:dyDescent="0.3">
      <c r="B103" s="248" t="s">
        <v>444</v>
      </c>
      <c r="F103" s="248">
        <f>'Current Balance Sheet'!F28</f>
        <v>19.805</v>
      </c>
      <c r="H103" s="248">
        <f>'Current Balance Sheet'!H28</f>
        <v>22.454999999999998</v>
      </c>
      <c r="L103" s="248">
        <f>SUM(H103,J103)</f>
        <v>22.454999999999998</v>
      </c>
    </row>
    <row r="104" spans="1:13" x14ac:dyDescent="0.3">
      <c r="B104" s="248" t="s">
        <v>445</v>
      </c>
      <c r="F104" s="248">
        <f>'Current Balance Sheet'!F29</f>
        <v>359.464</v>
      </c>
      <c r="H104" s="248">
        <f>'Current Balance Sheet'!H29</f>
        <v>408.637</v>
      </c>
      <c r="L104" s="248">
        <f>SUM(H104,J104)</f>
        <v>408.637</v>
      </c>
    </row>
    <row r="105" spans="1:13" x14ac:dyDescent="0.3">
      <c r="B105" s="248" t="s">
        <v>802</v>
      </c>
      <c r="F105" s="248">
        <f>'Current Balance Sheet'!F31</f>
        <v>2.9449999999999998</v>
      </c>
      <c r="H105" s="248">
        <f>'Current Balance Sheet'!H31</f>
        <v>0</v>
      </c>
      <c r="L105" s="248">
        <f>SUM(H105,J105)</f>
        <v>0</v>
      </c>
    </row>
    <row r="106" spans="1:13" x14ac:dyDescent="0.3">
      <c r="B106" s="271" t="s">
        <v>266</v>
      </c>
      <c r="C106" s="271"/>
      <c r="D106" s="271"/>
      <c r="E106" s="271"/>
      <c r="F106" s="294">
        <f>SUM(F103:F105)</f>
        <v>382.214</v>
      </c>
      <c r="G106" s="294"/>
      <c r="H106" s="294">
        <f>SUM(H103:H105)</f>
        <v>431.09199999999998</v>
      </c>
      <c r="I106" s="294"/>
      <c r="J106" s="294"/>
      <c r="K106" s="294"/>
      <c r="L106" s="294">
        <f>SUM(L103:L105)</f>
        <v>431.09199999999998</v>
      </c>
      <c r="M106" s="271"/>
    </row>
    <row r="108" spans="1:13" x14ac:dyDescent="0.3">
      <c r="B108" s="248" t="s">
        <v>300</v>
      </c>
      <c r="F108" s="248">
        <f>'Current Balance Sheet'!F30+'Current Balance Sheet'!F34</f>
        <v>406.2</v>
      </c>
      <c r="H108" s="248">
        <f>'Current Balance Sheet'!H30+'Current Balance Sheet'!H34</f>
        <v>427.82299999999998</v>
      </c>
      <c r="J108" s="252">
        <f>-R16</f>
        <v>-427.82299999999998</v>
      </c>
      <c r="L108" s="248">
        <f>SUM(H108,J108)</f>
        <v>0</v>
      </c>
    </row>
    <row r="109" spans="1:13" x14ac:dyDescent="0.3">
      <c r="B109" s="248" t="s">
        <v>195</v>
      </c>
      <c r="F109" s="253">
        <v>0</v>
      </c>
      <c r="H109" s="253">
        <v>0</v>
      </c>
      <c r="J109" s="252">
        <f ca="1">K15</f>
        <v>750.00033463008185</v>
      </c>
      <c r="L109" s="252">
        <f ca="1">SUM(H109,J109)</f>
        <v>750.00033463008185</v>
      </c>
    </row>
    <row r="110" spans="1:13" x14ac:dyDescent="0.3">
      <c r="B110" s="248" t="s">
        <v>196</v>
      </c>
      <c r="F110" s="253">
        <v>0</v>
      </c>
      <c r="H110" s="253">
        <v>0</v>
      </c>
      <c r="J110" s="252">
        <f ca="1">K16</f>
        <v>2250.0009025775685</v>
      </c>
      <c r="L110" s="252">
        <f ca="1">SUM(H110,J110)</f>
        <v>2250.0009025775685</v>
      </c>
    </row>
    <row r="111" spans="1:13" x14ac:dyDescent="0.3">
      <c r="B111" s="248" t="s">
        <v>803</v>
      </c>
      <c r="F111" s="272">
        <v>0</v>
      </c>
      <c r="H111" s="272">
        <v>0</v>
      </c>
      <c r="J111" s="252">
        <f ca="1">K17</f>
        <v>0</v>
      </c>
      <c r="L111" s="273">
        <f ca="1">SUM(H111,J111)</f>
        <v>0</v>
      </c>
    </row>
    <row r="112" spans="1:13" x14ac:dyDescent="0.3">
      <c r="B112" s="248" t="s">
        <v>314</v>
      </c>
      <c r="F112" s="248">
        <f>SUM(F108:F111)</f>
        <v>406.2</v>
      </c>
      <c r="H112" s="248">
        <f>SUM(H108:H111)</f>
        <v>427.82299999999998</v>
      </c>
      <c r="L112" s="248">
        <f ca="1">SUM(L108:L111)</f>
        <v>3000.0012372076503</v>
      </c>
    </row>
    <row r="114" spans="1:13" x14ac:dyDescent="0.3">
      <c r="B114" s="248" t="s">
        <v>804</v>
      </c>
      <c r="F114" s="248">
        <f>'Current Balance Sheet'!F36</f>
        <v>35.968000000000004</v>
      </c>
      <c r="H114" s="248">
        <f>'Current Balance Sheet'!H36</f>
        <v>32.301000000000002</v>
      </c>
      <c r="L114" s="248">
        <f>SUM(H114,J114)</f>
        <v>32.301000000000002</v>
      </c>
    </row>
    <row r="115" spans="1:13" x14ac:dyDescent="0.3">
      <c r="B115" s="248" t="s">
        <v>805</v>
      </c>
      <c r="F115" s="248">
        <f>'Current Balance Sheet'!F35+'Current Balance Sheet'!F37</f>
        <v>115.176</v>
      </c>
      <c r="H115" s="248">
        <f>'Current Balance Sheet'!H35+'Current Balance Sheet'!H37</f>
        <v>118.005</v>
      </c>
      <c r="L115" s="248">
        <f>SUM(H115,J115)</f>
        <v>118.005</v>
      </c>
    </row>
    <row r="117" spans="1:13" s="256" customFormat="1" x14ac:dyDescent="0.3">
      <c r="A117" s="249"/>
      <c r="B117" s="256" t="s">
        <v>387</v>
      </c>
      <c r="F117" s="295">
        <f>SUM(F106,F112,F114:F115)</f>
        <v>939.55799999999999</v>
      </c>
      <c r="G117" s="295"/>
      <c r="H117" s="295">
        <f>SUM(H106,H112,H114:H115)</f>
        <v>1009.221</v>
      </c>
      <c r="I117" s="295"/>
      <c r="J117" s="295"/>
      <c r="K117" s="295"/>
      <c r="L117" s="295">
        <f ca="1">SUM(L106,L112,L114:L115)</f>
        <v>3581.3992372076505</v>
      </c>
    </row>
    <row r="119" spans="1:13" x14ac:dyDescent="0.3">
      <c r="B119" s="248" t="s">
        <v>806</v>
      </c>
      <c r="F119" s="248">
        <f>'Current Balance Sheet'!F42</f>
        <v>3.9809999999999999</v>
      </c>
      <c r="H119" s="248">
        <f>'Current Balance Sheet'!H42</f>
        <v>3.6030000000000002</v>
      </c>
      <c r="L119" s="248">
        <f>SUM(H119,J119)</f>
        <v>3.6030000000000002</v>
      </c>
    </row>
    <row r="121" spans="1:13" x14ac:dyDescent="0.3">
      <c r="B121" s="256" t="s">
        <v>454</v>
      </c>
    </row>
    <row r="122" spans="1:13" x14ac:dyDescent="0.3">
      <c r="B122" s="248" t="s">
        <v>198</v>
      </c>
      <c r="F122" s="253">
        <v>0</v>
      </c>
      <c r="H122" s="253">
        <v>0</v>
      </c>
      <c r="J122" s="252">
        <f ca="1">K18-R18</f>
        <v>4463.6678906296384</v>
      </c>
      <c r="L122" s="252">
        <f ca="1">SUM(H122,J122)</f>
        <v>4463.6678906296384</v>
      </c>
    </row>
    <row r="123" spans="1:13" x14ac:dyDescent="0.3">
      <c r="B123" s="248" t="s">
        <v>94</v>
      </c>
      <c r="F123" s="248">
        <f>'Current Balance Sheet'!F50</f>
        <v>497.29999999999995</v>
      </c>
      <c r="H123" s="248">
        <f>'Current Balance Sheet'!H50</f>
        <v>288.78700000000003</v>
      </c>
      <c r="J123" s="248">
        <f>-H123</f>
        <v>-288.78700000000003</v>
      </c>
      <c r="L123" s="248">
        <f>SUM(H123,J123)</f>
        <v>0</v>
      </c>
    </row>
    <row r="124" spans="1:13" x14ac:dyDescent="0.3">
      <c r="B124" s="271" t="s">
        <v>455</v>
      </c>
      <c r="C124" s="271"/>
      <c r="D124" s="271"/>
      <c r="E124" s="271"/>
      <c r="F124" s="294">
        <f>SUM(F122:F123)</f>
        <v>497.29999999999995</v>
      </c>
      <c r="G124" s="294"/>
      <c r="H124" s="294">
        <f>SUM(H122:H123)</f>
        <v>288.78700000000003</v>
      </c>
      <c r="I124" s="294"/>
      <c r="J124" s="294"/>
      <c r="K124" s="294"/>
      <c r="L124" s="294">
        <f ca="1">SUM(L122:L123)</f>
        <v>4463.6678906296384</v>
      </c>
      <c r="M124" s="271"/>
    </row>
    <row r="126" spans="1:13" s="256" customFormat="1" ht="13.5" thickBot="1" x14ac:dyDescent="0.35">
      <c r="A126" s="249"/>
      <c r="B126" s="274" t="s">
        <v>456</v>
      </c>
      <c r="C126" s="274"/>
      <c r="D126" s="274"/>
      <c r="E126" s="274"/>
      <c r="F126" s="296">
        <f>F117+F119+F124</f>
        <v>1440.8389999999999</v>
      </c>
      <c r="G126" s="296"/>
      <c r="H126" s="296">
        <f>H117+H119+H124</f>
        <v>1301.6109999999999</v>
      </c>
      <c r="I126" s="296"/>
      <c r="J126" s="296"/>
      <c r="K126" s="296"/>
      <c r="L126" s="296">
        <f ca="1">L117+L119+L124</f>
        <v>8048.6701278372893</v>
      </c>
      <c r="M126" s="274"/>
    </row>
    <row r="127" spans="1:13" x14ac:dyDescent="0.3">
      <c r="B127" s="248" t="s">
        <v>452</v>
      </c>
      <c r="F127" s="288">
        <f>ROUND(F100-F126,2)</f>
        <v>0</v>
      </c>
      <c r="H127" s="288">
        <f>ROUND(H100-H126,2)</f>
        <v>0</v>
      </c>
      <c r="L127" s="288">
        <f ca="1">ROUND(L100-L126,2)</f>
        <v>0</v>
      </c>
    </row>
    <row r="129" spans="1:20" ht="13.5" thickBot="1" x14ac:dyDescent="0.35">
      <c r="B129" s="274" t="s">
        <v>411</v>
      </c>
      <c r="C129" s="267"/>
      <c r="D129" s="267"/>
      <c r="E129" s="267"/>
      <c r="G129" s="274" t="s">
        <v>498</v>
      </c>
      <c r="H129" s="274"/>
      <c r="I129" s="274"/>
      <c r="J129" s="274"/>
    </row>
    <row r="130" spans="1:20" x14ac:dyDescent="0.3">
      <c r="B130" s="248" t="s">
        <v>369</v>
      </c>
      <c r="E130" s="286">
        <f ca="1">F23</f>
        <v>7052.5335500001065</v>
      </c>
      <c r="G130" s="248" t="s">
        <v>843</v>
      </c>
      <c r="J130" s="286">
        <f ca="1">E133</f>
        <v>6886.1235500001067</v>
      </c>
    </row>
    <row r="131" spans="1:20" x14ac:dyDescent="0.3">
      <c r="B131" s="248" t="s">
        <v>790</v>
      </c>
      <c r="E131" s="248">
        <f>-H123</f>
        <v>-288.78700000000003</v>
      </c>
      <c r="G131" s="248" t="s">
        <v>788</v>
      </c>
      <c r="J131" s="235">
        <v>0.56999999999999995</v>
      </c>
      <c r="T131" s="248" t="s">
        <v>505</v>
      </c>
    </row>
    <row r="132" spans="1:20" x14ac:dyDescent="0.3">
      <c r="B132" s="248" t="s">
        <v>792</v>
      </c>
      <c r="E132" s="248">
        <f>H93</f>
        <v>122.377</v>
      </c>
      <c r="G132" s="271" t="s">
        <v>227</v>
      </c>
      <c r="H132" s="271"/>
      <c r="I132" s="271"/>
      <c r="J132" s="294">
        <f ca="1">J130*J131</f>
        <v>3925.0904235000603</v>
      </c>
    </row>
    <row r="133" spans="1:20" x14ac:dyDescent="0.3">
      <c r="B133" s="281" t="s">
        <v>843</v>
      </c>
      <c r="C133" s="281"/>
      <c r="D133" s="281"/>
      <c r="E133" s="298">
        <f ca="1">SUM(E130:E132)</f>
        <v>6886.1235500001067</v>
      </c>
      <c r="G133" s="248" t="s">
        <v>789</v>
      </c>
      <c r="J133" s="253">
        <v>30</v>
      </c>
    </row>
    <row r="134" spans="1:20" ht="13.5" thickBot="1" x14ac:dyDescent="0.35">
      <c r="B134" s="248" t="s">
        <v>791</v>
      </c>
      <c r="E134" s="248">
        <f ca="1">-J132</f>
        <v>-3925.0904235000603</v>
      </c>
      <c r="G134" s="359" t="s">
        <v>229</v>
      </c>
      <c r="H134" s="359"/>
      <c r="I134" s="359"/>
      <c r="J134" s="359">
        <f ca="1">J132/J133</f>
        <v>130.83634745000202</v>
      </c>
    </row>
    <row r="135" spans="1:20" ht="13.5" thickBot="1" x14ac:dyDescent="0.35">
      <c r="B135" s="362" t="s">
        <v>224</v>
      </c>
      <c r="C135" s="362"/>
      <c r="D135" s="362"/>
      <c r="E135" s="363">
        <f ca="1">E133+E134</f>
        <v>2961.0331265000464</v>
      </c>
    </row>
    <row r="136" spans="1:20" x14ac:dyDescent="0.3">
      <c r="E136" s="286"/>
    </row>
    <row r="137" spans="1:20" ht="15.5" x14ac:dyDescent="0.35">
      <c r="A137" s="246" t="s">
        <v>31</v>
      </c>
      <c r="B137" s="265" t="s">
        <v>108</v>
      </c>
      <c r="C137" s="275"/>
      <c r="D137" s="275"/>
      <c r="E137" s="275"/>
      <c r="F137" s="275"/>
      <c r="G137" s="275"/>
      <c r="H137" s="275"/>
      <c r="I137" s="275"/>
      <c r="J137" s="275"/>
      <c r="K137" s="275"/>
      <c r="L137" s="275"/>
      <c r="M137" s="275"/>
      <c r="N137" s="275"/>
      <c r="O137" s="275"/>
      <c r="P137" s="275"/>
      <c r="Q137" s="275"/>
      <c r="R137" s="275"/>
    </row>
    <row r="138" spans="1:20" x14ac:dyDescent="0.3">
      <c r="B138" s="236" t="str">
        <f>$B$12</f>
        <v>($ in millions)</v>
      </c>
    </row>
    <row r="140" spans="1:20" x14ac:dyDescent="0.3">
      <c r="B140" s="276" t="str">
        <f>'LBO Model'!E4</f>
        <v>Base Case</v>
      </c>
    </row>
    <row r="141" spans="1:20" ht="13.5" thickBot="1" x14ac:dyDescent="0.35">
      <c r="B141" s="267"/>
      <c r="C141" s="267"/>
      <c r="D141" s="267"/>
      <c r="E141" s="267"/>
      <c r="F141" s="267"/>
      <c r="G141" s="267"/>
      <c r="H141" s="267"/>
      <c r="I141" s="267"/>
      <c r="J141" s="267"/>
      <c r="K141" s="267"/>
      <c r="L141" s="267"/>
      <c r="M141" s="267"/>
      <c r="N141" s="267"/>
      <c r="O141" s="267"/>
      <c r="P141" s="267"/>
      <c r="Q141" s="267"/>
      <c r="R141" s="267"/>
    </row>
    <row r="142" spans="1:20" x14ac:dyDescent="0.3">
      <c r="B142" s="236" t="s">
        <v>416</v>
      </c>
      <c r="F142" s="268" t="s">
        <v>109</v>
      </c>
      <c r="G142" s="268"/>
      <c r="H142" s="277"/>
      <c r="I142" s="268" t="s">
        <v>364</v>
      </c>
      <c r="J142" s="268"/>
      <c r="K142" s="268"/>
      <c r="L142" s="268"/>
      <c r="M142" s="268"/>
      <c r="N142" s="268"/>
      <c r="O142" s="268"/>
      <c r="P142" s="278"/>
      <c r="Q142" s="278"/>
      <c r="R142" s="278"/>
    </row>
    <row r="143" spans="1:20" x14ac:dyDescent="0.3">
      <c r="B143" s="258"/>
      <c r="C143" s="258"/>
      <c r="D143" s="258"/>
      <c r="E143" s="258"/>
      <c r="F143" s="231">
        <v>42003</v>
      </c>
      <c r="G143" s="231">
        <v>42367</v>
      </c>
      <c r="H143" s="232">
        <v>42731</v>
      </c>
      <c r="I143" s="231">
        <f t="shared" ref="I143:R143" si="17">DATE(YEAR(H143)+1,MONTH(H143),DAY(H143))</f>
        <v>43096</v>
      </c>
      <c r="J143" s="231">
        <f t="shared" si="17"/>
        <v>43461</v>
      </c>
      <c r="K143" s="231">
        <f t="shared" si="17"/>
        <v>43826</v>
      </c>
      <c r="L143" s="231">
        <f t="shared" si="17"/>
        <v>44192</v>
      </c>
      <c r="M143" s="231">
        <f t="shared" si="17"/>
        <v>44557</v>
      </c>
      <c r="N143" s="231">
        <f t="shared" si="17"/>
        <v>44922</v>
      </c>
      <c r="O143" s="231">
        <f t="shared" si="17"/>
        <v>45287</v>
      </c>
      <c r="P143" s="231">
        <f t="shared" si="17"/>
        <v>45653</v>
      </c>
      <c r="Q143" s="231">
        <f t="shared" si="17"/>
        <v>46018</v>
      </c>
      <c r="R143" s="231">
        <f t="shared" si="17"/>
        <v>46383</v>
      </c>
    </row>
    <row r="144" spans="1:20" hidden="1" outlineLevel="1" x14ac:dyDescent="0.3">
      <c r="B144" s="248" t="s">
        <v>107</v>
      </c>
      <c r="H144" s="255"/>
    </row>
    <row r="145" spans="2:18" hidden="1" outlineLevel="1" x14ac:dyDescent="0.3">
      <c r="B145" s="279" t="s">
        <v>807</v>
      </c>
      <c r="F145" s="253">
        <v>2230.37</v>
      </c>
      <c r="G145" s="253">
        <v>2358.7939999999999</v>
      </c>
      <c r="H145" s="291">
        <v>2433.9450000000002</v>
      </c>
    </row>
    <row r="146" spans="2:18" hidden="1" outlineLevel="1" x14ac:dyDescent="0.3">
      <c r="B146" s="279" t="s">
        <v>808</v>
      </c>
      <c r="F146" s="253">
        <v>123.68600000000001</v>
      </c>
      <c r="G146" s="253">
        <v>138.56299999999999</v>
      </c>
      <c r="H146" s="291">
        <v>155.27099999999999</v>
      </c>
    </row>
    <row r="147" spans="2:18" hidden="1" outlineLevel="1" x14ac:dyDescent="0.3">
      <c r="B147" s="279" t="s">
        <v>809</v>
      </c>
      <c r="F147" s="272">
        <v>175.13900000000001</v>
      </c>
      <c r="G147" s="272">
        <v>184.22300000000001</v>
      </c>
      <c r="H147" s="321">
        <v>206.149</v>
      </c>
    </row>
    <row r="148" spans="2:18" collapsed="1" x14ac:dyDescent="0.3">
      <c r="B148" s="248" t="s">
        <v>417</v>
      </c>
      <c r="F148" s="286">
        <f>F145+F146+F147</f>
        <v>2529.1950000000002</v>
      </c>
      <c r="G148" s="286">
        <f>G145+G146+G147</f>
        <v>2681.58</v>
      </c>
      <c r="H148" s="287">
        <f>H145+H146+H147</f>
        <v>2795.3650000000002</v>
      </c>
      <c r="I148" s="286">
        <f t="shared" ref="I148:R148" ca="1" si="18">H148*(1+I183)</f>
        <v>2846.1157142857151</v>
      </c>
      <c r="J148" s="286">
        <f t="shared" ca="1" si="18"/>
        <v>3083.1444285714297</v>
      </c>
      <c r="K148" s="286">
        <f t="shared" ca="1" si="18"/>
        <v>3374.4200000000014</v>
      </c>
      <c r="L148" s="286">
        <f t="shared" ca="1" si="18"/>
        <v>3886.8910000000014</v>
      </c>
      <c r="M148" s="286">
        <f t="shared" ca="1" si="18"/>
        <v>4220.0080000000016</v>
      </c>
      <c r="N148" s="286">
        <f t="shared" ca="1" si="18"/>
        <v>4593.740977397968</v>
      </c>
      <c r="O148" s="286">
        <f t="shared" ca="1" si="18"/>
        <v>5013.7081816123136</v>
      </c>
      <c r="P148" s="286">
        <f t="shared" ca="1" si="18"/>
        <v>5486.405976275908</v>
      </c>
      <c r="Q148" s="286">
        <f t="shared" ca="1" si="18"/>
        <v>6019.3584004222148</v>
      </c>
      <c r="R148" s="286">
        <f t="shared" ca="1" si="18"/>
        <v>6621.2942404644364</v>
      </c>
    </row>
    <row r="149" spans="2:18" hidden="1" outlineLevel="1" x14ac:dyDescent="0.3">
      <c r="B149" s="248" t="s">
        <v>588</v>
      </c>
      <c r="H149" s="230"/>
    </row>
    <row r="150" spans="2:18" hidden="1" outlineLevel="1" x14ac:dyDescent="0.3">
      <c r="B150" s="279" t="s">
        <v>810</v>
      </c>
      <c r="H150" s="230"/>
    </row>
    <row r="151" spans="2:18" hidden="1" outlineLevel="1" x14ac:dyDescent="0.3">
      <c r="B151" s="280" t="s">
        <v>811</v>
      </c>
      <c r="F151" s="253">
        <v>669.86</v>
      </c>
      <c r="G151" s="253">
        <v>715.50199999999995</v>
      </c>
      <c r="H151" s="291">
        <v>709.25099999999998</v>
      </c>
    </row>
    <row r="152" spans="2:18" hidden="1" outlineLevel="1" x14ac:dyDescent="0.3">
      <c r="B152" s="280" t="s">
        <v>7</v>
      </c>
      <c r="F152" s="253">
        <v>685.57600000000002</v>
      </c>
      <c r="G152" s="253">
        <v>754.64599999999996</v>
      </c>
      <c r="H152" s="291">
        <v>790.23800000000006</v>
      </c>
    </row>
    <row r="153" spans="2:18" hidden="1" outlineLevel="1" x14ac:dyDescent="0.3">
      <c r="B153" s="280" t="s">
        <v>8</v>
      </c>
      <c r="F153" s="253">
        <v>159.79400000000001</v>
      </c>
      <c r="G153" s="253">
        <v>169.99799999999999</v>
      </c>
      <c r="H153" s="291">
        <v>167.71700000000001</v>
      </c>
    </row>
    <row r="154" spans="2:18" hidden="1" outlineLevel="1" x14ac:dyDescent="0.3">
      <c r="B154" s="280" t="s">
        <v>812</v>
      </c>
      <c r="F154" s="272">
        <v>314.87900000000002</v>
      </c>
      <c r="G154" s="272">
        <v>334.63499999999999</v>
      </c>
      <c r="H154" s="321">
        <v>359.60899999999998</v>
      </c>
    </row>
    <row r="155" spans="2:18" hidden="1" outlineLevel="1" x14ac:dyDescent="0.3">
      <c r="B155" s="280" t="s">
        <v>813</v>
      </c>
      <c r="F155" s="286">
        <f>F151+F152+F153+F154</f>
        <v>1830.1090000000004</v>
      </c>
      <c r="G155" s="286">
        <f>G151+G152+G153+G154</f>
        <v>1974.7809999999999</v>
      </c>
      <c r="H155" s="287">
        <f>H151+H152+H153+H154</f>
        <v>2026.8150000000001</v>
      </c>
    </row>
    <row r="156" spans="2:18" hidden="1" outlineLevel="1" x14ac:dyDescent="0.3">
      <c r="B156" s="279" t="s">
        <v>814</v>
      </c>
      <c r="F156" s="272">
        <v>152.267</v>
      </c>
      <c r="G156" s="272">
        <v>160.70599999999999</v>
      </c>
      <c r="H156" s="321">
        <v>178.58500000000001</v>
      </c>
    </row>
    <row r="157" spans="2:18" collapsed="1" x14ac:dyDescent="0.3">
      <c r="B157" s="248" t="s">
        <v>125</v>
      </c>
      <c r="F157" s="248">
        <f>F155+F156</f>
        <v>1982.3760000000004</v>
      </c>
      <c r="G157" s="248">
        <f>G155+G156</f>
        <v>2135.4870000000001</v>
      </c>
      <c r="H157" s="230">
        <f>H155+H156</f>
        <v>2205.4</v>
      </c>
      <c r="I157" s="248">
        <f t="shared" ref="I157:R157" ca="1" si="19">I148*(1-I184)</f>
        <v>2217.372077142858</v>
      </c>
      <c r="J157" s="248">
        <f t="shared" ca="1" si="19"/>
        <v>2390.2568962857149</v>
      </c>
      <c r="K157" s="248">
        <f t="shared" ca="1" si="19"/>
        <v>2590.6082800000008</v>
      </c>
      <c r="L157" s="248">
        <f t="shared" ca="1" si="19"/>
        <v>2998.756194000001</v>
      </c>
      <c r="M157" s="248">
        <f t="shared" ca="1" si="19"/>
        <v>3249.3874720000008</v>
      </c>
      <c r="N157" s="248">
        <f t="shared" ca="1" si="19"/>
        <v>3537.1602095469939</v>
      </c>
      <c r="O157" s="248">
        <f t="shared" ca="1" si="19"/>
        <v>3860.5330969976717</v>
      </c>
      <c r="P157" s="248">
        <f t="shared" ca="1" si="19"/>
        <v>4224.5083055806681</v>
      </c>
      <c r="Q157" s="248">
        <f t="shared" ca="1" si="19"/>
        <v>4634.879312032087</v>
      </c>
      <c r="R157" s="248">
        <f t="shared" ca="1" si="19"/>
        <v>5098.3672432352951</v>
      </c>
    </row>
    <row r="158" spans="2:18" x14ac:dyDescent="0.3">
      <c r="B158" s="271" t="s">
        <v>123</v>
      </c>
      <c r="C158" s="271"/>
      <c r="D158" s="271"/>
      <c r="E158" s="271"/>
      <c r="F158" s="294">
        <f>F148-F157</f>
        <v>546.81899999999973</v>
      </c>
      <c r="G158" s="294">
        <f>G148-G157</f>
        <v>546.09299999999985</v>
      </c>
      <c r="H158" s="297">
        <f>H148-H157</f>
        <v>589.96500000000015</v>
      </c>
      <c r="I158" s="294">
        <f t="shared" ref="I158:R158" ca="1" si="20">I148-I157</f>
        <v>628.7436371428571</v>
      </c>
      <c r="J158" s="294">
        <f t="shared" ca="1" si="20"/>
        <v>692.88753228571477</v>
      </c>
      <c r="K158" s="294">
        <f t="shared" ca="1" si="20"/>
        <v>783.81172000000061</v>
      </c>
      <c r="L158" s="294">
        <f t="shared" ca="1" si="20"/>
        <v>888.13480600000048</v>
      </c>
      <c r="M158" s="294">
        <f t="shared" ca="1" si="20"/>
        <v>970.62052800000083</v>
      </c>
      <c r="N158" s="294">
        <f t="shared" ca="1" si="20"/>
        <v>1056.5807678509741</v>
      </c>
      <c r="O158" s="294">
        <f t="shared" ca="1" si="20"/>
        <v>1153.1750846146419</v>
      </c>
      <c r="P158" s="294">
        <f t="shared" ca="1" si="20"/>
        <v>1261.8976706952399</v>
      </c>
      <c r="Q158" s="294">
        <f t="shared" ca="1" si="20"/>
        <v>1384.4790883901278</v>
      </c>
      <c r="R158" s="294">
        <f t="shared" ca="1" si="20"/>
        <v>1522.9269972291413</v>
      </c>
    </row>
    <row r="159" spans="2:18" x14ac:dyDescent="0.3">
      <c r="H159" s="230"/>
    </row>
    <row r="160" spans="2:18" x14ac:dyDescent="0.3">
      <c r="B160" s="248" t="s">
        <v>815</v>
      </c>
      <c r="F160" s="253">
        <v>138.06</v>
      </c>
      <c r="G160" s="253">
        <v>142.904</v>
      </c>
      <c r="H160" s="291">
        <v>179.876</v>
      </c>
      <c r="I160" s="248">
        <f t="shared" ref="I160:R160" ca="1" si="21">I148*I185</f>
        <v>182.15140571428577</v>
      </c>
      <c r="J160" s="248">
        <f t="shared" ca="1" si="21"/>
        <v>197.32124342857151</v>
      </c>
      <c r="K160" s="248">
        <f t="shared" ca="1" si="21"/>
        <v>215.9628800000001</v>
      </c>
      <c r="L160" s="248">
        <f t="shared" ca="1" si="21"/>
        <v>248.76102400000011</v>
      </c>
      <c r="M160" s="248">
        <f t="shared" ca="1" si="21"/>
        <v>270.08051200000011</v>
      </c>
      <c r="N160" s="248">
        <f t="shared" ca="1" si="21"/>
        <v>293.99942255346997</v>
      </c>
      <c r="O160" s="248">
        <f t="shared" ca="1" si="21"/>
        <v>320.87732362318809</v>
      </c>
      <c r="P160" s="248">
        <f t="shared" ca="1" si="21"/>
        <v>351.12998248165809</v>
      </c>
      <c r="Q160" s="248">
        <f t="shared" ca="1" si="21"/>
        <v>385.23893762702176</v>
      </c>
      <c r="R160" s="248">
        <f t="shared" ca="1" si="21"/>
        <v>423.76283138972394</v>
      </c>
    </row>
    <row r="161" spans="2:20" x14ac:dyDescent="0.3">
      <c r="B161" s="248" t="s">
        <v>816</v>
      </c>
      <c r="F161" s="253">
        <v>8.7070000000000007</v>
      </c>
      <c r="G161" s="253">
        <v>9.0890000000000004</v>
      </c>
      <c r="H161" s="291">
        <v>6.899</v>
      </c>
      <c r="I161" s="248">
        <f t="shared" ref="I161:R161" ca="1" si="22">I148*I186</f>
        <v>5.6922314285714304</v>
      </c>
      <c r="J161" s="248">
        <f t="shared" ca="1" si="22"/>
        <v>6.1662888571428596</v>
      </c>
      <c r="K161" s="248">
        <f t="shared" ca="1" si="22"/>
        <v>6.7488400000000031</v>
      </c>
      <c r="L161" s="248">
        <f t="shared" ca="1" si="22"/>
        <v>7.7737820000000033</v>
      </c>
      <c r="M161" s="248">
        <f t="shared" ca="1" si="22"/>
        <v>8.4400160000000035</v>
      </c>
      <c r="N161" s="248">
        <f t="shared" ca="1" si="22"/>
        <v>9.1874819547959365</v>
      </c>
      <c r="O161" s="248">
        <f t="shared" ca="1" si="22"/>
        <v>10.027416363224628</v>
      </c>
      <c r="P161" s="248">
        <f t="shared" ca="1" si="22"/>
        <v>10.972811952551815</v>
      </c>
      <c r="Q161" s="248">
        <f t="shared" ca="1" si="22"/>
        <v>12.03871680084443</v>
      </c>
      <c r="R161" s="248">
        <f t="shared" ca="1" si="22"/>
        <v>13.242588480928873</v>
      </c>
    </row>
    <row r="162" spans="2:20" x14ac:dyDescent="0.3">
      <c r="B162" s="271" t="s">
        <v>111</v>
      </c>
      <c r="C162" s="271"/>
      <c r="D162" s="271"/>
      <c r="E162" s="271"/>
      <c r="F162" s="294">
        <f>F158-F160-F161</f>
        <v>400.05199999999974</v>
      </c>
      <c r="G162" s="294">
        <f>G158-G160-G161</f>
        <v>394.09999999999985</v>
      </c>
      <c r="H162" s="297">
        <f>H158-H160-H161</f>
        <v>403.19000000000017</v>
      </c>
      <c r="I162" s="294">
        <f t="shared" ref="I162:R162" ca="1" si="23">I158-I160-I161</f>
        <v>440.89999999999992</v>
      </c>
      <c r="J162" s="294">
        <f t="shared" ca="1" si="23"/>
        <v>489.40000000000043</v>
      </c>
      <c r="K162" s="294">
        <f t="shared" ca="1" si="23"/>
        <v>561.10000000000059</v>
      </c>
      <c r="L162" s="294">
        <f t="shared" ca="1" si="23"/>
        <v>631.60000000000036</v>
      </c>
      <c r="M162" s="294">
        <f t="shared" ca="1" si="23"/>
        <v>692.1000000000007</v>
      </c>
      <c r="N162" s="294">
        <f t="shared" ca="1" si="23"/>
        <v>753.3938633427083</v>
      </c>
      <c r="O162" s="294">
        <f t="shared" ca="1" si="23"/>
        <v>822.27034462822928</v>
      </c>
      <c r="P162" s="294">
        <f t="shared" ca="1" si="23"/>
        <v>899.79487626102991</v>
      </c>
      <c r="Q162" s="294">
        <f t="shared" ca="1" si="23"/>
        <v>987.2014339622616</v>
      </c>
      <c r="R162" s="294">
        <f t="shared" ca="1" si="23"/>
        <v>1085.9215773584885</v>
      </c>
    </row>
    <row r="163" spans="2:20" x14ac:dyDescent="0.3">
      <c r="H163" s="230"/>
    </row>
    <row r="164" spans="2:20" x14ac:dyDescent="0.3">
      <c r="B164" s="248" t="s">
        <v>277</v>
      </c>
      <c r="F164" s="253">
        <v>124.10899999999999</v>
      </c>
      <c r="G164" s="253">
        <v>135.398</v>
      </c>
      <c r="H164" s="291">
        <v>154.35499999999999</v>
      </c>
      <c r="I164" s="248">
        <f t="shared" ref="I164:R164" ca="1" si="24">IFERROR(I148*I340,-1)</f>
        <v>162.38428571428571</v>
      </c>
      <c r="J164" s="248">
        <f t="shared" ca="1" si="24"/>
        <v>167.41442857142866</v>
      </c>
      <c r="K164" s="248">
        <f t="shared" ca="1" si="24"/>
        <v>180.27799999999996</v>
      </c>
      <c r="L164" s="248">
        <f t="shared" ca="1" si="24"/>
        <v>206.37500000000006</v>
      </c>
      <c r="M164" s="248">
        <f t="shared" ca="1" si="24"/>
        <v>220.45300000000015</v>
      </c>
      <c r="N164" s="248">
        <f t="shared" ca="1" si="24"/>
        <v>239.97679143980639</v>
      </c>
      <c r="O164" s="248">
        <f t="shared" ca="1" si="24"/>
        <v>261.91585650097812</v>
      </c>
      <c r="P164" s="248">
        <f t="shared" ca="1" si="24"/>
        <v>286.60956488422607</v>
      </c>
      <c r="Q164" s="248">
        <f t="shared" ca="1" si="24"/>
        <v>314.45097200011918</v>
      </c>
      <c r="R164" s="248">
        <f t="shared" ca="1" si="24"/>
        <v>345.89606920013108</v>
      </c>
    </row>
    <row r="165" spans="2:20" x14ac:dyDescent="0.3">
      <c r="B165" s="248" t="s">
        <v>817</v>
      </c>
      <c r="F165" s="253"/>
      <c r="G165" s="253"/>
      <c r="H165" s="291"/>
      <c r="I165" s="248">
        <f t="shared" ref="I165:R165" ca="1" si="25">IF($J$133&gt;=YEAR(I$143)-YEAR($H$143),$J$134,0)</f>
        <v>130.83634745000202</v>
      </c>
      <c r="J165" s="248">
        <f t="shared" ca="1" si="25"/>
        <v>130.83634745000202</v>
      </c>
      <c r="K165" s="248">
        <f t="shared" ca="1" si="25"/>
        <v>130.83634745000202</v>
      </c>
      <c r="L165" s="248">
        <f t="shared" ca="1" si="25"/>
        <v>130.83634745000202</v>
      </c>
      <c r="M165" s="248">
        <f t="shared" ca="1" si="25"/>
        <v>130.83634745000202</v>
      </c>
      <c r="N165" s="248">
        <f t="shared" ca="1" si="25"/>
        <v>130.83634745000202</v>
      </c>
      <c r="O165" s="248">
        <f t="shared" ca="1" si="25"/>
        <v>130.83634745000202</v>
      </c>
      <c r="P165" s="248">
        <f t="shared" ca="1" si="25"/>
        <v>130.83634745000202</v>
      </c>
      <c r="Q165" s="248">
        <f t="shared" ca="1" si="25"/>
        <v>130.83634745000202</v>
      </c>
      <c r="R165" s="248">
        <f t="shared" ca="1" si="25"/>
        <v>130.83634745000202</v>
      </c>
    </row>
    <row r="166" spans="2:20" x14ac:dyDescent="0.3">
      <c r="B166" s="271" t="s">
        <v>112</v>
      </c>
      <c r="C166" s="271"/>
      <c r="D166" s="271"/>
      <c r="E166" s="271"/>
      <c r="F166" s="294">
        <f>F162-F164-F165</f>
        <v>275.94299999999976</v>
      </c>
      <c r="G166" s="294">
        <f>G162-G164-G165</f>
        <v>258.70199999999988</v>
      </c>
      <c r="H166" s="297">
        <f>H162-H164-H165</f>
        <v>248.83500000000018</v>
      </c>
      <c r="I166" s="294">
        <f t="shared" ref="I166:R166" ca="1" si="26">I162-I164-I165</f>
        <v>147.67936683571222</v>
      </c>
      <c r="J166" s="294">
        <f t="shared" ca="1" si="26"/>
        <v>191.14922397856978</v>
      </c>
      <c r="K166" s="294">
        <f t="shared" ca="1" si="26"/>
        <v>249.9856525499986</v>
      </c>
      <c r="L166" s="294">
        <f t="shared" ca="1" si="26"/>
        <v>294.38865254999826</v>
      </c>
      <c r="M166" s="294">
        <f t="shared" ca="1" si="26"/>
        <v>340.81065254999851</v>
      </c>
      <c r="N166" s="294">
        <f t="shared" ca="1" si="26"/>
        <v>382.58072445289986</v>
      </c>
      <c r="O166" s="294">
        <f t="shared" ca="1" si="26"/>
        <v>429.51814067724922</v>
      </c>
      <c r="P166" s="294">
        <f t="shared" ca="1" si="26"/>
        <v>482.34896392680184</v>
      </c>
      <c r="Q166" s="294">
        <f t="shared" ca="1" si="26"/>
        <v>541.91411451214049</v>
      </c>
      <c r="R166" s="294">
        <f t="shared" ca="1" si="26"/>
        <v>609.18916070835553</v>
      </c>
    </row>
    <row r="167" spans="2:20" x14ac:dyDescent="0.3">
      <c r="H167" s="230"/>
    </row>
    <row r="168" spans="2:20" x14ac:dyDescent="0.3">
      <c r="B168" s="261" t="s">
        <v>418</v>
      </c>
      <c r="H168" s="230"/>
    </row>
    <row r="169" spans="2:20" x14ac:dyDescent="0.3">
      <c r="B169" s="285" t="s">
        <v>419</v>
      </c>
      <c r="F169" s="253">
        <v>1.8240000000000001</v>
      </c>
      <c r="G169" s="253">
        <v>3.83</v>
      </c>
      <c r="H169" s="291">
        <v>8.8840000000000003</v>
      </c>
      <c r="I169" s="248">
        <f t="shared" ref="I169:R169" ca="1" si="27">IFERROR(I311,-1)</f>
        <v>168.99292647155107</v>
      </c>
      <c r="J169" s="248">
        <f t="shared" ca="1" si="27"/>
        <v>165.71535737059602</v>
      </c>
      <c r="K169" s="248">
        <f t="shared" ca="1" si="27"/>
        <v>159.33698184355518</v>
      </c>
      <c r="L169" s="248">
        <f t="shared" ca="1" si="27"/>
        <v>150.57721467733435</v>
      </c>
      <c r="M169" s="248">
        <f t="shared" ca="1" si="27"/>
        <v>136.8423591376814</v>
      </c>
      <c r="N169" s="248">
        <f t="shared" ca="1" si="27"/>
        <v>116.98053172140519</v>
      </c>
      <c r="O169" s="248">
        <f t="shared" ca="1" si="27"/>
        <v>93.104695800076485</v>
      </c>
      <c r="P169" s="248">
        <f t="shared" ca="1" si="27"/>
        <v>66.224795984624294</v>
      </c>
      <c r="Q169" s="248">
        <f t="shared" ca="1" si="27"/>
        <v>36.024879915428876</v>
      </c>
      <c r="R169" s="248">
        <f t="shared" ca="1" si="27"/>
        <v>10.028033834260167</v>
      </c>
      <c r="T169" s="320" t="str">
        <f ca="1">IF(OR(I169=-1,J169=-1,K169=-1,L169=-1,M169=-1,N169=-1,O169=-1,P169=-1,Q169=-1,R169=-1),"Possible Recurision Error","Recursion Point")</f>
        <v>Recursion Point</v>
      </c>
    </row>
    <row r="170" spans="2:20" x14ac:dyDescent="0.3">
      <c r="B170" s="285" t="s">
        <v>732</v>
      </c>
      <c r="H170" s="230"/>
      <c r="I170" s="248">
        <f t="shared" ref="I170:R170" ca="1" si="28">IFERROR(I314,-1)</f>
        <v>0.64024649999999994</v>
      </c>
      <c r="J170" s="248">
        <f t="shared" ca="1" si="28"/>
        <v>0.64024650000000005</v>
      </c>
      <c r="K170" s="248">
        <f t="shared" ca="1" si="28"/>
        <v>0.64024650000000005</v>
      </c>
      <c r="L170" s="248">
        <f t="shared" ca="1" si="28"/>
        <v>0.64024650000000005</v>
      </c>
      <c r="M170" s="248">
        <f t="shared" ca="1" si="28"/>
        <v>0.64024650000000005</v>
      </c>
      <c r="N170" s="248">
        <f t="shared" ca="1" si="28"/>
        <v>0.64024650000000005</v>
      </c>
      <c r="O170" s="248">
        <f t="shared" ca="1" si="28"/>
        <v>0.64024650000000005</v>
      </c>
      <c r="P170" s="248">
        <f t="shared" ca="1" si="28"/>
        <v>0.64024650000000005</v>
      </c>
      <c r="Q170" s="248">
        <f t="shared" ca="1" si="28"/>
        <v>0.64024650000000005</v>
      </c>
      <c r="R170" s="248">
        <f t="shared" ca="1" si="28"/>
        <v>4.3844665491992227</v>
      </c>
      <c r="T170" s="320" t="str">
        <f ca="1">IF(OR(I170=-1,J170=-1,K170=-1,L170=-1,M170=-1,N170=-1,O170=-1,P170=-1,Q170=-1,R170=-1),"Possible Recurision Error","Recursion Point")</f>
        <v>Recursion Point</v>
      </c>
    </row>
    <row r="171" spans="2:20" x14ac:dyDescent="0.3">
      <c r="B171" s="285" t="s">
        <v>818</v>
      </c>
      <c r="F171" s="261"/>
      <c r="G171" s="261"/>
      <c r="H171" s="262"/>
      <c r="I171" s="248">
        <f t="shared" ref="I171:R171" ca="1" si="29">IF($F$62&gt;=YEAR(I$143)-YEAR($H$143),$E$62/$F$62)+IF($F$63&gt;=YEAR(I$143)-YEAR($H$143),$E$63/$F$63)+IF($F$64&gt;=YEAR(I$143)-YEAR($H$143),$E$64/$F$64)</f>
        <v>5.7857167151773297</v>
      </c>
      <c r="J171" s="248">
        <f t="shared" ca="1" si="29"/>
        <v>5.7857167151773297</v>
      </c>
      <c r="K171" s="248">
        <f t="shared" ca="1" si="29"/>
        <v>5.7857167151773297</v>
      </c>
      <c r="L171" s="248">
        <f t="shared" ca="1" si="29"/>
        <v>5.7857167151773297</v>
      </c>
      <c r="M171" s="248">
        <f t="shared" ca="1" si="29"/>
        <v>5.7857167151773297</v>
      </c>
      <c r="N171" s="248">
        <f t="shared" ca="1" si="29"/>
        <v>5.7857167151773297</v>
      </c>
      <c r="O171" s="248">
        <f t="shared" ca="1" si="29"/>
        <v>5.7857167151773297</v>
      </c>
      <c r="P171" s="248">
        <f t="shared" ca="1" si="29"/>
        <v>3.3750013538663524</v>
      </c>
      <c r="Q171" s="248">
        <f t="shared" ca="1" si="29"/>
        <v>3.3750013538663524</v>
      </c>
      <c r="R171" s="248">
        <f t="shared" ca="1" si="29"/>
        <v>3.3750013538663524</v>
      </c>
    </row>
    <row r="172" spans="2:20" x14ac:dyDescent="0.3">
      <c r="B172" s="271" t="s">
        <v>126</v>
      </c>
      <c r="C172" s="271"/>
      <c r="D172" s="271"/>
      <c r="E172" s="271"/>
      <c r="F172" s="381">
        <f>F166-F169-F171+F170</f>
        <v>274.11899999999974</v>
      </c>
      <c r="G172" s="381">
        <f>G166-G169-G171+G170</f>
        <v>254.87199999999987</v>
      </c>
      <c r="H172" s="382">
        <f>H166-H169-H171+H170</f>
        <v>239.95100000000019</v>
      </c>
      <c r="I172" s="294">
        <f t="shared" ref="I172:R172" ca="1" si="30">I166-I169-I171+I170</f>
        <v>-26.459029851016187</v>
      </c>
      <c r="J172" s="294">
        <f t="shared" ca="1" si="30"/>
        <v>20.288396392796425</v>
      </c>
      <c r="K172" s="294">
        <f t="shared" ca="1" si="30"/>
        <v>85.503200491266099</v>
      </c>
      <c r="L172" s="294">
        <f t="shared" ca="1" si="30"/>
        <v>138.66596765748656</v>
      </c>
      <c r="M172" s="294">
        <f t="shared" ca="1" si="30"/>
        <v>198.82282319713977</v>
      </c>
      <c r="N172" s="294">
        <f t="shared" ca="1" si="30"/>
        <v>260.4547225163173</v>
      </c>
      <c r="O172" s="294">
        <f t="shared" ca="1" si="30"/>
        <v>331.26797466199542</v>
      </c>
      <c r="P172" s="294">
        <f t="shared" ca="1" si="30"/>
        <v>413.38941308831119</v>
      </c>
      <c r="Q172" s="294">
        <f t="shared" ca="1" si="30"/>
        <v>503.15447974284524</v>
      </c>
      <c r="R172" s="294">
        <f t="shared" ca="1" si="30"/>
        <v>600.17059206942827</v>
      </c>
    </row>
    <row r="173" spans="2:20" x14ac:dyDescent="0.3">
      <c r="H173" s="230"/>
    </row>
    <row r="174" spans="2:20" x14ac:dyDescent="0.3">
      <c r="B174" s="248" t="s">
        <v>484</v>
      </c>
      <c r="H174" s="230"/>
      <c r="I174" s="248">
        <f t="shared" ref="I174:R174" ca="1" si="31">I236</f>
        <v>0</v>
      </c>
      <c r="J174" s="248">
        <f t="shared" ca="1" si="31"/>
        <v>-20.288396392779848</v>
      </c>
      <c r="K174" s="248">
        <f t="shared" ca="1" si="31"/>
        <v>-6.1706334585055096</v>
      </c>
      <c r="L174" s="248">
        <f t="shared" ca="1" si="31"/>
        <v>0</v>
      </c>
      <c r="M174" s="248">
        <f t="shared" ca="1" si="31"/>
        <v>0</v>
      </c>
      <c r="N174" s="248">
        <f t="shared" ca="1" si="31"/>
        <v>0</v>
      </c>
      <c r="O174" s="248">
        <f t="shared" ca="1" si="31"/>
        <v>0</v>
      </c>
      <c r="P174" s="248">
        <f t="shared" ca="1" si="31"/>
        <v>0</v>
      </c>
      <c r="Q174" s="248">
        <f t="shared" ca="1" si="31"/>
        <v>0</v>
      </c>
      <c r="R174" s="248">
        <f t="shared" ca="1" si="31"/>
        <v>0</v>
      </c>
    </row>
    <row r="175" spans="2:20" x14ac:dyDescent="0.3">
      <c r="H175" s="230"/>
    </row>
    <row r="176" spans="2:20" x14ac:dyDescent="0.3">
      <c r="B176" s="248" t="s">
        <v>490</v>
      </c>
      <c r="F176" s="253">
        <v>98.001000000000005</v>
      </c>
      <c r="G176" s="253">
        <v>87.247</v>
      </c>
      <c r="H176" s="291">
        <v>84.257999999999996</v>
      </c>
      <c r="I176" s="248">
        <f t="shared" ref="I176:R176" ca="1" si="32">MAX(0,(I172+I174)*I191)</f>
        <v>0</v>
      </c>
      <c r="J176" s="248">
        <f t="shared" ca="1" si="32"/>
        <v>5.8019367088490977E-12</v>
      </c>
      <c r="K176" s="248">
        <f t="shared" ca="1" si="32"/>
        <v>27.766398461466206</v>
      </c>
      <c r="L176" s="248">
        <f t="shared" ca="1" si="32"/>
        <v>48.533088680120294</v>
      </c>
      <c r="M176" s="248">
        <f t="shared" ca="1" si="32"/>
        <v>69.587988118998908</v>
      </c>
      <c r="N176" s="248">
        <f t="shared" ca="1" si="32"/>
        <v>91.159152880711048</v>
      </c>
      <c r="O176" s="248">
        <f t="shared" ca="1" si="32"/>
        <v>115.94379113169839</v>
      </c>
      <c r="P176" s="248">
        <f t="shared" ca="1" si="32"/>
        <v>144.68629458090891</v>
      </c>
      <c r="Q176" s="248">
        <f t="shared" ca="1" si="32"/>
        <v>176.10406790999582</v>
      </c>
      <c r="R176" s="248">
        <f t="shared" ca="1" si="32"/>
        <v>210.05970722429987</v>
      </c>
    </row>
    <row r="177" spans="1:20" x14ac:dyDescent="0.3">
      <c r="B177" s="271" t="s">
        <v>120</v>
      </c>
      <c r="C177" s="271"/>
      <c r="D177" s="271"/>
      <c r="E177" s="271"/>
      <c r="F177" s="294">
        <f>F172-F176</f>
        <v>176.11799999999974</v>
      </c>
      <c r="G177" s="294">
        <f>G172-G176</f>
        <v>167.62499999999989</v>
      </c>
      <c r="H177" s="297">
        <f>H172-H176</f>
        <v>155.69300000000021</v>
      </c>
      <c r="I177" s="294">
        <f t="shared" ref="I177:R177" ca="1" si="33">I172-I176</f>
        <v>-26.459029851016187</v>
      </c>
      <c r="J177" s="294">
        <f t="shared" ca="1" si="33"/>
        <v>20.288396392790624</v>
      </c>
      <c r="K177" s="294">
        <f t="shared" ca="1" si="33"/>
        <v>57.73680202979989</v>
      </c>
      <c r="L177" s="294">
        <f t="shared" ca="1" si="33"/>
        <v>90.132878977366261</v>
      </c>
      <c r="M177" s="294">
        <f t="shared" ca="1" si="33"/>
        <v>129.23483507814086</v>
      </c>
      <c r="N177" s="294">
        <f t="shared" ca="1" si="33"/>
        <v>169.29556963560626</v>
      </c>
      <c r="O177" s="294">
        <f t="shared" ca="1" si="33"/>
        <v>215.32418353029703</v>
      </c>
      <c r="P177" s="294">
        <f t="shared" ca="1" si="33"/>
        <v>268.70311850740228</v>
      </c>
      <c r="Q177" s="294">
        <f t="shared" ca="1" si="33"/>
        <v>327.05041183284942</v>
      </c>
      <c r="R177" s="294">
        <f t="shared" ca="1" si="33"/>
        <v>390.1108848451284</v>
      </c>
    </row>
    <row r="178" spans="1:20" x14ac:dyDescent="0.3">
      <c r="H178" s="230"/>
    </row>
    <row r="179" spans="1:20" x14ac:dyDescent="0.3">
      <c r="B179" s="248" t="s">
        <v>819</v>
      </c>
      <c r="F179" s="253">
        <v>-3.1749999999999998</v>
      </c>
      <c r="G179" s="253">
        <v>18.3</v>
      </c>
      <c r="H179" s="291">
        <v>10.452</v>
      </c>
      <c r="I179" s="253">
        <v>0</v>
      </c>
      <c r="J179" s="248">
        <f t="shared" ref="J179:R179" si="34">I179</f>
        <v>0</v>
      </c>
      <c r="K179" s="248">
        <f t="shared" si="34"/>
        <v>0</v>
      </c>
      <c r="L179" s="248">
        <f t="shared" si="34"/>
        <v>0</v>
      </c>
      <c r="M179" s="248">
        <f t="shared" si="34"/>
        <v>0</v>
      </c>
      <c r="N179" s="248">
        <f t="shared" si="34"/>
        <v>0</v>
      </c>
      <c r="O179" s="248">
        <f t="shared" si="34"/>
        <v>0</v>
      </c>
      <c r="P179" s="248">
        <f t="shared" si="34"/>
        <v>0</v>
      </c>
      <c r="Q179" s="248">
        <f t="shared" si="34"/>
        <v>0</v>
      </c>
      <c r="R179" s="248">
        <f t="shared" si="34"/>
        <v>0</v>
      </c>
      <c r="T179" s="248" t="s">
        <v>665</v>
      </c>
    </row>
    <row r="180" spans="1:20" x14ac:dyDescent="0.3">
      <c r="B180" s="248" t="s">
        <v>820</v>
      </c>
      <c r="F180" s="253">
        <v>0</v>
      </c>
      <c r="G180" s="253">
        <v>-1.7000000000000001E-2</v>
      </c>
      <c r="H180" s="291">
        <v>-0.33300000000000002</v>
      </c>
      <c r="I180" s="253">
        <v>0</v>
      </c>
      <c r="J180" s="248">
        <f t="shared" ref="J180:R180" si="35">I180</f>
        <v>0</v>
      </c>
      <c r="K180" s="248">
        <f t="shared" si="35"/>
        <v>0</v>
      </c>
      <c r="L180" s="248">
        <f t="shared" si="35"/>
        <v>0</v>
      </c>
      <c r="M180" s="248">
        <f t="shared" si="35"/>
        <v>0</v>
      </c>
      <c r="N180" s="248">
        <f t="shared" si="35"/>
        <v>0</v>
      </c>
      <c r="O180" s="248">
        <f t="shared" si="35"/>
        <v>0</v>
      </c>
      <c r="P180" s="248">
        <f t="shared" si="35"/>
        <v>0</v>
      </c>
      <c r="Q180" s="248">
        <f t="shared" si="35"/>
        <v>0</v>
      </c>
      <c r="R180" s="248">
        <f t="shared" si="35"/>
        <v>0</v>
      </c>
    </row>
    <row r="181" spans="1:20" s="256" customFormat="1" x14ac:dyDescent="0.3">
      <c r="A181" s="249"/>
      <c r="B181" s="271" t="s">
        <v>22</v>
      </c>
      <c r="C181" s="271"/>
      <c r="D181" s="271"/>
      <c r="E181" s="271"/>
      <c r="F181" s="294">
        <f>F177-F179-F180</f>
        <v>179.29299999999975</v>
      </c>
      <c r="G181" s="294">
        <f>G177-G179-G180</f>
        <v>149.34199999999987</v>
      </c>
      <c r="H181" s="297">
        <f>H177-H179-H180</f>
        <v>145.57400000000021</v>
      </c>
      <c r="I181" s="294">
        <f t="shared" ref="I181:R181" ca="1" si="36">I177-I179-I180</f>
        <v>-26.459029851016187</v>
      </c>
      <c r="J181" s="294">
        <f t="shared" ca="1" si="36"/>
        <v>20.288396392790624</v>
      </c>
      <c r="K181" s="294">
        <f t="shared" ca="1" si="36"/>
        <v>57.73680202979989</v>
      </c>
      <c r="L181" s="294">
        <f t="shared" ca="1" si="36"/>
        <v>90.132878977366261</v>
      </c>
      <c r="M181" s="294">
        <f t="shared" ca="1" si="36"/>
        <v>129.23483507814086</v>
      </c>
      <c r="N181" s="294">
        <f t="shared" ca="1" si="36"/>
        <v>169.29556963560626</v>
      </c>
      <c r="O181" s="294">
        <f t="shared" ca="1" si="36"/>
        <v>215.32418353029703</v>
      </c>
      <c r="P181" s="294">
        <f t="shared" ca="1" si="36"/>
        <v>268.70311850740228</v>
      </c>
      <c r="Q181" s="294">
        <f t="shared" ca="1" si="36"/>
        <v>327.05041183284942</v>
      </c>
      <c r="R181" s="294">
        <f t="shared" ca="1" si="36"/>
        <v>390.1108848451284</v>
      </c>
      <c r="T181" s="248"/>
    </row>
    <row r="182" spans="1:20" x14ac:dyDescent="0.3">
      <c r="H182" s="230"/>
      <c r="I182" s="383"/>
      <c r="J182" s="383"/>
      <c r="K182" s="383"/>
      <c r="L182" s="383"/>
      <c r="M182" s="383"/>
      <c r="N182" s="383"/>
      <c r="O182" s="383"/>
      <c r="P182" s="383"/>
      <c r="Q182" s="383"/>
      <c r="R182" s="383"/>
    </row>
    <row r="183" spans="1:20" x14ac:dyDescent="0.3">
      <c r="B183" s="248" t="s">
        <v>252</v>
      </c>
      <c r="F183" s="233"/>
      <c r="G183" s="233">
        <f>G148/F148-1</f>
        <v>6.0250395876948915E-2</v>
      </c>
      <c r="H183" s="292">
        <f>H148/G148-1</f>
        <v>4.2432073628234201E-2</v>
      </c>
      <c r="I183" s="325">
        <f ca="1">'LBO Model'!I412</f>
        <v>1.8155308621848887E-2</v>
      </c>
      <c r="J183" s="325">
        <f ca="1">'LBO Model'!J412</f>
        <v>8.3281474852192172E-2</v>
      </c>
      <c r="K183" s="325">
        <f ca="1">'LBO Model'!K412</f>
        <v>9.4473540950377632E-2</v>
      </c>
      <c r="L183" s="325">
        <f ca="1">'LBO Model'!L412</f>
        <v>0.15186935828972081</v>
      </c>
      <c r="M183" s="325">
        <f ca="1">'LBO Model'!M412</f>
        <v>8.5702686285774377E-2</v>
      </c>
      <c r="N183" s="325">
        <f ca="1">'LBO Model'!N412</f>
        <v>8.8562149028619502E-2</v>
      </c>
      <c r="O183" s="325">
        <f ca="1">'LBO Model'!O412</f>
        <v>9.1421611771464628E-2</v>
      </c>
      <c r="P183" s="325">
        <f ca="1">'LBO Model'!P412</f>
        <v>9.4281074514309754E-2</v>
      </c>
      <c r="Q183" s="325">
        <f ca="1">'LBO Model'!Q412</f>
        <v>9.714053725715488E-2</v>
      </c>
      <c r="R183" s="325">
        <f ca="1">'LBO Model'!R412</f>
        <v>0.1</v>
      </c>
    </row>
    <row r="184" spans="1:20" x14ac:dyDescent="0.3">
      <c r="B184" s="248" t="s">
        <v>253</v>
      </c>
      <c r="F184" s="233">
        <f>F158/F$148</f>
        <v>0.21620278388973554</v>
      </c>
      <c r="G184" s="233">
        <f>G158/G148</f>
        <v>0.20364598482983906</v>
      </c>
      <c r="H184" s="292">
        <f>H158/H148</f>
        <v>0.21105115074417835</v>
      </c>
      <c r="I184" s="325">
        <f ca="1">'LBO Model'!I413</f>
        <v>0.2209128862846155</v>
      </c>
      <c r="J184" s="325">
        <f ca="1">'LBO Model'!J413</f>
        <v>0.22473404938955877</v>
      </c>
      <c r="K184" s="325">
        <f ca="1">'LBO Model'!K413</f>
        <v>0.23228042745123609</v>
      </c>
      <c r="L184" s="325">
        <f ca="1">'LBO Model'!L413</f>
        <v>0.22849490917033694</v>
      </c>
      <c r="M184" s="325">
        <f ca="1">'LBO Model'!M413</f>
        <v>0.23000442842762389</v>
      </c>
      <c r="N184" s="325">
        <f ca="1">'LBO Model'!N413</f>
        <v>0.23000442842762389</v>
      </c>
      <c r="O184" s="325">
        <f ca="1">'LBO Model'!O413</f>
        <v>0.23000442842762389</v>
      </c>
      <c r="P184" s="325">
        <f ca="1">'LBO Model'!P413</f>
        <v>0.23000442842762389</v>
      </c>
      <c r="Q184" s="325">
        <f ca="1">'LBO Model'!Q413</f>
        <v>0.23000442842762389</v>
      </c>
      <c r="R184" s="325">
        <f ca="1">'LBO Model'!R413</f>
        <v>0.23000442842762389</v>
      </c>
    </row>
    <row r="185" spans="1:20" x14ac:dyDescent="0.3">
      <c r="B185" s="248" t="s">
        <v>431</v>
      </c>
      <c r="F185" s="233">
        <f t="shared" ref="F185:H186" si="37">F160/F$148</f>
        <v>5.4586538404512108E-2</v>
      </c>
      <c r="G185" s="233">
        <f t="shared" si="37"/>
        <v>5.3290970248883122E-2</v>
      </c>
      <c r="H185" s="292">
        <f t="shared" si="37"/>
        <v>6.4347947405794942E-2</v>
      </c>
      <c r="I185" s="325">
        <f ca="1">'LBO Model'!I414</f>
        <v>6.4000000000000001E-2</v>
      </c>
      <c r="J185" s="325">
        <f ca="1">'LBO Model'!J414</f>
        <v>6.4000000000000001E-2</v>
      </c>
      <c r="K185" s="325">
        <f ca="1">'LBO Model'!K414</f>
        <v>6.4000000000000001E-2</v>
      </c>
      <c r="L185" s="325">
        <f ca="1">'LBO Model'!L414</f>
        <v>6.4000000000000001E-2</v>
      </c>
      <c r="M185" s="325">
        <f ca="1">'LBO Model'!M414</f>
        <v>6.4000000000000001E-2</v>
      </c>
      <c r="N185" s="325">
        <f ca="1">'LBO Model'!N414</f>
        <v>6.4000000000000001E-2</v>
      </c>
      <c r="O185" s="325">
        <f ca="1">'LBO Model'!O414</f>
        <v>6.4000000000000001E-2</v>
      </c>
      <c r="P185" s="325">
        <f ca="1">'LBO Model'!P414</f>
        <v>6.4000000000000001E-2</v>
      </c>
      <c r="Q185" s="325">
        <f ca="1">'LBO Model'!Q414</f>
        <v>6.4000000000000001E-2</v>
      </c>
      <c r="R185" s="325">
        <f ca="1">'LBO Model'!R414</f>
        <v>6.4000000000000001E-2</v>
      </c>
    </row>
    <row r="186" spans="1:20" x14ac:dyDescent="0.3">
      <c r="B186" s="248" t="s">
        <v>356</v>
      </c>
      <c r="F186" s="233">
        <f t="shared" si="37"/>
        <v>3.4425973481680932E-3</v>
      </c>
      <c r="G186" s="233">
        <f t="shared" si="37"/>
        <v>3.3894196704927692E-3</v>
      </c>
      <c r="H186" s="292">
        <f t="shared" si="37"/>
        <v>2.4680140160587257E-3</v>
      </c>
      <c r="I186" s="325">
        <f ca="1">'LBO Model'!I415</f>
        <v>2E-3</v>
      </c>
      <c r="J186" s="325">
        <f ca="1">'LBO Model'!J415</f>
        <v>2E-3</v>
      </c>
      <c r="K186" s="325">
        <f ca="1">'LBO Model'!K415</f>
        <v>2E-3</v>
      </c>
      <c r="L186" s="325">
        <f ca="1">'LBO Model'!L415</f>
        <v>2E-3</v>
      </c>
      <c r="M186" s="325">
        <f ca="1">'LBO Model'!M415</f>
        <v>2E-3</v>
      </c>
      <c r="N186" s="325">
        <f ca="1">'LBO Model'!N415</f>
        <v>2E-3</v>
      </c>
      <c r="O186" s="325">
        <f ca="1">'LBO Model'!O415</f>
        <v>2E-3</v>
      </c>
      <c r="P186" s="325">
        <f ca="1">'LBO Model'!P415</f>
        <v>2E-3</v>
      </c>
      <c r="Q186" s="325">
        <f ca="1">'LBO Model'!Q415</f>
        <v>2E-3</v>
      </c>
      <c r="R186" s="325">
        <f ca="1">'LBO Model'!R415</f>
        <v>2E-3</v>
      </c>
    </row>
    <row r="187" spans="1:20" x14ac:dyDescent="0.3">
      <c r="H187" s="230"/>
      <c r="I187" s="252"/>
      <c r="J187" s="252"/>
      <c r="K187" s="252"/>
      <c r="L187" s="252"/>
      <c r="M187" s="252"/>
      <c r="N187" s="252"/>
      <c r="O187" s="252"/>
      <c r="P187" s="252"/>
      <c r="Q187" s="252"/>
      <c r="R187" s="252"/>
    </row>
    <row r="188" spans="1:20" x14ac:dyDescent="0.3">
      <c r="B188" s="248" t="s">
        <v>254</v>
      </c>
      <c r="F188" s="233">
        <f>F162/F$148</f>
        <v>0.15817364813705534</v>
      </c>
      <c r="G188" s="233">
        <f>G162/G$148</f>
        <v>0.14696559491046318</v>
      </c>
      <c r="H188" s="228">
        <f>H162/H$148</f>
        <v>0.14423518932232468</v>
      </c>
      <c r="I188" s="325">
        <f t="shared" ref="I188:R188" ca="1" si="38">I162/I$148</f>
        <v>0.15491288628461541</v>
      </c>
      <c r="J188" s="325">
        <f t="shared" ca="1" si="38"/>
        <v>0.15873404938955882</v>
      </c>
      <c r="K188" s="325">
        <f t="shared" ca="1" si="38"/>
        <v>0.16628042745123617</v>
      </c>
      <c r="L188" s="325">
        <f t="shared" ca="1" si="38"/>
        <v>0.16249490917033693</v>
      </c>
      <c r="M188" s="325">
        <f t="shared" ca="1" si="38"/>
        <v>0.16400442842762394</v>
      </c>
      <c r="N188" s="325">
        <f t="shared" ca="1" si="38"/>
        <v>0.16400442842762394</v>
      </c>
      <c r="O188" s="325">
        <f t="shared" ca="1" si="38"/>
        <v>0.16400442842762394</v>
      </c>
      <c r="P188" s="325">
        <f t="shared" ca="1" si="38"/>
        <v>0.16400442842762386</v>
      </c>
      <c r="Q188" s="325">
        <f t="shared" ca="1" si="38"/>
        <v>0.16400442842762386</v>
      </c>
      <c r="R188" s="325">
        <f t="shared" ca="1" si="38"/>
        <v>0.16400442842762397</v>
      </c>
    </row>
    <row r="189" spans="1:20" x14ac:dyDescent="0.3">
      <c r="B189" s="248" t="s">
        <v>255</v>
      </c>
      <c r="F189" s="233">
        <f>F166/F$148</f>
        <v>0.10910309406747987</v>
      </c>
      <c r="G189" s="233">
        <f>G166/G$148</f>
        <v>9.6473720716890754E-2</v>
      </c>
      <c r="H189" s="228">
        <f>H166/H$148</f>
        <v>8.9016997780254153E-2</v>
      </c>
      <c r="I189" s="325">
        <f t="shared" ref="I189:R189" ca="1" si="39">I166/I$148</f>
        <v>5.1888040283975263E-2</v>
      </c>
      <c r="J189" s="325">
        <f t="shared" ca="1" si="39"/>
        <v>6.1998141315468144E-2</v>
      </c>
      <c r="K189" s="325">
        <f t="shared" ca="1" si="39"/>
        <v>7.4082554201906847E-2</v>
      </c>
      <c r="L189" s="325">
        <f t="shared" ca="1" si="39"/>
        <v>7.573884952009155E-2</v>
      </c>
      <c r="M189" s="325">
        <f t="shared" ca="1" si="39"/>
        <v>8.0760665039023238E-2</v>
      </c>
      <c r="N189" s="325">
        <f t="shared" ca="1" si="39"/>
        <v>8.3283042369011628E-2</v>
      </c>
      <c r="O189" s="325">
        <f t="shared" ca="1" si="39"/>
        <v>8.5668755563496776E-2</v>
      </c>
      <c r="P189" s="325">
        <f t="shared" ca="1" si="39"/>
        <v>8.7917111131140396E-2</v>
      </c>
      <c r="Q189" s="325">
        <f t="shared" ca="1" si="39"/>
        <v>9.0028550962197085E-2</v>
      </c>
      <c r="R189" s="325">
        <f t="shared" ca="1" si="39"/>
        <v>9.2004544517209866E-2</v>
      </c>
    </row>
    <row r="190" spans="1:20" x14ac:dyDescent="0.3">
      <c r="H190" s="230"/>
      <c r="I190" s="252"/>
      <c r="J190" s="252"/>
      <c r="K190" s="252"/>
      <c r="L190" s="252"/>
      <c r="M190" s="252"/>
      <c r="N190" s="252"/>
      <c r="O190" s="252"/>
      <c r="P190" s="252"/>
      <c r="Q190" s="252"/>
      <c r="R190" s="252"/>
    </row>
    <row r="191" spans="1:20" ht="13.5" thickBot="1" x14ac:dyDescent="0.35">
      <c r="B191" s="267" t="s">
        <v>230</v>
      </c>
      <c r="C191" s="267"/>
      <c r="D191" s="267"/>
      <c r="E191" s="267"/>
      <c r="F191" s="238">
        <f>F176/F172</f>
        <v>0.35751261313517158</v>
      </c>
      <c r="G191" s="238">
        <f>G176/G172</f>
        <v>0.34231692771273442</v>
      </c>
      <c r="H191" s="293">
        <f>H176/H172</f>
        <v>0.3511466924497082</v>
      </c>
      <c r="I191" s="505">
        <f ca="1">'LBO Model'!I417</f>
        <v>0.35</v>
      </c>
      <c r="J191" s="505">
        <f ca="1">'LBO Model'!J417</f>
        <v>0.35</v>
      </c>
      <c r="K191" s="505">
        <f ca="1">'LBO Model'!K417</f>
        <v>0.35</v>
      </c>
      <c r="L191" s="505">
        <f ca="1">'LBO Model'!L417</f>
        <v>0.35</v>
      </c>
      <c r="M191" s="505">
        <f ca="1">'LBO Model'!M417</f>
        <v>0.35</v>
      </c>
      <c r="N191" s="505">
        <f ca="1">'LBO Model'!N417</f>
        <v>0.35</v>
      </c>
      <c r="O191" s="505">
        <f ca="1">'LBO Model'!O417</f>
        <v>0.35</v>
      </c>
      <c r="P191" s="505">
        <f ca="1">'LBO Model'!P417</f>
        <v>0.35</v>
      </c>
      <c r="Q191" s="505">
        <f ca="1">'LBO Model'!Q417</f>
        <v>0.35</v>
      </c>
      <c r="R191" s="505">
        <f ca="1">'LBO Model'!R417</f>
        <v>0.35</v>
      </c>
    </row>
    <row r="193" spans="1:20" ht="15.5" x14ac:dyDescent="0.35">
      <c r="A193" s="246" t="s">
        <v>31</v>
      </c>
      <c r="B193" s="265" t="s">
        <v>129</v>
      </c>
      <c r="C193" s="275"/>
      <c r="D193" s="275"/>
      <c r="E193" s="275"/>
      <c r="F193" s="275"/>
      <c r="G193" s="275"/>
      <c r="H193" s="275"/>
      <c r="I193" s="275"/>
      <c r="J193" s="275"/>
      <c r="K193" s="275"/>
      <c r="L193" s="275"/>
      <c r="M193" s="275"/>
      <c r="N193" s="275"/>
      <c r="O193" s="275"/>
      <c r="P193" s="275"/>
      <c r="Q193" s="275"/>
      <c r="R193" s="275"/>
    </row>
    <row r="194" spans="1:20" x14ac:dyDescent="0.3">
      <c r="B194" s="236" t="str">
        <f>$B$12</f>
        <v>($ in millions)</v>
      </c>
    </row>
    <row r="196" spans="1:20" x14ac:dyDescent="0.3">
      <c r="B196" s="276" t="str">
        <f>$B$140</f>
        <v>Base Case</v>
      </c>
    </row>
    <row r="197" spans="1:20" ht="13.5" thickBot="1" x14ac:dyDescent="0.35">
      <c r="B197" s="267"/>
      <c r="C197" s="267"/>
      <c r="D197" s="267"/>
      <c r="E197" s="267"/>
      <c r="F197" s="267"/>
      <c r="G197" s="267"/>
      <c r="H197" s="267"/>
      <c r="I197" s="267"/>
      <c r="J197" s="267"/>
      <c r="K197" s="267"/>
      <c r="L197" s="267"/>
      <c r="M197" s="267"/>
      <c r="N197" s="267"/>
      <c r="O197" s="267"/>
      <c r="P197" s="267"/>
      <c r="Q197" s="267"/>
      <c r="R197" s="267"/>
    </row>
    <row r="198" spans="1:20" x14ac:dyDescent="0.3">
      <c r="B198" s="236" t="str">
        <f>$B$142</f>
        <v>For the FYE December 27</v>
      </c>
      <c r="F198" s="268" t="s">
        <v>109</v>
      </c>
      <c r="G198" s="268"/>
      <c r="H198" s="277"/>
      <c r="I198" s="268" t="s">
        <v>364</v>
      </c>
      <c r="J198" s="268"/>
      <c r="K198" s="268"/>
      <c r="L198" s="268"/>
      <c r="M198" s="268"/>
      <c r="N198" s="268"/>
      <c r="O198" s="268"/>
      <c r="P198" s="278"/>
      <c r="Q198" s="278"/>
      <c r="R198" s="278"/>
    </row>
    <row r="199" spans="1:20" x14ac:dyDescent="0.3">
      <c r="B199" s="258"/>
      <c r="C199" s="258"/>
      <c r="D199" s="258"/>
      <c r="E199" s="258"/>
      <c r="F199" s="231">
        <f>F$143</f>
        <v>42003</v>
      </c>
      <c r="G199" s="231">
        <f>G$143</f>
        <v>42367</v>
      </c>
      <c r="H199" s="232">
        <f>H$143</f>
        <v>42731</v>
      </c>
      <c r="I199" s="231">
        <f t="shared" ref="I199:R199" si="40">DATE(YEAR(H199)+1,MONTH(H199),DAY(H199))</f>
        <v>43096</v>
      </c>
      <c r="J199" s="231">
        <f t="shared" si="40"/>
        <v>43461</v>
      </c>
      <c r="K199" s="231">
        <f t="shared" si="40"/>
        <v>43826</v>
      </c>
      <c r="L199" s="231">
        <f t="shared" si="40"/>
        <v>44192</v>
      </c>
      <c r="M199" s="231">
        <f t="shared" si="40"/>
        <v>44557</v>
      </c>
      <c r="N199" s="231">
        <f t="shared" si="40"/>
        <v>44922</v>
      </c>
      <c r="O199" s="231">
        <f t="shared" si="40"/>
        <v>45287</v>
      </c>
      <c r="P199" s="231">
        <f t="shared" si="40"/>
        <v>45653</v>
      </c>
      <c r="Q199" s="231">
        <f t="shared" si="40"/>
        <v>46018</v>
      </c>
      <c r="R199" s="231">
        <f t="shared" si="40"/>
        <v>46383</v>
      </c>
    </row>
    <row r="200" spans="1:20" x14ac:dyDescent="0.3">
      <c r="B200" s="248" t="s">
        <v>111</v>
      </c>
      <c r="F200" s="286">
        <f>F162</f>
        <v>400.05199999999974</v>
      </c>
      <c r="G200" s="286">
        <f>G162</f>
        <v>394.09999999999985</v>
      </c>
      <c r="H200" s="287">
        <f>H162</f>
        <v>403.19000000000017</v>
      </c>
      <c r="I200" s="286">
        <f t="shared" ref="I200:R200" ca="1" si="41">I162</f>
        <v>440.89999999999992</v>
      </c>
      <c r="J200" s="286">
        <f t="shared" ca="1" si="41"/>
        <v>489.40000000000043</v>
      </c>
      <c r="K200" s="286">
        <f t="shared" ca="1" si="41"/>
        <v>561.10000000000059</v>
      </c>
      <c r="L200" s="286">
        <f t="shared" ca="1" si="41"/>
        <v>631.60000000000036</v>
      </c>
      <c r="M200" s="286">
        <f t="shared" ca="1" si="41"/>
        <v>692.1000000000007</v>
      </c>
      <c r="N200" s="286">
        <f t="shared" ca="1" si="41"/>
        <v>753.3938633427083</v>
      </c>
      <c r="O200" s="286">
        <f t="shared" ca="1" si="41"/>
        <v>822.27034462822928</v>
      </c>
      <c r="P200" s="286">
        <f t="shared" ca="1" si="41"/>
        <v>899.79487626102991</v>
      </c>
      <c r="Q200" s="286">
        <f t="shared" ca="1" si="41"/>
        <v>987.2014339622616</v>
      </c>
      <c r="R200" s="286">
        <f t="shared" ca="1" si="41"/>
        <v>1085.9215773584885</v>
      </c>
    </row>
    <row r="201" spans="1:20" x14ac:dyDescent="0.3">
      <c r="B201" s="248" t="s">
        <v>276</v>
      </c>
      <c r="F201" s="253">
        <v>224.21700000000001</v>
      </c>
      <c r="G201" s="253">
        <v>223.93199999999999</v>
      </c>
      <c r="H201" s="291">
        <v>200.06299999999999</v>
      </c>
      <c r="I201" s="248">
        <f t="shared" ref="I201:R201" ca="1" si="42">I148*I339</f>
        <v>210.89375000000007</v>
      </c>
      <c r="J201" s="248">
        <f t="shared" ca="1" si="42"/>
        <v>199.77150000000009</v>
      </c>
      <c r="K201" s="248">
        <f t="shared" ca="1" si="42"/>
        <v>195.88400000000007</v>
      </c>
      <c r="L201" s="248">
        <f t="shared" ca="1" si="42"/>
        <v>196.36400000000006</v>
      </c>
      <c r="M201" s="248">
        <f t="shared" ca="1" si="42"/>
        <v>192.70400000000009</v>
      </c>
      <c r="N201" s="248">
        <f t="shared" ca="1" si="42"/>
        <v>215.59113045806779</v>
      </c>
      <c r="O201" s="248">
        <f t="shared" ca="1" si="42"/>
        <v>241.65382067709243</v>
      </c>
      <c r="P201" s="248">
        <f t="shared" ca="1" si="42"/>
        <v>271.38917195612709</v>
      </c>
      <c r="Q201" s="248">
        <f t="shared" ca="1" si="42"/>
        <v>305.37934937383739</v>
      </c>
      <c r="R201" s="248">
        <f t="shared" ca="1" si="42"/>
        <v>344.3073005041507</v>
      </c>
      <c r="T201" s="248" t="s">
        <v>854</v>
      </c>
    </row>
    <row r="202" spans="1:20" s="256" customFormat="1" x14ac:dyDescent="0.3">
      <c r="A202" s="249"/>
      <c r="B202" s="281" t="s">
        <v>326</v>
      </c>
      <c r="C202" s="281"/>
      <c r="D202" s="281"/>
      <c r="E202" s="281"/>
      <c r="F202" s="298"/>
      <c r="G202" s="298"/>
      <c r="H202" s="319"/>
      <c r="I202" s="298">
        <f t="shared" ref="I202:R202" ca="1" si="43">I200-I201</f>
        <v>230.00624999999985</v>
      </c>
      <c r="J202" s="298">
        <f t="shared" ca="1" si="43"/>
        <v>289.62850000000037</v>
      </c>
      <c r="K202" s="298">
        <f t="shared" ca="1" si="43"/>
        <v>365.21600000000052</v>
      </c>
      <c r="L202" s="298">
        <f t="shared" ca="1" si="43"/>
        <v>435.23600000000033</v>
      </c>
      <c r="M202" s="298">
        <f t="shared" ca="1" si="43"/>
        <v>499.39600000000064</v>
      </c>
      <c r="N202" s="298">
        <f t="shared" ca="1" si="43"/>
        <v>537.80273288464048</v>
      </c>
      <c r="O202" s="298">
        <f t="shared" ca="1" si="43"/>
        <v>580.61652395113686</v>
      </c>
      <c r="P202" s="298">
        <f t="shared" ca="1" si="43"/>
        <v>628.40570430490288</v>
      </c>
      <c r="Q202" s="298">
        <f t="shared" ca="1" si="43"/>
        <v>681.82208458842422</v>
      </c>
      <c r="R202" s="298">
        <f t="shared" ca="1" si="43"/>
        <v>741.61427685433785</v>
      </c>
    </row>
    <row r="203" spans="1:20" x14ac:dyDescent="0.3">
      <c r="H203" s="230"/>
    </row>
    <row r="204" spans="1:20" x14ac:dyDescent="0.3">
      <c r="B204" s="248" t="s">
        <v>420</v>
      </c>
      <c r="H204" s="230"/>
      <c r="I204" s="248">
        <f t="shared" ref="I204:R204" ca="1" si="44">I334</f>
        <v>-22.238721701761136</v>
      </c>
      <c r="J204" s="248">
        <f t="shared" ca="1" si="44"/>
        <v>15.027606132759246</v>
      </c>
      <c r="K204" s="248">
        <f t="shared" ca="1" si="44"/>
        <v>16.540767799138962</v>
      </c>
      <c r="L204" s="248">
        <f t="shared" ca="1" si="44"/>
        <v>38.400257450628089</v>
      </c>
      <c r="M204" s="248">
        <f t="shared" ca="1" si="44"/>
        <v>21.898841644166339</v>
      </c>
      <c r="N204" s="248">
        <f t="shared" ca="1" si="44"/>
        <v>26.110667812760482</v>
      </c>
      <c r="O204" s="248">
        <f t="shared" ca="1" si="44"/>
        <v>29.34079897856526</v>
      </c>
      <c r="P204" s="248">
        <f t="shared" ca="1" si="44"/>
        <v>33.646210133176965</v>
      </c>
      <c r="Q204" s="248">
        <f t="shared" ca="1" si="44"/>
        <v>36.613040152928818</v>
      </c>
      <c r="R204" s="248">
        <f t="shared" ca="1" si="44"/>
        <v>42.053946840236051</v>
      </c>
    </row>
    <row r="205" spans="1:20" x14ac:dyDescent="0.3">
      <c r="B205" s="248" t="s">
        <v>496</v>
      </c>
      <c r="H205" s="230"/>
      <c r="I205" s="248">
        <f t="shared" ref="I205:R205" ca="1" si="45">-(I235+I236)*I191</f>
        <v>-9.2606604478592889</v>
      </c>
      <c r="J205" s="248">
        <f t="shared" ca="1" si="45"/>
        <v>7.100938737472946</v>
      </c>
      <c r="K205" s="248">
        <f t="shared" ca="1" si="45"/>
        <v>2.1597217104769282</v>
      </c>
      <c r="L205" s="248">
        <f t="shared" ca="1" si="45"/>
        <v>0</v>
      </c>
      <c r="M205" s="248">
        <f t="shared" ca="1" si="45"/>
        <v>0</v>
      </c>
      <c r="N205" s="248">
        <f t="shared" ca="1" si="45"/>
        <v>0</v>
      </c>
      <c r="O205" s="248">
        <f t="shared" ca="1" si="45"/>
        <v>0</v>
      </c>
      <c r="P205" s="248">
        <f t="shared" ca="1" si="45"/>
        <v>0</v>
      </c>
      <c r="Q205" s="248">
        <f t="shared" ca="1" si="45"/>
        <v>0</v>
      </c>
      <c r="R205" s="248">
        <f t="shared" ca="1" si="45"/>
        <v>0</v>
      </c>
      <c r="T205" s="248" t="s">
        <v>497</v>
      </c>
    </row>
    <row r="206" spans="1:20" x14ac:dyDescent="0.3">
      <c r="B206" s="248" t="s">
        <v>421</v>
      </c>
      <c r="H206" s="230"/>
      <c r="I206" s="248">
        <f t="shared" ref="I206:R206" si="46">I335</f>
        <v>0</v>
      </c>
      <c r="J206" s="248">
        <f t="shared" si="46"/>
        <v>0</v>
      </c>
      <c r="K206" s="248">
        <f t="shared" si="46"/>
        <v>0</v>
      </c>
      <c r="L206" s="248">
        <f t="shared" si="46"/>
        <v>0</v>
      </c>
      <c r="M206" s="248">
        <f t="shared" si="46"/>
        <v>0</v>
      </c>
      <c r="N206" s="248">
        <f t="shared" si="46"/>
        <v>0</v>
      </c>
      <c r="O206" s="248">
        <f t="shared" si="46"/>
        <v>0</v>
      </c>
      <c r="P206" s="248">
        <f t="shared" si="46"/>
        <v>0</v>
      </c>
      <c r="Q206" s="248">
        <f t="shared" si="46"/>
        <v>0</v>
      </c>
      <c r="R206" s="248">
        <f t="shared" si="46"/>
        <v>0</v>
      </c>
    </row>
    <row r="207" spans="1:20" x14ac:dyDescent="0.3">
      <c r="B207" s="248" t="s">
        <v>422</v>
      </c>
      <c r="H207" s="230"/>
      <c r="I207" s="248">
        <f t="shared" ref="I207:R207" si="47">I336</f>
        <v>0</v>
      </c>
      <c r="J207" s="248">
        <f t="shared" si="47"/>
        <v>0</v>
      </c>
      <c r="K207" s="248">
        <f t="shared" si="47"/>
        <v>0</v>
      </c>
      <c r="L207" s="248">
        <f t="shared" si="47"/>
        <v>0</v>
      </c>
      <c r="M207" s="248">
        <f t="shared" si="47"/>
        <v>0</v>
      </c>
      <c r="N207" s="248">
        <f t="shared" si="47"/>
        <v>0</v>
      </c>
      <c r="O207" s="248">
        <f t="shared" si="47"/>
        <v>0</v>
      </c>
      <c r="P207" s="248">
        <f t="shared" si="47"/>
        <v>0</v>
      </c>
      <c r="Q207" s="248">
        <f t="shared" si="47"/>
        <v>0</v>
      </c>
      <c r="R207" s="248">
        <f t="shared" si="47"/>
        <v>0</v>
      </c>
    </row>
    <row r="208" spans="1:20" x14ac:dyDescent="0.3">
      <c r="B208" s="248" t="s">
        <v>423</v>
      </c>
      <c r="H208" s="230"/>
      <c r="I208" s="248">
        <f t="shared" ref="I208:R208" ca="1" si="48">-I176</f>
        <v>0</v>
      </c>
      <c r="J208" s="248">
        <f t="shared" ca="1" si="48"/>
        <v>-5.8019367088490977E-12</v>
      </c>
      <c r="K208" s="248">
        <f t="shared" ca="1" si="48"/>
        <v>-27.766398461466206</v>
      </c>
      <c r="L208" s="248">
        <f t="shared" ca="1" si="48"/>
        <v>-48.533088680120294</v>
      </c>
      <c r="M208" s="248">
        <f t="shared" ca="1" si="48"/>
        <v>-69.587988118998908</v>
      </c>
      <c r="N208" s="248">
        <f t="shared" ca="1" si="48"/>
        <v>-91.159152880711048</v>
      </c>
      <c r="O208" s="248">
        <f t="shared" ca="1" si="48"/>
        <v>-115.94379113169839</v>
      </c>
      <c r="P208" s="248">
        <f t="shared" ca="1" si="48"/>
        <v>-144.68629458090891</v>
      </c>
      <c r="Q208" s="248">
        <f t="shared" ca="1" si="48"/>
        <v>-176.10406790999582</v>
      </c>
      <c r="R208" s="248">
        <f t="shared" ca="1" si="48"/>
        <v>-210.05970722429987</v>
      </c>
    </row>
    <row r="209" spans="1:20" x14ac:dyDescent="0.3">
      <c r="B209" s="248" t="s">
        <v>424</v>
      </c>
      <c r="H209" s="230"/>
      <c r="I209" s="248">
        <f t="shared" ref="I209:R209" si="49">IF(H247&gt;=-$F$26,H247+$F$26,-($F$26+H247))</f>
        <v>-3.5527136788005009E-15</v>
      </c>
      <c r="J209" s="248">
        <f t="shared" ca="1" si="49"/>
        <v>0</v>
      </c>
      <c r="K209" s="248">
        <f t="shared" ca="1" si="49"/>
        <v>0</v>
      </c>
      <c r="L209" s="248">
        <f t="shared" ca="1" si="49"/>
        <v>0</v>
      </c>
      <c r="M209" s="248">
        <f t="shared" ca="1" si="49"/>
        <v>0</v>
      </c>
      <c r="N209" s="248">
        <f t="shared" ca="1" si="49"/>
        <v>0</v>
      </c>
      <c r="O209" s="248">
        <f t="shared" ca="1" si="49"/>
        <v>0</v>
      </c>
      <c r="P209" s="248">
        <f t="shared" ca="1" si="49"/>
        <v>0</v>
      </c>
      <c r="Q209" s="248">
        <f t="shared" ca="1" si="49"/>
        <v>0</v>
      </c>
      <c r="R209" s="248">
        <f t="shared" ca="1" si="49"/>
        <v>0</v>
      </c>
    </row>
    <row r="210" spans="1:20" x14ac:dyDescent="0.3">
      <c r="B210" s="271" t="s">
        <v>425</v>
      </c>
      <c r="C210" s="271"/>
      <c r="D210" s="271"/>
      <c r="E210" s="271"/>
      <c r="F210" s="271"/>
      <c r="G210" s="271"/>
      <c r="H210" s="310"/>
      <c r="I210" s="271">
        <f t="shared" ref="I210:R210" ca="1" si="50">SUM(I204:I209)</f>
        <v>-31.499382149620427</v>
      </c>
      <c r="J210" s="271">
        <f t="shared" ca="1" si="50"/>
        <v>22.128544870226388</v>
      </c>
      <c r="K210" s="271">
        <f t="shared" ca="1" si="50"/>
        <v>-9.0659089518503144</v>
      </c>
      <c r="L210" s="271">
        <f t="shared" ca="1" si="50"/>
        <v>-10.132831229492204</v>
      </c>
      <c r="M210" s="271">
        <f t="shared" ca="1" si="50"/>
        <v>-47.689146474832569</v>
      </c>
      <c r="N210" s="271">
        <f t="shared" ca="1" si="50"/>
        <v>-65.048485067950566</v>
      </c>
      <c r="O210" s="271">
        <f t="shared" ca="1" si="50"/>
        <v>-86.60299215313313</v>
      </c>
      <c r="P210" s="271">
        <f t="shared" ca="1" si="50"/>
        <v>-111.04008444773194</v>
      </c>
      <c r="Q210" s="271">
        <f t="shared" ca="1" si="50"/>
        <v>-139.491027757067</v>
      </c>
      <c r="R210" s="271">
        <f t="shared" ca="1" si="50"/>
        <v>-168.00576038406382</v>
      </c>
    </row>
    <row r="211" spans="1:20" x14ac:dyDescent="0.3">
      <c r="H211" s="230"/>
    </row>
    <row r="212" spans="1:20" s="256" customFormat="1" x14ac:dyDescent="0.3">
      <c r="A212" s="249"/>
      <c r="B212" s="256" t="s">
        <v>733</v>
      </c>
      <c r="H212" s="312"/>
      <c r="I212" s="295">
        <f t="shared" ref="I212:R212" ca="1" si="51">I202+I210</f>
        <v>198.50686785037942</v>
      </c>
      <c r="J212" s="295">
        <f t="shared" ca="1" si="51"/>
        <v>311.75704487022676</v>
      </c>
      <c r="K212" s="295">
        <f t="shared" ca="1" si="51"/>
        <v>356.15009104815022</v>
      </c>
      <c r="L212" s="295">
        <f t="shared" ca="1" si="51"/>
        <v>425.10316877050815</v>
      </c>
      <c r="M212" s="295">
        <f t="shared" ca="1" si="51"/>
        <v>451.70685352516807</v>
      </c>
      <c r="N212" s="295">
        <f t="shared" ca="1" si="51"/>
        <v>472.75424781668994</v>
      </c>
      <c r="O212" s="295">
        <f t="shared" ca="1" si="51"/>
        <v>494.01353179800373</v>
      </c>
      <c r="P212" s="295">
        <f t="shared" ca="1" si="51"/>
        <v>517.36561985717094</v>
      </c>
      <c r="Q212" s="295">
        <f t="shared" ca="1" si="51"/>
        <v>542.33105683135727</v>
      </c>
      <c r="R212" s="295">
        <f t="shared" ca="1" si="51"/>
        <v>573.60851647027403</v>
      </c>
    </row>
    <row r="213" spans="1:20" x14ac:dyDescent="0.3">
      <c r="H213" s="230"/>
      <c r="I213" s="326"/>
    </row>
    <row r="214" spans="1:20" x14ac:dyDescent="0.3">
      <c r="B214" s="248" t="s">
        <v>418</v>
      </c>
      <c r="H214" s="230"/>
      <c r="I214" s="248">
        <f t="shared" ref="I214:R214" ca="1" si="52">I169</f>
        <v>168.99292647155107</v>
      </c>
      <c r="J214" s="248">
        <f t="shared" ca="1" si="52"/>
        <v>165.71535737059602</v>
      </c>
      <c r="K214" s="248">
        <f t="shared" ca="1" si="52"/>
        <v>159.33698184355518</v>
      </c>
      <c r="L214" s="248">
        <f t="shared" ca="1" si="52"/>
        <v>150.57721467733435</v>
      </c>
      <c r="M214" s="248">
        <f t="shared" ca="1" si="52"/>
        <v>136.8423591376814</v>
      </c>
      <c r="N214" s="248">
        <f t="shared" ca="1" si="52"/>
        <v>116.98053172140519</v>
      </c>
      <c r="O214" s="248">
        <f t="shared" ca="1" si="52"/>
        <v>93.104695800076485</v>
      </c>
      <c r="P214" s="248">
        <f t="shared" ca="1" si="52"/>
        <v>66.224795984624294</v>
      </c>
      <c r="Q214" s="248">
        <f t="shared" ca="1" si="52"/>
        <v>36.024879915428876</v>
      </c>
      <c r="R214" s="248">
        <f t="shared" ca="1" si="52"/>
        <v>10.028033834260167</v>
      </c>
    </row>
    <row r="215" spans="1:20" x14ac:dyDescent="0.3">
      <c r="B215" s="248" t="s">
        <v>732</v>
      </c>
      <c r="H215" s="230"/>
      <c r="I215" s="248">
        <f t="shared" ref="I215:R215" ca="1" si="53">I170</f>
        <v>0.64024649999999994</v>
      </c>
      <c r="J215" s="248">
        <f t="shared" ca="1" si="53"/>
        <v>0.64024650000000005</v>
      </c>
      <c r="K215" s="248">
        <f t="shared" ca="1" si="53"/>
        <v>0.64024650000000005</v>
      </c>
      <c r="L215" s="248">
        <f t="shared" ca="1" si="53"/>
        <v>0.64024650000000005</v>
      </c>
      <c r="M215" s="248">
        <f t="shared" ca="1" si="53"/>
        <v>0.64024650000000005</v>
      </c>
      <c r="N215" s="248">
        <f t="shared" ca="1" si="53"/>
        <v>0.64024650000000005</v>
      </c>
      <c r="O215" s="248">
        <f t="shared" ca="1" si="53"/>
        <v>0.64024650000000005</v>
      </c>
      <c r="P215" s="248">
        <f t="shared" ca="1" si="53"/>
        <v>0.64024650000000005</v>
      </c>
      <c r="Q215" s="248">
        <f t="shared" ca="1" si="53"/>
        <v>0.64024650000000005</v>
      </c>
      <c r="R215" s="248">
        <f t="shared" ca="1" si="53"/>
        <v>4.3844665491992227</v>
      </c>
    </row>
    <row r="216" spans="1:20" s="256" customFormat="1" x14ac:dyDescent="0.3">
      <c r="A216" s="249"/>
      <c r="B216" s="281" t="s">
        <v>734</v>
      </c>
      <c r="C216" s="281"/>
      <c r="D216" s="281"/>
      <c r="E216" s="281"/>
      <c r="F216" s="281"/>
      <c r="G216" s="281"/>
      <c r="H216" s="318"/>
      <c r="I216" s="298">
        <f t="shared" ref="I216:R216" ca="1" si="54">I212-I214+I215</f>
        <v>30.154187878828349</v>
      </c>
      <c r="J216" s="298">
        <f t="shared" ca="1" si="54"/>
        <v>146.68193399963073</v>
      </c>
      <c r="K216" s="298">
        <f t="shared" ca="1" si="54"/>
        <v>197.45335570459503</v>
      </c>
      <c r="L216" s="298">
        <f t="shared" ca="1" si="54"/>
        <v>275.16620059317381</v>
      </c>
      <c r="M216" s="298">
        <f t="shared" ca="1" si="54"/>
        <v>315.50474088748666</v>
      </c>
      <c r="N216" s="298">
        <f t="shared" ca="1" si="54"/>
        <v>356.41396259528472</v>
      </c>
      <c r="O216" s="298">
        <f t="shared" ca="1" si="54"/>
        <v>401.5490824979272</v>
      </c>
      <c r="P216" s="298">
        <f t="shared" ca="1" si="54"/>
        <v>451.78107037254665</v>
      </c>
      <c r="Q216" s="298">
        <f t="shared" ca="1" si="54"/>
        <v>506.94642341592839</v>
      </c>
      <c r="R216" s="298">
        <f t="shared" ca="1" si="54"/>
        <v>567.96494918521307</v>
      </c>
      <c r="T216" s="248" t="s">
        <v>480</v>
      </c>
    </row>
    <row r="217" spans="1:20" x14ac:dyDescent="0.3">
      <c r="H217" s="230"/>
      <c r="I217" s="326"/>
      <c r="J217" s="326"/>
      <c r="K217" s="326"/>
      <c r="L217" s="326"/>
      <c r="M217" s="326"/>
      <c r="N217" s="326"/>
    </row>
    <row r="218" spans="1:20" x14ac:dyDescent="0.3">
      <c r="B218" s="248" t="s">
        <v>793</v>
      </c>
      <c r="H218" s="230"/>
      <c r="I218" s="248">
        <f t="shared" ref="I218:R218" ca="1" si="55">IF(I216&gt;=0,-MIN(I216,H271),0)</f>
        <v>0</v>
      </c>
      <c r="J218" s="248">
        <f t="shared" ca="1" si="55"/>
        <v>0</v>
      </c>
      <c r="K218" s="248">
        <f t="shared" ca="1" si="55"/>
        <v>0</v>
      </c>
      <c r="L218" s="248">
        <f t="shared" ca="1" si="55"/>
        <v>0</v>
      </c>
      <c r="M218" s="248">
        <f t="shared" ca="1" si="55"/>
        <v>0</v>
      </c>
      <c r="N218" s="248">
        <f t="shared" ca="1" si="55"/>
        <v>0</v>
      </c>
      <c r="O218" s="248">
        <f t="shared" ca="1" si="55"/>
        <v>0</v>
      </c>
      <c r="P218" s="248">
        <f t="shared" ca="1" si="55"/>
        <v>0</v>
      </c>
      <c r="Q218" s="248">
        <f t="shared" ca="1" si="55"/>
        <v>0</v>
      </c>
      <c r="R218" s="248">
        <f t="shared" ca="1" si="55"/>
        <v>0</v>
      </c>
      <c r="T218" s="248" t="s">
        <v>506</v>
      </c>
    </row>
    <row r="219" spans="1:20" x14ac:dyDescent="0.3">
      <c r="B219" s="248" t="s">
        <v>794</v>
      </c>
      <c r="H219" s="230"/>
      <c r="I219" s="248">
        <f t="shared" ref="I219:R219" ca="1" si="56">-MIN(I216+I218,H272)</f>
        <v>-30.154187878828349</v>
      </c>
      <c r="J219" s="248">
        <f t="shared" ca="1" si="56"/>
        <v>-146.68193399963073</v>
      </c>
      <c r="K219" s="248">
        <f t="shared" ca="1" si="56"/>
        <v>-197.45335570459503</v>
      </c>
      <c r="L219" s="248">
        <f t="shared" ca="1" si="56"/>
        <v>-275.16620059317381</v>
      </c>
      <c r="M219" s="248">
        <f t="shared" ca="1" si="56"/>
        <v>-100.54465645286388</v>
      </c>
      <c r="N219" s="248">
        <f t="shared" ca="1" si="56"/>
        <v>-2.6390694074507337E-9</v>
      </c>
      <c r="O219" s="248">
        <f t="shared" ca="1" si="56"/>
        <v>1.458062115489156E-8</v>
      </c>
      <c r="P219" s="248">
        <f t="shared" ca="1" si="56"/>
        <v>-7.2947386797750369E-8</v>
      </c>
      <c r="Q219" s="248">
        <f t="shared" ca="1" si="56"/>
        <v>-1.3182841485104291E-8</v>
      </c>
      <c r="R219" s="248">
        <f t="shared" ca="1" si="56"/>
        <v>-1.1843845300063549E-6</v>
      </c>
    </row>
    <row r="220" spans="1:20" x14ac:dyDescent="0.3">
      <c r="B220" s="248" t="s">
        <v>795</v>
      </c>
      <c r="H220" s="230"/>
      <c r="I220" s="248">
        <f t="shared" ref="I220:R220" ca="1" si="57">-MIN(I216+I218+I219,H273)</f>
        <v>0</v>
      </c>
      <c r="J220" s="248">
        <f t="shared" ca="1" si="57"/>
        <v>0</v>
      </c>
      <c r="K220" s="248">
        <f t="shared" ca="1" si="57"/>
        <v>0</v>
      </c>
      <c r="L220" s="248">
        <f t="shared" ca="1" si="57"/>
        <v>0</v>
      </c>
      <c r="M220" s="248">
        <f t="shared" ca="1" si="57"/>
        <v>-214.96008443462279</v>
      </c>
      <c r="N220" s="248">
        <f t="shared" ca="1" si="57"/>
        <v>-356.41396259264565</v>
      </c>
      <c r="O220" s="248">
        <f t="shared" ca="1" si="57"/>
        <v>-401.54908251250782</v>
      </c>
      <c r="P220" s="248">
        <f t="shared" ca="1" si="57"/>
        <v>-451.78107029959926</v>
      </c>
      <c r="Q220" s="248">
        <f t="shared" ca="1" si="57"/>
        <v>-506.94642340274555</v>
      </c>
      <c r="R220" s="248">
        <f t="shared" ca="1" si="57"/>
        <v>-318.35027806303901</v>
      </c>
    </row>
    <row r="221" spans="1:20" x14ac:dyDescent="0.3">
      <c r="B221" s="248" t="s">
        <v>796</v>
      </c>
      <c r="H221" s="230"/>
      <c r="I221" s="248">
        <f t="shared" ref="I221:R221" ca="1" si="58">-MIN(I216+I218+I219+I220,H274)</f>
        <v>0</v>
      </c>
      <c r="J221" s="248">
        <f t="shared" ca="1" si="58"/>
        <v>0</v>
      </c>
      <c r="K221" s="248">
        <f ca="1">-MIN(K216+K218+K219+K220,J274)</f>
        <v>0</v>
      </c>
      <c r="L221" s="248">
        <f t="shared" ca="1" si="58"/>
        <v>0</v>
      </c>
      <c r="M221" s="248">
        <f t="shared" ca="1" si="58"/>
        <v>0</v>
      </c>
      <c r="N221" s="248">
        <f t="shared" ca="1" si="58"/>
        <v>0</v>
      </c>
      <c r="O221" s="248">
        <f t="shared" ca="1" si="58"/>
        <v>0</v>
      </c>
      <c r="P221" s="248">
        <f t="shared" ca="1" si="58"/>
        <v>0</v>
      </c>
      <c r="Q221" s="248">
        <f t="shared" ca="1" si="58"/>
        <v>0</v>
      </c>
      <c r="R221" s="248">
        <f t="shared" ca="1" si="58"/>
        <v>0</v>
      </c>
    </row>
    <row r="222" spans="1:20" x14ac:dyDescent="0.3">
      <c r="H222" s="230"/>
    </row>
    <row r="223" spans="1:20" x14ac:dyDescent="0.3">
      <c r="B223" s="248" t="s">
        <v>426</v>
      </c>
      <c r="H223" s="230"/>
      <c r="I223" s="248">
        <f t="shared" ref="I223:R223" ca="1" si="59">I216+I218+I219+I220+I221</f>
        <v>0</v>
      </c>
      <c r="J223" s="248">
        <f t="shared" ca="1" si="59"/>
        <v>0</v>
      </c>
      <c r="K223" s="248">
        <f t="shared" ca="1" si="59"/>
        <v>0</v>
      </c>
      <c r="L223" s="248">
        <f t="shared" ca="1" si="59"/>
        <v>0</v>
      </c>
      <c r="M223" s="248">
        <f t="shared" ca="1" si="59"/>
        <v>0</v>
      </c>
      <c r="N223" s="248">
        <f t="shared" ca="1" si="59"/>
        <v>0</v>
      </c>
      <c r="O223" s="248">
        <f t="shared" ca="1" si="59"/>
        <v>0</v>
      </c>
      <c r="P223" s="248">
        <f t="shared" ca="1" si="59"/>
        <v>0</v>
      </c>
      <c r="Q223" s="248">
        <f t="shared" ca="1" si="59"/>
        <v>0</v>
      </c>
      <c r="R223" s="248">
        <f t="shared" ca="1" si="59"/>
        <v>249.61466993778959</v>
      </c>
    </row>
    <row r="224" spans="1:20" x14ac:dyDescent="0.3">
      <c r="B224" s="248" t="s">
        <v>735</v>
      </c>
      <c r="H224" s="230"/>
      <c r="I224" s="248">
        <f>-F26</f>
        <v>21.341550000000002</v>
      </c>
      <c r="J224" s="248">
        <f t="shared" ref="J224:R224" si="60">I224</f>
        <v>21.341550000000002</v>
      </c>
      <c r="K224" s="248">
        <f t="shared" si="60"/>
        <v>21.341550000000002</v>
      </c>
      <c r="L224" s="248">
        <f t="shared" si="60"/>
        <v>21.341550000000002</v>
      </c>
      <c r="M224" s="248">
        <f t="shared" si="60"/>
        <v>21.341550000000002</v>
      </c>
      <c r="N224" s="248">
        <f t="shared" si="60"/>
        <v>21.341550000000002</v>
      </c>
      <c r="O224" s="248">
        <f t="shared" si="60"/>
        <v>21.341550000000002</v>
      </c>
      <c r="P224" s="248">
        <f t="shared" si="60"/>
        <v>21.341550000000002</v>
      </c>
      <c r="Q224" s="248">
        <f t="shared" si="60"/>
        <v>21.341550000000002</v>
      </c>
      <c r="R224" s="248">
        <f t="shared" si="60"/>
        <v>21.341550000000002</v>
      </c>
    </row>
    <row r="225" spans="1:18" s="256" customFormat="1" x14ac:dyDescent="0.3">
      <c r="A225" s="249"/>
      <c r="B225" s="281" t="s">
        <v>427</v>
      </c>
      <c r="C225" s="281"/>
      <c r="D225" s="281"/>
      <c r="E225" s="281"/>
      <c r="F225" s="281"/>
      <c r="G225" s="281"/>
      <c r="H225" s="318"/>
      <c r="I225" s="298">
        <f t="shared" ref="I225:R225" ca="1" si="61">I223+I224</f>
        <v>21.341550000000002</v>
      </c>
      <c r="J225" s="298">
        <f t="shared" ca="1" si="61"/>
        <v>21.341550000000002</v>
      </c>
      <c r="K225" s="298">
        <f t="shared" ca="1" si="61"/>
        <v>21.341550000000002</v>
      </c>
      <c r="L225" s="298">
        <f t="shared" ca="1" si="61"/>
        <v>21.341550000000002</v>
      </c>
      <c r="M225" s="298">
        <f t="shared" ca="1" si="61"/>
        <v>21.341550000000002</v>
      </c>
      <c r="N225" s="298">
        <f t="shared" ca="1" si="61"/>
        <v>21.341550000000002</v>
      </c>
      <c r="O225" s="298">
        <f t="shared" ca="1" si="61"/>
        <v>21.341550000000002</v>
      </c>
      <c r="P225" s="298">
        <f t="shared" ca="1" si="61"/>
        <v>21.341550000000002</v>
      </c>
      <c r="Q225" s="298">
        <f t="shared" ca="1" si="61"/>
        <v>21.341550000000002</v>
      </c>
      <c r="R225" s="298">
        <f t="shared" ca="1" si="61"/>
        <v>270.95621993778957</v>
      </c>
    </row>
    <row r="226" spans="1:18" x14ac:dyDescent="0.3">
      <c r="H226" s="230"/>
    </row>
    <row r="227" spans="1:18" x14ac:dyDescent="0.3">
      <c r="B227" s="256" t="s">
        <v>428</v>
      </c>
      <c r="H227" s="230"/>
    </row>
    <row r="228" spans="1:18" x14ac:dyDescent="0.3">
      <c r="B228" s="248" t="s">
        <v>331</v>
      </c>
      <c r="H228" s="317">
        <f t="shared" ref="H228:R228" ca="1" si="62">H275/H$162</f>
        <v>7.4406637992204141</v>
      </c>
      <c r="I228" s="234">
        <f t="shared" ca="1" si="62"/>
        <v>6.735874459806916</v>
      </c>
      <c r="J228" s="234">
        <f t="shared" ca="1" si="62"/>
        <v>5.7686250824055705</v>
      </c>
      <c r="K228" s="234">
        <f t="shared" ca="1" si="62"/>
        <v>4.6795789692099019</v>
      </c>
      <c r="L228" s="234">
        <f t="shared" ca="1" si="62"/>
        <v>3.7215730826954547</v>
      </c>
      <c r="M228" s="234">
        <f t="shared" ca="1" si="62"/>
        <v>2.9403855196398343</v>
      </c>
      <c r="N228" s="234">
        <f t="shared" ca="1" si="62"/>
        <v>2.2280867116436447</v>
      </c>
      <c r="O228" s="234">
        <f t="shared" ca="1" si="62"/>
        <v>1.5531117975895454</v>
      </c>
      <c r="P228" s="234">
        <f t="shared" ca="1" si="62"/>
        <v>0.91720538142769725</v>
      </c>
      <c r="Q228" s="234">
        <f t="shared" ca="1" si="62"/>
        <v>0.32247752920058392</v>
      </c>
      <c r="R228" s="234">
        <f t="shared" ca="1" si="62"/>
        <v>-1.6364596217201511E-10</v>
      </c>
    </row>
    <row r="229" spans="1:18" x14ac:dyDescent="0.3">
      <c r="B229" s="248" t="s">
        <v>332</v>
      </c>
      <c r="H229" s="317">
        <f t="shared" ref="H229:R229" ca="1" si="63">(H275-H247)/H$162</f>
        <v>7.387732054881516</v>
      </c>
      <c r="I229" s="234">
        <f t="shared" ca="1" si="63"/>
        <v>6.6874699463117917</v>
      </c>
      <c r="J229" s="234">
        <f t="shared" ca="1" si="63"/>
        <v>5.725017501694496</v>
      </c>
      <c r="K229" s="234">
        <f t="shared" ca="1" si="63"/>
        <v>4.6415437704930955</v>
      </c>
      <c r="L229" s="234">
        <f t="shared" ca="1" si="63"/>
        <v>3.6877834215174938</v>
      </c>
      <c r="M229" s="234">
        <f t="shared" ca="1" si="63"/>
        <v>2.9095495855262667</v>
      </c>
      <c r="N229" s="234">
        <f t="shared" ca="1" si="63"/>
        <v>2.1997594965727512</v>
      </c>
      <c r="O229" s="234">
        <f t="shared" ca="1" si="63"/>
        <v>1.5271573774412071</v>
      </c>
      <c r="P229" s="234">
        <f t="shared" ca="1" si="63"/>
        <v>0.89348714234560589</v>
      </c>
      <c r="Q229" s="234">
        <f t="shared" ca="1" si="63"/>
        <v>0.30085929682591761</v>
      </c>
      <c r="R229" s="234">
        <f t="shared" ca="1" si="63"/>
        <v>-0.24951730011979717</v>
      </c>
    </row>
    <row r="230" spans="1:18" x14ac:dyDescent="0.3">
      <c r="B230" s="248" t="s">
        <v>429</v>
      </c>
      <c r="H230" s="230"/>
      <c r="I230" s="234">
        <f t="shared" ref="I230:R230" ca="1" si="64">I200/I214</f>
        <v>2.6089849392259783</v>
      </c>
      <c r="J230" s="234">
        <f t="shared" ca="1" si="64"/>
        <v>2.9532567636778237</v>
      </c>
      <c r="K230" s="234">
        <f t="shared" ca="1" si="64"/>
        <v>3.5214674804805575</v>
      </c>
      <c r="L230" s="234">
        <f t="shared" ca="1" si="64"/>
        <v>4.1945257212615452</v>
      </c>
      <c r="M230" s="234">
        <f t="shared" ca="1" si="64"/>
        <v>5.0576444630252038</v>
      </c>
      <c r="N230" s="234">
        <f t="shared" ca="1" si="64"/>
        <v>6.4403354323688013</v>
      </c>
      <c r="O230" s="234">
        <f t="shared" ca="1" si="64"/>
        <v>8.8316742518969029</v>
      </c>
      <c r="P230" s="234">
        <f t="shared" ca="1" si="64"/>
        <v>13.586978455470657</v>
      </c>
      <c r="Q230" s="234">
        <f t="shared" ca="1" si="64"/>
        <v>27.403323377615454</v>
      </c>
      <c r="R230" s="234">
        <f t="shared" ca="1" si="64"/>
        <v>108.28858331615352</v>
      </c>
    </row>
    <row r="231" spans="1:18" ht="13.5" thickBot="1" x14ac:dyDescent="0.35">
      <c r="B231" s="267" t="s">
        <v>430</v>
      </c>
      <c r="C231" s="267"/>
      <c r="D231" s="267"/>
      <c r="E231" s="267"/>
      <c r="F231" s="267"/>
      <c r="G231" s="267"/>
      <c r="H231" s="316"/>
      <c r="I231" s="289">
        <f t="shared" ref="I231:R231" ca="1" si="65">I202/I214</f>
        <v>1.3610406944382965</v>
      </c>
      <c r="J231" s="289">
        <f t="shared" ca="1" si="65"/>
        <v>1.7477468871656374</v>
      </c>
      <c r="K231" s="289">
        <f t="shared" ca="1" si="65"/>
        <v>2.2920981417772013</v>
      </c>
      <c r="L231" s="289">
        <f t="shared" ca="1" si="65"/>
        <v>2.8904505966101808</v>
      </c>
      <c r="M231" s="289">
        <f t="shared" ca="1" si="65"/>
        <v>3.649425537143383</v>
      </c>
      <c r="N231" s="289">
        <f t="shared" ca="1" si="65"/>
        <v>4.5973695363724607</v>
      </c>
      <c r="O231" s="289">
        <f t="shared" ca="1" si="65"/>
        <v>6.2361679930504632</v>
      </c>
      <c r="P231" s="289">
        <f t="shared" ca="1" si="65"/>
        <v>9.4889790895060315</v>
      </c>
      <c r="Q231" s="289">
        <f t="shared" ca="1" si="65"/>
        <v>18.926422133510314</v>
      </c>
      <c r="R231" s="289">
        <f t="shared" ca="1" si="65"/>
        <v>73.95410597047028</v>
      </c>
    </row>
    <row r="232" spans="1:18" x14ac:dyDescent="0.3">
      <c r="I232" s="234"/>
      <c r="J232" s="234"/>
      <c r="K232" s="234"/>
      <c r="L232" s="234"/>
      <c r="M232" s="234"/>
      <c r="N232" s="234"/>
      <c r="O232" s="234"/>
      <c r="P232" s="234"/>
      <c r="Q232" s="234"/>
      <c r="R232" s="234"/>
    </row>
    <row r="233" spans="1:18" ht="13.5" thickBot="1" x14ac:dyDescent="0.35">
      <c r="B233" s="267" t="s">
        <v>482</v>
      </c>
      <c r="C233" s="267"/>
      <c r="D233" s="267"/>
      <c r="E233" s="267"/>
      <c r="F233" s="267"/>
      <c r="G233" s="267"/>
      <c r="H233" s="267"/>
      <c r="I233" s="289"/>
      <c r="J233" s="289"/>
      <c r="K233" s="289"/>
      <c r="L233" s="289"/>
      <c r="M233" s="289"/>
      <c r="N233" s="289"/>
      <c r="O233" s="289"/>
      <c r="P233" s="289"/>
      <c r="Q233" s="289"/>
      <c r="R233" s="289"/>
    </row>
    <row r="234" spans="1:18" x14ac:dyDescent="0.3">
      <c r="B234" s="248" t="s">
        <v>486</v>
      </c>
      <c r="I234" s="358">
        <v>0</v>
      </c>
      <c r="J234" s="286">
        <f t="shared" ref="J234:R234" ca="1" si="66">I237</f>
        <v>26.459029851026539</v>
      </c>
      <c r="K234" s="286">
        <f t="shared" ca="1" si="66"/>
        <v>6.1706334582671758</v>
      </c>
      <c r="L234" s="286">
        <f t="shared" ca="1" si="66"/>
        <v>0</v>
      </c>
      <c r="M234" s="286">
        <f t="shared" ca="1" si="66"/>
        <v>0</v>
      </c>
      <c r="N234" s="286">
        <f t="shared" ca="1" si="66"/>
        <v>0</v>
      </c>
      <c r="O234" s="286">
        <f t="shared" ca="1" si="66"/>
        <v>0</v>
      </c>
      <c r="P234" s="286">
        <f t="shared" ca="1" si="66"/>
        <v>0</v>
      </c>
      <c r="Q234" s="286">
        <f t="shared" ca="1" si="66"/>
        <v>0</v>
      </c>
      <c r="R234" s="286">
        <f t="shared" ca="1" si="66"/>
        <v>0</v>
      </c>
    </row>
    <row r="235" spans="1:18" x14ac:dyDescent="0.3">
      <c r="B235" s="248" t="s">
        <v>483</v>
      </c>
      <c r="I235" s="248">
        <f t="shared" ref="I235:R235" ca="1" si="67">MAX(0,-I172)</f>
        <v>26.459029851016187</v>
      </c>
      <c r="J235" s="248">
        <f t="shared" ca="1" si="67"/>
        <v>0</v>
      </c>
      <c r="K235" s="248">
        <f t="shared" ca="1" si="67"/>
        <v>0</v>
      </c>
      <c r="L235" s="248">
        <f t="shared" ca="1" si="67"/>
        <v>0</v>
      </c>
      <c r="M235" s="248">
        <f t="shared" ca="1" si="67"/>
        <v>0</v>
      </c>
      <c r="N235" s="248">
        <f t="shared" ca="1" si="67"/>
        <v>0</v>
      </c>
      <c r="O235" s="248">
        <f t="shared" ca="1" si="67"/>
        <v>0</v>
      </c>
      <c r="P235" s="248">
        <f t="shared" ca="1" si="67"/>
        <v>0</v>
      </c>
      <c r="Q235" s="248">
        <f t="shared" ca="1" si="67"/>
        <v>0</v>
      </c>
      <c r="R235" s="248">
        <f t="shared" ca="1" si="67"/>
        <v>0</v>
      </c>
    </row>
    <row r="236" spans="1:18" x14ac:dyDescent="0.3">
      <c r="B236" s="248" t="s">
        <v>484</v>
      </c>
      <c r="I236" s="248">
        <f t="shared" ref="I236:R236" ca="1" si="68">-MIN(I234+I235,MAX(I172,0))</f>
        <v>0</v>
      </c>
      <c r="J236" s="248">
        <f t="shared" ca="1" si="68"/>
        <v>-20.288396392796425</v>
      </c>
      <c r="K236" s="248">
        <f t="shared" ca="1" si="68"/>
        <v>-6.1706334582671758</v>
      </c>
      <c r="L236" s="248">
        <f t="shared" ca="1" si="68"/>
        <v>0</v>
      </c>
      <c r="M236" s="248">
        <f t="shared" ca="1" si="68"/>
        <v>0</v>
      </c>
      <c r="N236" s="248">
        <f t="shared" ca="1" si="68"/>
        <v>0</v>
      </c>
      <c r="O236" s="248">
        <f t="shared" ca="1" si="68"/>
        <v>0</v>
      </c>
      <c r="P236" s="248">
        <f t="shared" ca="1" si="68"/>
        <v>0</v>
      </c>
      <c r="Q236" s="248">
        <f t="shared" ca="1" si="68"/>
        <v>0</v>
      </c>
      <c r="R236" s="248">
        <f t="shared" ca="1" si="68"/>
        <v>0</v>
      </c>
    </row>
    <row r="237" spans="1:18" ht="13.5" thickBot="1" x14ac:dyDescent="0.35">
      <c r="B237" s="359" t="s">
        <v>487</v>
      </c>
      <c r="C237" s="359"/>
      <c r="D237" s="359"/>
      <c r="E237" s="359"/>
      <c r="F237" s="359"/>
      <c r="G237" s="359"/>
      <c r="H237" s="359"/>
      <c r="I237" s="360">
        <f t="shared" ref="I237:R237" ca="1" si="69">SUM(I234:I236)</f>
        <v>26.459029851016187</v>
      </c>
      <c r="J237" s="360">
        <f t="shared" ca="1" si="69"/>
        <v>6.1706334582301139</v>
      </c>
      <c r="K237" s="360">
        <f t="shared" ca="1" si="69"/>
        <v>0</v>
      </c>
      <c r="L237" s="360">
        <f t="shared" ca="1" si="69"/>
        <v>0</v>
      </c>
      <c r="M237" s="360">
        <f t="shared" ca="1" si="69"/>
        <v>0</v>
      </c>
      <c r="N237" s="360">
        <f t="shared" ca="1" si="69"/>
        <v>0</v>
      </c>
      <c r="O237" s="360">
        <f t="shared" ca="1" si="69"/>
        <v>0</v>
      </c>
      <c r="P237" s="360">
        <f t="shared" ca="1" si="69"/>
        <v>0</v>
      </c>
      <c r="Q237" s="360">
        <f t="shared" ca="1" si="69"/>
        <v>0</v>
      </c>
      <c r="R237" s="360">
        <f t="shared" ca="1" si="69"/>
        <v>0</v>
      </c>
    </row>
    <row r="238" spans="1:18" x14ac:dyDescent="0.3">
      <c r="I238" s="286"/>
      <c r="J238" s="286"/>
      <c r="K238" s="286"/>
      <c r="L238" s="286"/>
      <c r="M238" s="286"/>
      <c r="N238" s="286"/>
      <c r="O238" s="286"/>
      <c r="P238" s="286"/>
      <c r="Q238" s="286"/>
      <c r="R238" s="286"/>
    </row>
    <row r="239" spans="1:18" ht="15.5" x14ac:dyDescent="0.35">
      <c r="A239" s="246" t="s">
        <v>31</v>
      </c>
      <c r="B239" s="265" t="s">
        <v>132</v>
      </c>
      <c r="C239" s="275"/>
      <c r="D239" s="275"/>
      <c r="E239" s="275"/>
      <c r="F239" s="275"/>
      <c r="G239" s="275"/>
      <c r="H239" s="275"/>
      <c r="I239" s="275"/>
      <c r="J239" s="275"/>
      <c r="K239" s="275"/>
      <c r="L239" s="275"/>
      <c r="M239" s="275"/>
      <c r="N239" s="275"/>
      <c r="O239" s="275"/>
      <c r="P239" s="275"/>
      <c r="Q239" s="275"/>
      <c r="R239" s="275"/>
    </row>
    <row r="240" spans="1:18" x14ac:dyDescent="0.3">
      <c r="B240" s="236" t="str">
        <f>$B$12</f>
        <v>($ in millions)</v>
      </c>
    </row>
    <row r="242" spans="2:18" x14ac:dyDescent="0.3">
      <c r="B242" s="276" t="str">
        <f>$B$140</f>
        <v>Base Case</v>
      </c>
    </row>
    <row r="243" spans="2:18" ht="13.5" thickBot="1" x14ac:dyDescent="0.35">
      <c r="B243" s="267"/>
      <c r="C243" s="267"/>
      <c r="D243" s="267"/>
      <c r="E243" s="267"/>
      <c r="F243" s="267"/>
      <c r="G243" s="267"/>
      <c r="H243" s="267"/>
      <c r="I243" s="267"/>
      <c r="J243" s="267"/>
      <c r="K243" s="267"/>
      <c r="L243" s="267"/>
      <c r="M243" s="267"/>
      <c r="N243" s="267"/>
      <c r="O243" s="267"/>
      <c r="P243" s="267"/>
      <c r="Q243" s="267"/>
      <c r="R243" s="267"/>
    </row>
    <row r="244" spans="2:18" x14ac:dyDescent="0.3">
      <c r="B244" s="236" t="str">
        <f>$B$142</f>
        <v>For the FYE December 27</v>
      </c>
      <c r="F244" s="268" t="s">
        <v>109</v>
      </c>
      <c r="G244" s="268"/>
      <c r="H244" s="277"/>
      <c r="I244" s="268" t="s">
        <v>364</v>
      </c>
      <c r="J244" s="268"/>
      <c r="K244" s="268"/>
      <c r="L244" s="268"/>
      <c r="M244" s="268"/>
      <c r="N244" s="268"/>
      <c r="O244" s="268"/>
      <c r="P244" s="278"/>
      <c r="Q244" s="278"/>
      <c r="R244" s="278"/>
    </row>
    <row r="245" spans="2:18" x14ac:dyDescent="0.3">
      <c r="B245" s="258"/>
      <c r="C245" s="258"/>
      <c r="D245" s="258"/>
      <c r="E245" s="258"/>
      <c r="F245" s="231">
        <f>F$143</f>
        <v>42003</v>
      </c>
      <c r="G245" s="231">
        <f>G$143</f>
        <v>42367</v>
      </c>
      <c r="H245" s="232">
        <f>H$143</f>
        <v>42731</v>
      </c>
      <c r="I245" s="231">
        <f t="shared" ref="I245:R245" si="70">DATE(YEAR(H245)+1,MONTH(H245),DAY(H245))</f>
        <v>43096</v>
      </c>
      <c r="J245" s="231">
        <f t="shared" si="70"/>
        <v>43461</v>
      </c>
      <c r="K245" s="231">
        <f t="shared" si="70"/>
        <v>43826</v>
      </c>
      <c r="L245" s="231">
        <f t="shared" si="70"/>
        <v>44192</v>
      </c>
      <c r="M245" s="231">
        <f t="shared" si="70"/>
        <v>44557</v>
      </c>
      <c r="N245" s="231">
        <f t="shared" si="70"/>
        <v>44922</v>
      </c>
      <c r="O245" s="231">
        <f t="shared" si="70"/>
        <v>45287</v>
      </c>
      <c r="P245" s="231">
        <f t="shared" si="70"/>
        <v>45653</v>
      </c>
      <c r="Q245" s="231">
        <f t="shared" si="70"/>
        <v>46018</v>
      </c>
      <c r="R245" s="231">
        <f t="shared" si="70"/>
        <v>46383</v>
      </c>
    </row>
    <row r="246" spans="2:18" x14ac:dyDescent="0.3">
      <c r="B246" s="270" t="s">
        <v>383</v>
      </c>
      <c r="H246" s="255"/>
    </row>
    <row r="247" spans="2:18" x14ac:dyDescent="0.3">
      <c r="B247" s="248" t="s">
        <v>384</v>
      </c>
      <c r="H247" s="287">
        <f>L84</f>
        <v>21.341549999999998</v>
      </c>
      <c r="I247" s="286">
        <f t="shared" ref="I247:R247" ca="1" si="71">I225</f>
        <v>21.341550000000002</v>
      </c>
      <c r="J247" s="286">
        <f t="shared" ca="1" si="71"/>
        <v>21.341550000000002</v>
      </c>
      <c r="K247" s="286">
        <f t="shared" ca="1" si="71"/>
        <v>21.341550000000002</v>
      </c>
      <c r="L247" s="286">
        <f t="shared" ca="1" si="71"/>
        <v>21.341550000000002</v>
      </c>
      <c r="M247" s="286">
        <f t="shared" ca="1" si="71"/>
        <v>21.341550000000002</v>
      </c>
      <c r="N247" s="286">
        <f t="shared" ca="1" si="71"/>
        <v>21.341550000000002</v>
      </c>
      <c r="O247" s="286">
        <f t="shared" ca="1" si="71"/>
        <v>21.341550000000002</v>
      </c>
      <c r="P247" s="286">
        <f t="shared" ca="1" si="71"/>
        <v>21.341550000000002</v>
      </c>
      <c r="Q247" s="286">
        <f t="shared" ca="1" si="71"/>
        <v>21.341550000000002</v>
      </c>
      <c r="R247" s="286">
        <f t="shared" ca="1" si="71"/>
        <v>270.95621993778957</v>
      </c>
    </row>
    <row r="248" spans="2:18" x14ac:dyDescent="0.3">
      <c r="B248" s="248" t="s">
        <v>441</v>
      </c>
      <c r="H248" s="230">
        <f>L85</f>
        <v>112.923</v>
      </c>
      <c r="I248" s="248">
        <f t="shared" ref="I248:R248" ca="1" si="72">I319</f>
        <v>116.18390176125247</v>
      </c>
      <c r="J248" s="248">
        <f t="shared" ca="1" si="72"/>
        <v>125.85986845401179</v>
      </c>
      <c r="K248" s="248">
        <f t="shared" ca="1" si="72"/>
        <v>137.75029589041102</v>
      </c>
      <c r="L248" s="248">
        <f t="shared" ca="1" si="72"/>
        <v>158.23681939890716</v>
      </c>
      <c r="M248" s="248">
        <f t="shared" ca="1" si="72"/>
        <v>172.26881972602746</v>
      </c>
      <c r="N248" s="248">
        <f t="shared" ca="1" si="72"/>
        <v>187.52531661158829</v>
      </c>
      <c r="O248" s="248">
        <f t="shared" ca="1" si="72"/>
        <v>204.66918330417391</v>
      </c>
      <c r="P248" s="248">
        <f t="shared" ca="1" si="72"/>
        <v>223.35368591942904</v>
      </c>
      <c r="Q248" s="248">
        <f t="shared" ca="1" si="72"/>
        <v>245.72175388024931</v>
      </c>
      <c r="R248" s="248">
        <f t="shared" ca="1" si="72"/>
        <v>270.29392926827427</v>
      </c>
    </row>
    <row r="249" spans="2:18" x14ac:dyDescent="0.3">
      <c r="B249" s="248" t="s">
        <v>40</v>
      </c>
      <c r="H249" s="230">
        <f>L86</f>
        <v>23.774999999999999</v>
      </c>
      <c r="I249" s="248">
        <f t="shared" ref="I249:R249" ca="1" si="73">I321</f>
        <v>23.084969570254412</v>
      </c>
      <c r="J249" s="248">
        <f t="shared" ca="1" si="73"/>
        <v>24.884866317495113</v>
      </c>
      <c r="K249" s="248">
        <f t="shared" ca="1" si="73"/>
        <v>26.970716339726035</v>
      </c>
      <c r="L249" s="248">
        <f t="shared" ca="1" si="73"/>
        <v>31.134627150819679</v>
      </c>
      <c r="M249" s="248">
        <f t="shared" ca="1" si="73"/>
        <v>33.829239434520559</v>
      </c>
      <c r="N249" s="248">
        <f t="shared" ca="1" si="73"/>
        <v>36.825229578845416</v>
      </c>
      <c r="O249" s="248">
        <f t="shared" ca="1" si="73"/>
        <v>40.191851420797676</v>
      </c>
      <c r="P249" s="248">
        <f t="shared" ca="1" si="73"/>
        <v>43.861015194553381</v>
      </c>
      <c r="Q249" s="248">
        <f t="shared" ca="1" si="73"/>
        <v>48.253538043073782</v>
      </c>
      <c r="R249" s="248">
        <f t="shared" ca="1" si="73"/>
        <v>53.078891847381151</v>
      </c>
    </row>
    <row r="250" spans="2:18" x14ac:dyDescent="0.3">
      <c r="B250" s="248" t="s">
        <v>442</v>
      </c>
      <c r="H250" s="230">
        <f>L87</f>
        <v>69.194000000000003</v>
      </c>
      <c r="I250" s="248">
        <f t="shared" ref="I250:R250" ca="1" si="74">I323</f>
        <v>63.866836628571455</v>
      </c>
      <c r="J250" s="248">
        <f t="shared" ca="1" si="74"/>
        <v>69.185760977142891</v>
      </c>
      <c r="K250" s="248">
        <f t="shared" ca="1" si="74"/>
        <v>75.721984800000044</v>
      </c>
      <c r="L250" s="248">
        <f t="shared" ca="1" si="74"/>
        <v>87.221834040000047</v>
      </c>
      <c r="M250" s="248">
        <f t="shared" ca="1" si="74"/>
        <v>94.696979520000056</v>
      </c>
      <c r="N250" s="248">
        <f t="shared" ca="1" si="74"/>
        <v>103.08354753281041</v>
      </c>
      <c r="O250" s="248">
        <f t="shared" ca="1" si="74"/>
        <v>112.50761159538034</v>
      </c>
      <c r="P250" s="248">
        <f t="shared" ca="1" si="74"/>
        <v>123.11495010763137</v>
      </c>
      <c r="Q250" s="248">
        <f t="shared" ca="1" si="74"/>
        <v>135.07440250547452</v>
      </c>
      <c r="R250" s="248">
        <f t="shared" ca="1" si="74"/>
        <v>148.58184275602196</v>
      </c>
    </row>
    <row r="251" spans="2:18" x14ac:dyDescent="0.3">
      <c r="B251" s="248" t="s">
        <v>797</v>
      </c>
      <c r="H251" s="230">
        <f>L88</f>
        <v>0</v>
      </c>
      <c r="I251" s="248">
        <f t="shared" ref="I251:R251" si="75">H251</f>
        <v>0</v>
      </c>
      <c r="J251" s="248">
        <f t="shared" si="75"/>
        <v>0</v>
      </c>
      <c r="K251" s="248">
        <f t="shared" si="75"/>
        <v>0</v>
      </c>
      <c r="L251" s="248">
        <f t="shared" si="75"/>
        <v>0</v>
      </c>
      <c r="M251" s="248">
        <f t="shared" si="75"/>
        <v>0</v>
      </c>
      <c r="N251" s="248">
        <f t="shared" si="75"/>
        <v>0</v>
      </c>
      <c r="O251" s="248">
        <f t="shared" si="75"/>
        <v>0</v>
      </c>
      <c r="P251" s="248">
        <f t="shared" si="75"/>
        <v>0</v>
      </c>
      <c r="Q251" s="248">
        <f t="shared" si="75"/>
        <v>0</v>
      </c>
      <c r="R251" s="248">
        <f t="shared" si="75"/>
        <v>0</v>
      </c>
    </row>
    <row r="252" spans="2:18" x14ac:dyDescent="0.3">
      <c r="B252" s="271" t="s">
        <v>264</v>
      </c>
      <c r="C252" s="271"/>
      <c r="D252" s="271"/>
      <c r="E252" s="271"/>
      <c r="F252" s="271"/>
      <c r="G252" s="271"/>
      <c r="H252" s="297">
        <f>SUM(H247:H251)</f>
        <v>227.23354999999998</v>
      </c>
      <c r="I252" s="294">
        <f t="shared" ref="I252:R252" ca="1" si="76">SUM(I247:I251)</f>
        <v>224.47725796007833</v>
      </c>
      <c r="J252" s="294">
        <f t="shared" ca="1" si="76"/>
        <v>241.27204574864982</v>
      </c>
      <c r="K252" s="294">
        <f t="shared" ca="1" si="76"/>
        <v>261.78454703013711</v>
      </c>
      <c r="L252" s="294">
        <f t="shared" ca="1" si="76"/>
        <v>297.93483058972691</v>
      </c>
      <c r="M252" s="294">
        <f t="shared" ca="1" si="76"/>
        <v>322.13658868054807</v>
      </c>
      <c r="N252" s="294">
        <f t="shared" ca="1" si="76"/>
        <v>348.77564372324412</v>
      </c>
      <c r="O252" s="294">
        <f t="shared" ca="1" si="76"/>
        <v>378.71019632035194</v>
      </c>
      <c r="P252" s="294">
        <f t="shared" ca="1" si="76"/>
        <v>411.67120122161384</v>
      </c>
      <c r="Q252" s="294">
        <f t="shared" ca="1" si="76"/>
        <v>450.39124442879756</v>
      </c>
      <c r="R252" s="294">
        <f t="shared" ca="1" si="76"/>
        <v>742.9108838094669</v>
      </c>
    </row>
    <row r="253" spans="2:18" x14ac:dyDescent="0.3">
      <c r="H253" s="230"/>
    </row>
    <row r="254" spans="2:18" x14ac:dyDescent="0.3">
      <c r="B254" s="248" t="s">
        <v>798</v>
      </c>
      <c r="H254" s="230">
        <f>L91</f>
        <v>802.75900000000001</v>
      </c>
      <c r="I254" s="248">
        <f t="shared" ref="I254:R254" ca="1" si="77">H254+I201-I164</f>
        <v>851.26846428571434</v>
      </c>
      <c r="J254" s="248">
        <f t="shared" ca="1" si="77"/>
        <v>883.62553571428577</v>
      </c>
      <c r="K254" s="248">
        <f t="shared" ca="1" si="77"/>
        <v>899.23153571428588</v>
      </c>
      <c r="L254" s="248">
        <f t="shared" ca="1" si="77"/>
        <v>889.22053571428592</v>
      </c>
      <c r="M254" s="248">
        <f t="shared" ca="1" si="77"/>
        <v>861.47153571428589</v>
      </c>
      <c r="N254" s="248">
        <f t="shared" ca="1" si="77"/>
        <v>837.08587473254715</v>
      </c>
      <c r="O254" s="248">
        <f t="shared" ca="1" si="77"/>
        <v>816.8238389086614</v>
      </c>
      <c r="P254" s="248">
        <f t="shared" ca="1" si="77"/>
        <v>801.60344598056236</v>
      </c>
      <c r="Q254" s="248">
        <f t="shared" ca="1" si="77"/>
        <v>792.5318233542805</v>
      </c>
      <c r="R254" s="248">
        <f t="shared" ca="1" si="77"/>
        <v>790.9430546583003</v>
      </c>
    </row>
    <row r="255" spans="2:18" x14ac:dyDescent="0.3">
      <c r="H255" s="230"/>
    </row>
    <row r="256" spans="2:18" x14ac:dyDescent="0.3">
      <c r="B256" s="248" t="s">
        <v>77</v>
      </c>
      <c r="H256" s="230">
        <f t="shared" ref="H256:H261" si="78">L93</f>
        <v>0</v>
      </c>
      <c r="I256" s="248">
        <f t="shared" ref="I256:R256" si="79">H256</f>
        <v>0</v>
      </c>
      <c r="J256" s="248">
        <f t="shared" si="79"/>
        <v>0</v>
      </c>
      <c r="K256" s="248">
        <f t="shared" si="79"/>
        <v>0</v>
      </c>
      <c r="L256" s="248">
        <f t="shared" si="79"/>
        <v>0</v>
      </c>
      <c r="M256" s="248">
        <f t="shared" si="79"/>
        <v>0</v>
      </c>
      <c r="N256" s="248">
        <f t="shared" si="79"/>
        <v>0</v>
      </c>
      <c r="O256" s="248">
        <f t="shared" si="79"/>
        <v>0</v>
      </c>
      <c r="P256" s="248">
        <f t="shared" si="79"/>
        <v>0</v>
      </c>
      <c r="Q256" s="248">
        <f t="shared" si="79"/>
        <v>0</v>
      </c>
      <c r="R256" s="248">
        <f t="shared" si="79"/>
        <v>0</v>
      </c>
    </row>
    <row r="257" spans="2:18" x14ac:dyDescent="0.3">
      <c r="B257" s="248" t="s">
        <v>799</v>
      </c>
      <c r="H257" s="299">
        <f t="shared" ca="1" si="78"/>
        <v>2961.0331265000464</v>
      </c>
      <c r="I257" s="248">
        <f t="shared" ref="I257:R257" ca="1" si="80">H257</f>
        <v>2961.0331265000464</v>
      </c>
      <c r="J257" s="248">
        <f t="shared" ca="1" si="80"/>
        <v>2961.0331265000464</v>
      </c>
      <c r="K257" s="248">
        <f t="shared" ca="1" si="80"/>
        <v>2961.0331265000464</v>
      </c>
      <c r="L257" s="248">
        <f t="shared" ca="1" si="80"/>
        <v>2961.0331265000464</v>
      </c>
      <c r="M257" s="248">
        <f t="shared" ca="1" si="80"/>
        <v>2961.0331265000464</v>
      </c>
      <c r="N257" s="248">
        <f t="shared" ca="1" si="80"/>
        <v>2961.0331265000464</v>
      </c>
      <c r="O257" s="248">
        <f t="shared" ca="1" si="80"/>
        <v>2961.0331265000464</v>
      </c>
      <c r="P257" s="248">
        <f t="shared" ca="1" si="80"/>
        <v>2961.0331265000464</v>
      </c>
      <c r="Q257" s="248">
        <f t="shared" ca="1" si="80"/>
        <v>2961.0331265000464</v>
      </c>
      <c r="R257" s="248">
        <f t="shared" ca="1" si="80"/>
        <v>2961.0331265000464</v>
      </c>
    </row>
    <row r="258" spans="2:18" x14ac:dyDescent="0.3">
      <c r="B258" s="248" t="s">
        <v>800</v>
      </c>
      <c r="H258" s="299">
        <f t="shared" ca="1" si="78"/>
        <v>3925.0904235000603</v>
      </c>
      <c r="I258" s="248">
        <f t="shared" ref="I258:R258" ca="1" si="81">H258-I165</f>
        <v>3794.2540760500583</v>
      </c>
      <c r="J258" s="248">
        <f t="shared" ca="1" si="81"/>
        <v>3663.4177286000563</v>
      </c>
      <c r="K258" s="248">
        <f t="shared" ca="1" si="81"/>
        <v>3532.5813811500543</v>
      </c>
      <c r="L258" s="248">
        <f t="shared" ca="1" si="81"/>
        <v>3401.7450337000523</v>
      </c>
      <c r="M258" s="248">
        <f t="shared" ca="1" si="81"/>
        <v>3270.9086862500503</v>
      </c>
      <c r="N258" s="248">
        <f t="shared" ca="1" si="81"/>
        <v>3140.0723388000483</v>
      </c>
      <c r="O258" s="248">
        <f t="shared" ca="1" si="81"/>
        <v>3009.2359913500463</v>
      </c>
      <c r="P258" s="248">
        <f t="shared" ca="1" si="81"/>
        <v>2878.3996439000443</v>
      </c>
      <c r="Q258" s="248">
        <f t="shared" ca="1" si="81"/>
        <v>2747.5632964500423</v>
      </c>
      <c r="R258" s="248">
        <f t="shared" ca="1" si="81"/>
        <v>2616.7269490000403</v>
      </c>
    </row>
    <row r="259" spans="2:18" x14ac:dyDescent="0.3">
      <c r="B259" s="248" t="s">
        <v>238</v>
      </c>
      <c r="H259" s="299">
        <f t="shared" ca="1" si="78"/>
        <v>67.500027837172794</v>
      </c>
      <c r="I259" s="248">
        <f t="shared" ref="I259:R259" ca="1" si="82">H259-I171</f>
        <v>61.714311121995465</v>
      </c>
      <c r="J259" s="248">
        <f t="shared" ca="1" si="82"/>
        <v>55.928594406818135</v>
      </c>
      <c r="K259" s="248">
        <f t="shared" ca="1" si="82"/>
        <v>50.142877691640805</v>
      </c>
      <c r="L259" s="248">
        <f t="shared" ca="1" si="82"/>
        <v>44.357160976463476</v>
      </c>
      <c r="M259" s="248">
        <f t="shared" ca="1" si="82"/>
        <v>38.571444261286146</v>
      </c>
      <c r="N259" s="248">
        <f t="shared" ca="1" si="82"/>
        <v>32.785727546108816</v>
      </c>
      <c r="O259" s="248">
        <f t="shared" ca="1" si="82"/>
        <v>27.000010830931487</v>
      </c>
      <c r="P259" s="248">
        <f t="shared" ca="1" si="82"/>
        <v>23.625009477065134</v>
      </c>
      <c r="Q259" s="248">
        <f t="shared" ca="1" si="82"/>
        <v>20.250008123198782</v>
      </c>
      <c r="R259" s="248">
        <f t="shared" ca="1" si="82"/>
        <v>16.87500676933243</v>
      </c>
    </row>
    <row r="260" spans="2:18" x14ac:dyDescent="0.3">
      <c r="B260" s="248" t="s">
        <v>485</v>
      </c>
      <c r="H260" s="299">
        <f t="shared" si="78"/>
        <v>0</v>
      </c>
      <c r="I260" s="248">
        <f t="shared" ref="I260:R260" ca="1" si="83">H260-I205</f>
        <v>9.2606604478592889</v>
      </c>
      <c r="J260" s="248">
        <f t="shared" ca="1" si="83"/>
        <v>2.1597217103863429</v>
      </c>
      <c r="K260" s="248">
        <f t="shared" ca="1" si="83"/>
        <v>-9.0585317025215772E-11</v>
      </c>
      <c r="L260" s="248">
        <f t="shared" ca="1" si="83"/>
        <v>-9.0585317025215772E-11</v>
      </c>
      <c r="M260" s="248">
        <f t="shared" ca="1" si="83"/>
        <v>-9.0585317025215772E-11</v>
      </c>
      <c r="N260" s="248">
        <f t="shared" ca="1" si="83"/>
        <v>-9.0585317025215772E-11</v>
      </c>
      <c r="O260" s="248">
        <f t="shared" ca="1" si="83"/>
        <v>-9.0585317025215772E-11</v>
      </c>
      <c r="P260" s="248">
        <f t="shared" ca="1" si="83"/>
        <v>-9.0585317025215772E-11</v>
      </c>
      <c r="Q260" s="248">
        <f t="shared" ca="1" si="83"/>
        <v>-9.0585317025215772E-11</v>
      </c>
      <c r="R260" s="248">
        <f t="shared" ca="1" si="83"/>
        <v>-9.0585317025215772E-11</v>
      </c>
    </row>
    <row r="261" spans="2:18" x14ac:dyDescent="0.3">
      <c r="B261" s="248" t="s">
        <v>801</v>
      </c>
      <c r="H261" s="230">
        <f t="shared" si="78"/>
        <v>65.054000000000002</v>
      </c>
      <c r="I261" s="248">
        <f t="shared" ref="I261:R261" si="84">H261-I206</f>
        <v>65.054000000000002</v>
      </c>
      <c r="J261" s="248">
        <f t="shared" si="84"/>
        <v>65.054000000000002</v>
      </c>
      <c r="K261" s="248">
        <f t="shared" si="84"/>
        <v>65.054000000000002</v>
      </c>
      <c r="L261" s="248">
        <f t="shared" si="84"/>
        <v>65.054000000000002</v>
      </c>
      <c r="M261" s="248">
        <f t="shared" si="84"/>
        <v>65.054000000000002</v>
      </c>
      <c r="N261" s="248">
        <f t="shared" si="84"/>
        <v>65.054000000000002</v>
      </c>
      <c r="O261" s="248">
        <f t="shared" si="84"/>
        <v>65.054000000000002</v>
      </c>
      <c r="P261" s="248">
        <f t="shared" si="84"/>
        <v>65.054000000000002</v>
      </c>
      <c r="Q261" s="248">
        <f t="shared" si="84"/>
        <v>65.054000000000002</v>
      </c>
      <c r="R261" s="248">
        <f t="shared" si="84"/>
        <v>65.054000000000002</v>
      </c>
    </row>
    <row r="262" spans="2:18" x14ac:dyDescent="0.3">
      <c r="H262" s="230"/>
    </row>
    <row r="263" spans="2:18" x14ac:dyDescent="0.3">
      <c r="B263" s="256" t="s">
        <v>385</v>
      </c>
      <c r="C263" s="256"/>
      <c r="D263" s="256"/>
      <c r="E263" s="256"/>
      <c r="F263" s="256"/>
      <c r="G263" s="256"/>
      <c r="H263" s="300">
        <f t="shared" ref="H263:R263" ca="1" si="85">SUM(H252,H254,H256:H261)</f>
        <v>8048.6701278372793</v>
      </c>
      <c r="I263" s="295">
        <f t="shared" ca="1" si="85"/>
        <v>7967.0618963657535</v>
      </c>
      <c r="J263" s="295">
        <f t="shared" ca="1" si="85"/>
        <v>7872.4907526802426</v>
      </c>
      <c r="K263" s="295">
        <f t="shared" ca="1" si="85"/>
        <v>7769.8274680860732</v>
      </c>
      <c r="L263" s="295">
        <f t="shared" ca="1" si="85"/>
        <v>7659.344687480484</v>
      </c>
      <c r="M263" s="295">
        <f t="shared" ca="1" si="85"/>
        <v>7519.1753814061267</v>
      </c>
      <c r="N263" s="295">
        <f t="shared" ca="1" si="85"/>
        <v>7384.8067113019033</v>
      </c>
      <c r="O263" s="295">
        <f t="shared" ca="1" si="85"/>
        <v>7257.8571639099473</v>
      </c>
      <c r="P263" s="295">
        <f t="shared" ca="1" si="85"/>
        <v>7141.386427079241</v>
      </c>
      <c r="Q263" s="295">
        <f t="shared" ca="1" si="85"/>
        <v>7036.8234988562745</v>
      </c>
      <c r="R263" s="295">
        <f t="shared" ca="1" si="85"/>
        <v>7193.5430207370955</v>
      </c>
    </row>
    <row r="264" spans="2:18" x14ac:dyDescent="0.3">
      <c r="H264" s="230"/>
    </row>
    <row r="265" spans="2:18" x14ac:dyDescent="0.3">
      <c r="B265" s="270" t="s">
        <v>386</v>
      </c>
      <c r="H265" s="230"/>
    </row>
    <row r="266" spans="2:18" x14ac:dyDescent="0.3">
      <c r="B266" s="248" t="s">
        <v>444</v>
      </c>
      <c r="H266" s="230">
        <f>L103</f>
        <v>22.454999999999998</v>
      </c>
      <c r="I266" s="248">
        <f t="shared" ref="I266:R266" ca="1" si="86">I325</f>
        <v>21.26247197260275</v>
      </c>
      <c r="J266" s="248">
        <f t="shared" ca="1" si="86"/>
        <v>22.920271608219185</v>
      </c>
      <c r="K266" s="248">
        <f t="shared" ca="1" si="86"/>
        <v>24.841449260273983</v>
      </c>
      <c r="L266" s="248">
        <f t="shared" ca="1" si="86"/>
        <v>28.676630270491813</v>
      </c>
      <c r="M266" s="248">
        <f t="shared" ca="1" si="86"/>
        <v>31.15851000547946</v>
      </c>
      <c r="N266" s="248">
        <f t="shared" ca="1" si="86"/>
        <v>33.917974612094461</v>
      </c>
      <c r="O266" s="248">
        <f t="shared" ca="1" si="86"/>
        <v>37.018810519155757</v>
      </c>
      <c r="P266" s="248">
        <f t="shared" ca="1" si="86"/>
        <v>40.398303468667592</v>
      </c>
      <c r="Q266" s="248">
        <f t="shared" ca="1" si="86"/>
        <v>44.444048197567959</v>
      </c>
      <c r="R266" s="248">
        <f t="shared" ca="1" si="86"/>
        <v>48.88845301732475</v>
      </c>
    </row>
    <row r="267" spans="2:18" x14ac:dyDescent="0.3">
      <c r="B267" s="248" t="s">
        <v>445</v>
      </c>
      <c r="H267" s="230">
        <f>L104</f>
        <v>408.637</v>
      </c>
      <c r="I267" s="248">
        <f t="shared" ref="I267:R267" ca="1" si="87">I327</f>
        <v>384.83451428571448</v>
      </c>
      <c r="J267" s="248">
        <f t="shared" ca="1" si="87"/>
        <v>414.99910857142868</v>
      </c>
      <c r="K267" s="248">
        <f t="shared" ca="1" si="87"/>
        <v>450.13120000000021</v>
      </c>
      <c r="L267" s="248">
        <f t="shared" ca="1" si="87"/>
        <v>520.84656000000018</v>
      </c>
      <c r="M267" s="248">
        <f t="shared" ca="1" si="87"/>
        <v>564.46528000000012</v>
      </c>
      <c r="N267" s="248">
        <f t="shared" ca="1" si="87"/>
        <v>614.45553824884166</v>
      </c>
      <c r="O267" s="248">
        <f t="shared" ca="1" si="87"/>
        <v>670.63005391745344</v>
      </c>
      <c r="P267" s="248">
        <f t="shared" ca="1" si="87"/>
        <v>733.85777600238043</v>
      </c>
      <c r="Q267" s="248">
        <f t="shared" ca="1" si="87"/>
        <v>805.14511463359258</v>
      </c>
      <c r="R267" s="248">
        <f t="shared" ca="1" si="87"/>
        <v>885.65962609695168</v>
      </c>
    </row>
    <row r="268" spans="2:18" x14ac:dyDescent="0.3">
      <c r="B268" s="248" t="s">
        <v>802</v>
      </c>
      <c r="H268" s="230">
        <f>L105</f>
        <v>0</v>
      </c>
      <c r="I268" s="248">
        <f t="shared" ref="I268:R268" si="88">H268</f>
        <v>0</v>
      </c>
      <c r="J268" s="248">
        <f t="shared" si="88"/>
        <v>0</v>
      </c>
      <c r="K268" s="248">
        <f t="shared" si="88"/>
        <v>0</v>
      </c>
      <c r="L268" s="248">
        <f t="shared" si="88"/>
        <v>0</v>
      </c>
      <c r="M268" s="248">
        <f t="shared" si="88"/>
        <v>0</v>
      </c>
      <c r="N268" s="248">
        <f t="shared" si="88"/>
        <v>0</v>
      </c>
      <c r="O268" s="248">
        <f t="shared" si="88"/>
        <v>0</v>
      </c>
      <c r="P268" s="248">
        <f t="shared" si="88"/>
        <v>0</v>
      </c>
      <c r="Q268" s="248">
        <f t="shared" si="88"/>
        <v>0</v>
      </c>
      <c r="R268" s="248">
        <f t="shared" si="88"/>
        <v>0</v>
      </c>
    </row>
    <row r="269" spans="2:18" x14ac:dyDescent="0.3">
      <c r="B269" s="271" t="s">
        <v>266</v>
      </c>
      <c r="C269" s="271"/>
      <c r="D269" s="271"/>
      <c r="E269" s="271"/>
      <c r="F269" s="271"/>
      <c r="G269" s="271"/>
      <c r="H269" s="297">
        <f>SUM(H266:H268)</f>
        <v>431.09199999999998</v>
      </c>
      <c r="I269" s="294">
        <f t="shared" ref="I269:R269" ca="1" si="89">SUM(I266:I268)</f>
        <v>406.0969862583172</v>
      </c>
      <c r="J269" s="294">
        <f t="shared" ca="1" si="89"/>
        <v>437.91938017964787</v>
      </c>
      <c r="K269" s="294">
        <f t="shared" ca="1" si="89"/>
        <v>474.97264926027418</v>
      </c>
      <c r="L269" s="294">
        <f t="shared" ca="1" si="89"/>
        <v>549.52319027049202</v>
      </c>
      <c r="M269" s="294">
        <f t="shared" ca="1" si="89"/>
        <v>595.62379000547958</v>
      </c>
      <c r="N269" s="294">
        <f t="shared" ca="1" si="89"/>
        <v>648.3735128609361</v>
      </c>
      <c r="O269" s="294">
        <f t="shared" ca="1" si="89"/>
        <v>707.64886443660919</v>
      </c>
      <c r="P269" s="294">
        <f t="shared" ca="1" si="89"/>
        <v>774.256079471048</v>
      </c>
      <c r="Q269" s="294">
        <f t="shared" ca="1" si="89"/>
        <v>849.58916283116059</v>
      </c>
      <c r="R269" s="294">
        <f t="shared" ca="1" si="89"/>
        <v>934.54807911427645</v>
      </c>
    </row>
    <row r="270" spans="2:18" x14ac:dyDescent="0.3">
      <c r="H270" s="230"/>
    </row>
    <row r="271" spans="2:18" x14ac:dyDescent="0.3">
      <c r="B271" s="248" t="s">
        <v>371</v>
      </c>
      <c r="H271" s="230">
        <f>L108</f>
        <v>0</v>
      </c>
      <c r="I271" s="248">
        <f t="shared" ref="I271:R271" ca="1" si="90">H271+I218</f>
        <v>0</v>
      </c>
      <c r="J271" s="248">
        <f t="shared" ca="1" si="90"/>
        <v>0</v>
      </c>
      <c r="K271" s="248">
        <f t="shared" ca="1" si="90"/>
        <v>0</v>
      </c>
      <c r="L271" s="248">
        <f t="shared" ca="1" si="90"/>
        <v>0</v>
      </c>
      <c r="M271" s="248">
        <f t="shared" ca="1" si="90"/>
        <v>0</v>
      </c>
      <c r="N271" s="248">
        <f t="shared" ca="1" si="90"/>
        <v>0</v>
      </c>
      <c r="O271" s="248">
        <f t="shared" ca="1" si="90"/>
        <v>0</v>
      </c>
      <c r="P271" s="248">
        <f t="shared" ca="1" si="90"/>
        <v>0</v>
      </c>
      <c r="Q271" s="248">
        <f t="shared" ca="1" si="90"/>
        <v>0</v>
      </c>
      <c r="R271" s="248">
        <f t="shared" ca="1" si="90"/>
        <v>0</v>
      </c>
    </row>
    <row r="272" spans="2:18" x14ac:dyDescent="0.3">
      <c r="B272" s="248" t="s">
        <v>195</v>
      </c>
      <c r="C272" s="252"/>
      <c r="D272" s="252"/>
      <c r="E272" s="252"/>
      <c r="F272" s="252"/>
      <c r="G272" s="252"/>
      <c r="H272" s="315">
        <f ca="1">L109</f>
        <v>750.00033463008185</v>
      </c>
      <c r="I272" s="248">
        <f t="shared" ref="I272:R272" ca="1" si="91">H272+I219</f>
        <v>719.84614675125351</v>
      </c>
      <c r="J272" s="248">
        <f t="shared" ca="1" si="91"/>
        <v>573.16421275162281</v>
      </c>
      <c r="K272" s="248">
        <f t="shared" ca="1" si="91"/>
        <v>375.71085704702779</v>
      </c>
      <c r="L272" s="248">
        <f t="shared" ca="1" si="91"/>
        <v>100.54465645385397</v>
      </c>
      <c r="M272" s="248">
        <f t="shared" ca="1" si="91"/>
        <v>9.90098669717554E-10</v>
      </c>
      <c r="N272" s="248">
        <f t="shared" ca="1" si="91"/>
        <v>-1.6489707377331797E-9</v>
      </c>
      <c r="O272" s="248">
        <f t="shared" ca="1" si="91"/>
        <v>1.293165041715838E-8</v>
      </c>
      <c r="P272" s="248">
        <f t="shared" ca="1" si="91"/>
        <v>-6.0015736380591989E-8</v>
      </c>
      <c r="Q272" s="248">
        <f t="shared" ca="1" si="91"/>
        <v>-7.3198577865696279E-8</v>
      </c>
      <c r="R272" s="248">
        <f t="shared" ca="1" si="91"/>
        <v>-1.2575831078720512E-6</v>
      </c>
    </row>
    <row r="273" spans="2:18" x14ac:dyDescent="0.3">
      <c r="B273" s="248" t="s">
        <v>196</v>
      </c>
      <c r="C273" s="252"/>
      <c r="D273" s="252"/>
      <c r="E273" s="252"/>
      <c r="F273" s="252"/>
      <c r="G273" s="252"/>
      <c r="H273" s="315">
        <f ca="1">L110</f>
        <v>2250.0009025775685</v>
      </c>
      <c r="I273" s="248">
        <f t="shared" ref="I273:R273" ca="1" si="92">H273+I220</f>
        <v>2250.0009025775685</v>
      </c>
      <c r="J273" s="248">
        <f t="shared" ca="1" si="92"/>
        <v>2250.0009025775685</v>
      </c>
      <c r="K273" s="248">
        <f t="shared" ca="1" si="92"/>
        <v>2250.0009025775685</v>
      </c>
      <c r="L273" s="248">
        <f t="shared" ca="1" si="92"/>
        <v>2250.0009025775685</v>
      </c>
      <c r="M273" s="248">
        <f t="shared" ca="1" si="92"/>
        <v>2035.0408181429457</v>
      </c>
      <c r="N273" s="248">
        <f t="shared" ca="1" si="92"/>
        <v>1678.6268555503</v>
      </c>
      <c r="O273" s="248">
        <f t="shared" ca="1" si="92"/>
        <v>1277.0777730377922</v>
      </c>
      <c r="P273" s="248">
        <f t="shared" ca="1" si="92"/>
        <v>825.29670273819295</v>
      </c>
      <c r="Q273" s="248">
        <f t="shared" ca="1" si="92"/>
        <v>318.3502793354474</v>
      </c>
      <c r="R273" s="248">
        <f t="shared" ca="1" si="92"/>
        <v>1.2724083831017197E-6</v>
      </c>
    </row>
    <row r="274" spans="2:18" x14ac:dyDescent="0.3">
      <c r="B274" s="248" t="s">
        <v>803</v>
      </c>
      <c r="C274" s="273"/>
      <c r="D274" s="273"/>
      <c r="E274" s="273"/>
      <c r="F274" s="273"/>
      <c r="G274" s="273"/>
      <c r="H274" s="315">
        <f ca="1">L111</f>
        <v>0</v>
      </c>
      <c r="I274" s="248">
        <f t="shared" ref="I274:R274" ca="1" si="93">H274+I221</f>
        <v>0</v>
      </c>
      <c r="J274" s="248">
        <f t="shared" ca="1" si="93"/>
        <v>0</v>
      </c>
      <c r="K274" s="248">
        <f t="shared" ca="1" si="93"/>
        <v>0</v>
      </c>
      <c r="L274" s="248">
        <f t="shared" ca="1" si="93"/>
        <v>0</v>
      </c>
      <c r="M274" s="248">
        <f t="shared" ca="1" si="93"/>
        <v>0</v>
      </c>
      <c r="N274" s="248">
        <f t="shared" ca="1" si="93"/>
        <v>0</v>
      </c>
      <c r="O274" s="248">
        <f t="shared" ca="1" si="93"/>
        <v>0</v>
      </c>
      <c r="P274" s="248">
        <f t="shared" ca="1" si="93"/>
        <v>0</v>
      </c>
      <c r="Q274" s="248">
        <f t="shared" ca="1" si="93"/>
        <v>0</v>
      </c>
      <c r="R274" s="248">
        <f t="shared" ca="1" si="93"/>
        <v>0</v>
      </c>
    </row>
    <row r="275" spans="2:18" x14ac:dyDescent="0.3">
      <c r="B275" s="271" t="s">
        <v>314</v>
      </c>
      <c r="C275" s="271"/>
      <c r="D275" s="271"/>
      <c r="E275" s="271"/>
      <c r="F275" s="271"/>
      <c r="G275" s="271"/>
      <c r="H275" s="297">
        <f t="shared" ref="H275:R275" ca="1" si="94">SUM(H271:H274)</f>
        <v>3000.0012372076503</v>
      </c>
      <c r="I275" s="294">
        <f t="shared" ca="1" si="94"/>
        <v>2969.8470493288219</v>
      </c>
      <c r="J275" s="294">
        <f t="shared" ca="1" si="94"/>
        <v>2823.1651153291914</v>
      </c>
      <c r="K275" s="294">
        <f t="shared" ca="1" si="94"/>
        <v>2625.7117596245962</v>
      </c>
      <c r="L275" s="294">
        <f t="shared" ca="1" si="94"/>
        <v>2350.5455590314223</v>
      </c>
      <c r="M275" s="294">
        <f t="shared" ca="1" si="94"/>
        <v>2035.0408181439357</v>
      </c>
      <c r="N275" s="294">
        <f t="shared" ca="1" si="94"/>
        <v>1678.6268555486511</v>
      </c>
      <c r="O275" s="294">
        <f t="shared" ca="1" si="94"/>
        <v>1277.0777730507239</v>
      </c>
      <c r="P275" s="294">
        <f t="shared" ca="1" si="94"/>
        <v>825.29670267817721</v>
      </c>
      <c r="Q275" s="294">
        <f t="shared" ca="1" si="94"/>
        <v>318.35027926224882</v>
      </c>
      <c r="R275" s="294">
        <f t="shared" ca="1" si="94"/>
        <v>1.4825275229668478E-8</v>
      </c>
    </row>
    <row r="276" spans="2:18" x14ac:dyDescent="0.3">
      <c r="H276" s="230"/>
    </row>
    <row r="277" spans="2:18" x14ac:dyDescent="0.3">
      <c r="B277" s="248" t="s">
        <v>804</v>
      </c>
      <c r="H277" s="230">
        <f>L114</f>
        <v>32.301000000000002</v>
      </c>
      <c r="I277" s="248">
        <f t="shared" ref="I277:R277" si="95">H277</f>
        <v>32.301000000000002</v>
      </c>
      <c r="J277" s="248">
        <f t="shared" si="95"/>
        <v>32.301000000000002</v>
      </c>
      <c r="K277" s="248">
        <f t="shared" si="95"/>
        <v>32.301000000000002</v>
      </c>
      <c r="L277" s="248">
        <f t="shared" si="95"/>
        <v>32.301000000000002</v>
      </c>
      <c r="M277" s="248">
        <f t="shared" si="95"/>
        <v>32.301000000000002</v>
      </c>
      <c r="N277" s="248">
        <f t="shared" si="95"/>
        <v>32.301000000000002</v>
      </c>
      <c r="O277" s="248">
        <f t="shared" si="95"/>
        <v>32.301000000000002</v>
      </c>
      <c r="P277" s="248">
        <f t="shared" si="95"/>
        <v>32.301000000000002</v>
      </c>
      <c r="Q277" s="248">
        <f t="shared" si="95"/>
        <v>32.301000000000002</v>
      </c>
      <c r="R277" s="248">
        <f t="shared" si="95"/>
        <v>32.301000000000002</v>
      </c>
    </row>
    <row r="278" spans="2:18" x14ac:dyDescent="0.3">
      <c r="B278" s="248" t="s">
        <v>805</v>
      </c>
      <c r="H278" s="230">
        <f>L115</f>
        <v>118.005</v>
      </c>
      <c r="I278" s="248">
        <f t="shared" ref="I278:R278" si="96">H278+I207</f>
        <v>118.005</v>
      </c>
      <c r="J278" s="248">
        <f t="shared" si="96"/>
        <v>118.005</v>
      </c>
      <c r="K278" s="248">
        <f t="shared" si="96"/>
        <v>118.005</v>
      </c>
      <c r="L278" s="248">
        <f t="shared" si="96"/>
        <v>118.005</v>
      </c>
      <c r="M278" s="248">
        <f t="shared" si="96"/>
        <v>118.005</v>
      </c>
      <c r="N278" s="248">
        <f t="shared" si="96"/>
        <v>118.005</v>
      </c>
      <c r="O278" s="248">
        <f t="shared" si="96"/>
        <v>118.005</v>
      </c>
      <c r="P278" s="248">
        <f t="shared" si="96"/>
        <v>118.005</v>
      </c>
      <c r="Q278" s="248">
        <f t="shared" si="96"/>
        <v>118.005</v>
      </c>
      <c r="R278" s="248">
        <f t="shared" si="96"/>
        <v>118.005</v>
      </c>
    </row>
    <row r="279" spans="2:18" x14ac:dyDescent="0.3">
      <c r="H279" s="230"/>
    </row>
    <row r="280" spans="2:18" x14ac:dyDescent="0.3">
      <c r="B280" s="256" t="s">
        <v>387</v>
      </c>
      <c r="C280" s="256"/>
      <c r="D280" s="256"/>
      <c r="E280" s="256"/>
      <c r="F280" s="256"/>
      <c r="G280" s="256"/>
      <c r="H280" s="300">
        <f t="shared" ref="H280:R280" ca="1" si="97">SUM(H269,H275,H277:H278)</f>
        <v>3581.3992372076505</v>
      </c>
      <c r="I280" s="295">
        <f t="shared" ca="1" si="97"/>
        <v>3526.2500355871393</v>
      </c>
      <c r="J280" s="295">
        <f t="shared" ca="1" si="97"/>
        <v>3411.3904955088392</v>
      </c>
      <c r="K280" s="295">
        <f t="shared" ca="1" si="97"/>
        <v>3250.9904088848702</v>
      </c>
      <c r="L280" s="295">
        <f t="shared" ca="1" si="97"/>
        <v>3050.3747493019141</v>
      </c>
      <c r="M280" s="295">
        <f t="shared" ca="1" si="97"/>
        <v>2780.9706081494155</v>
      </c>
      <c r="N280" s="295">
        <f t="shared" ca="1" si="97"/>
        <v>2477.3063684095873</v>
      </c>
      <c r="O280" s="295">
        <f t="shared" ca="1" si="97"/>
        <v>2135.032637487333</v>
      </c>
      <c r="P280" s="295">
        <f t="shared" ca="1" si="97"/>
        <v>1749.8587821492251</v>
      </c>
      <c r="Q280" s="295">
        <f t="shared" ca="1" si="97"/>
        <v>1318.2454420934096</v>
      </c>
      <c r="R280" s="295">
        <f t="shared" ca="1" si="97"/>
        <v>1084.8540791291018</v>
      </c>
    </row>
    <row r="281" spans="2:18" x14ac:dyDescent="0.3">
      <c r="H281" s="230"/>
    </row>
    <row r="282" spans="2:18" x14ac:dyDescent="0.3">
      <c r="B282" s="248" t="s">
        <v>806</v>
      </c>
      <c r="H282" s="230">
        <f>L119</f>
        <v>3.6030000000000002</v>
      </c>
      <c r="I282" s="248">
        <f t="shared" ref="I282:R282" si="98">H282</f>
        <v>3.6030000000000002</v>
      </c>
      <c r="J282" s="248">
        <f t="shared" si="98"/>
        <v>3.6030000000000002</v>
      </c>
      <c r="K282" s="248">
        <f t="shared" si="98"/>
        <v>3.6030000000000002</v>
      </c>
      <c r="L282" s="248">
        <f t="shared" si="98"/>
        <v>3.6030000000000002</v>
      </c>
      <c r="M282" s="248">
        <f t="shared" si="98"/>
        <v>3.6030000000000002</v>
      </c>
      <c r="N282" s="248">
        <f t="shared" si="98"/>
        <v>3.6030000000000002</v>
      </c>
      <c r="O282" s="248">
        <f t="shared" si="98"/>
        <v>3.6030000000000002</v>
      </c>
      <c r="P282" s="248">
        <f t="shared" si="98"/>
        <v>3.6030000000000002</v>
      </c>
      <c r="Q282" s="248">
        <f t="shared" si="98"/>
        <v>3.6030000000000002</v>
      </c>
      <c r="R282" s="248">
        <f t="shared" si="98"/>
        <v>3.6030000000000002</v>
      </c>
    </row>
    <row r="283" spans="2:18" x14ac:dyDescent="0.3">
      <c r="H283" s="230"/>
    </row>
    <row r="284" spans="2:18" x14ac:dyDescent="0.3">
      <c r="B284" s="256" t="s">
        <v>454</v>
      </c>
      <c r="H284" s="230"/>
    </row>
    <row r="285" spans="2:18" x14ac:dyDescent="0.3">
      <c r="B285" s="248" t="s">
        <v>198</v>
      </c>
      <c r="C285" s="253"/>
      <c r="D285" s="253"/>
      <c r="E285" s="253"/>
      <c r="F285" s="253"/>
      <c r="G285" s="253"/>
      <c r="H285" s="315">
        <f ca="1">L122</f>
        <v>4463.6678906296384</v>
      </c>
      <c r="I285" s="248">
        <f t="shared" ref="I285:R285" ca="1" si="99">H285+I181</f>
        <v>4437.2088607786218</v>
      </c>
      <c r="J285" s="248">
        <f t="shared" ca="1" si="99"/>
        <v>4457.4972571714125</v>
      </c>
      <c r="K285" s="248">
        <f t="shared" ca="1" si="99"/>
        <v>4515.2340592012124</v>
      </c>
      <c r="L285" s="248">
        <f t="shared" ca="1" si="99"/>
        <v>4605.3669381785785</v>
      </c>
      <c r="M285" s="248">
        <f t="shared" ca="1" si="99"/>
        <v>4734.6017732567198</v>
      </c>
      <c r="N285" s="248">
        <f t="shared" ca="1" si="99"/>
        <v>4903.8973428923264</v>
      </c>
      <c r="O285" s="248">
        <f t="shared" ca="1" si="99"/>
        <v>5119.2215264226234</v>
      </c>
      <c r="P285" s="248">
        <f t="shared" ca="1" si="99"/>
        <v>5387.9246449300254</v>
      </c>
      <c r="Q285" s="248">
        <f t="shared" ca="1" si="99"/>
        <v>5714.9750567628744</v>
      </c>
      <c r="R285" s="248">
        <f t="shared" ca="1" si="99"/>
        <v>6105.0859416080029</v>
      </c>
    </row>
    <row r="286" spans="2:18" x14ac:dyDescent="0.3">
      <c r="B286" s="248" t="s">
        <v>388</v>
      </c>
      <c r="H286" s="230">
        <f>L123</f>
        <v>0</v>
      </c>
      <c r="I286" s="248">
        <f t="shared" ref="I286:R286" si="100">H286</f>
        <v>0</v>
      </c>
      <c r="J286" s="248">
        <f t="shared" si="100"/>
        <v>0</v>
      </c>
      <c r="K286" s="248">
        <f t="shared" si="100"/>
        <v>0</v>
      </c>
      <c r="L286" s="248">
        <f t="shared" si="100"/>
        <v>0</v>
      </c>
      <c r="M286" s="248">
        <f t="shared" si="100"/>
        <v>0</v>
      </c>
      <c r="N286" s="248">
        <f t="shared" si="100"/>
        <v>0</v>
      </c>
      <c r="O286" s="248">
        <f t="shared" si="100"/>
        <v>0</v>
      </c>
      <c r="P286" s="248">
        <f t="shared" si="100"/>
        <v>0</v>
      </c>
      <c r="Q286" s="248">
        <f t="shared" si="100"/>
        <v>0</v>
      </c>
      <c r="R286" s="248">
        <f t="shared" si="100"/>
        <v>0</v>
      </c>
    </row>
    <row r="287" spans="2:18" x14ac:dyDescent="0.3">
      <c r="B287" s="271" t="s">
        <v>455</v>
      </c>
      <c r="C287" s="271"/>
      <c r="D287" s="271"/>
      <c r="E287" s="271"/>
      <c r="F287" s="271"/>
      <c r="G287" s="271"/>
      <c r="H287" s="297">
        <f t="shared" ref="H287:R287" ca="1" si="101">SUM(H285:H286)</f>
        <v>4463.6678906296384</v>
      </c>
      <c r="I287" s="294">
        <f t="shared" ca="1" si="101"/>
        <v>4437.2088607786218</v>
      </c>
      <c r="J287" s="294">
        <f t="shared" ca="1" si="101"/>
        <v>4457.4972571714125</v>
      </c>
      <c r="K287" s="294">
        <f t="shared" ca="1" si="101"/>
        <v>4515.2340592012124</v>
      </c>
      <c r="L287" s="294">
        <f t="shared" ca="1" si="101"/>
        <v>4605.3669381785785</v>
      </c>
      <c r="M287" s="294">
        <f t="shared" ca="1" si="101"/>
        <v>4734.6017732567198</v>
      </c>
      <c r="N287" s="294">
        <f t="shared" ca="1" si="101"/>
        <v>4903.8973428923264</v>
      </c>
      <c r="O287" s="294">
        <f t="shared" ca="1" si="101"/>
        <v>5119.2215264226234</v>
      </c>
      <c r="P287" s="294">
        <f t="shared" ca="1" si="101"/>
        <v>5387.9246449300254</v>
      </c>
      <c r="Q287" s="294">
        <f t="shared" ca="1" si="101"/>
        <v>5714.9750567628744</v>
      </c>
      <c r="R287" s="294">
        <f t="shared" ca="1" si="101"/>
        <v>6105.0859416080029</v>
      </c>
    </row>
    <row r="288" spans="2:18" x14ac:dyDescent="0.3">
      <c r="H288" s="230"/>
    </row>
    <row r="289" spans="1:18" ht="13.5" thickBot="1" x14ac:dyDescent="0.35">
      <c r="B289" s="274" t="s">
        <v>456</v>
      </c>
      <c r="C289" s="274"/>
      <c r="D289" s="274"/>
      <c r="E289" s="274"/>
      <c r="F289" s="274"/>
      <c r="G289" s="274"/>
      <c r="H289" s="301">
        <f t="shared" ref="H289:R289" ca="1" si="102">H280+H282+H287</f>
        <v>8048.6701278372893</v>
      </c>
      <c r="I289" s="296">
        <f t="shared" ca="1" si="102"/>
        <v>7967.0618963657616</v>
      </c>
      <c r="J289" s="296">
        <f t="shared" ca="1" si="102"/>
        <v>7872.4907526802517</v>
      </c>
      <c r="K289" s="296">
        <f t="shared" ca="1" si="102"/>
        <v>7769.8274680860832</v>
      </c>
      <c r="L289" s="296">
        <f t="shared" ca="1" si="102"/>
        <v>7659.3446874804922</v>
      </c>
      <c r="M289" s="296">
        <f t="shared" ca="1" si="102"/>
        <v>7519.1753814061358</v>
      </c>
      <c r="N289" s="296">
        <f t="shared" ca="1" si="102"/>
        <v>7384.8067113019133</v>
      </c>
      <c r="O289" s="296">
        <f t="shared" ca="1" si="102"/>
        <v>7257.8571639099564</v>
      </c>
      <c r="P289" s="296">
        <f t="shared" ca="1" si="102"/>
        <v>7141.386427079251</v>
      </c>
      <c r="Q289" s="296">
        <f t="shared" ca="1" si="102"/>
        <v>7036.8234988562835</v>
      </c>
      <c r="R289" s="296">
        <f t="shared" ca="1" si="102"/>
        <v>7193.5430207371046</v>
      </c>
    </row>
    <row r="290" spans="1:18" x14ac:dyDescent="0.3">
      <c r="B290" s="248" t="s">
        <v>452</v>
      </c>
      <c r="H290" s="288">
        <f t="shared" ref="H290:R290" ca="1" si="103">ROUND(H263-H289,3)</f>
        <v>0</v>
      </c>
      <c r="I290" s="288">
        <f t="shared" ca="1" si="103"/>
        <v>0</v>
      </c>
      <c r="J290" s="288">
        <f t="shared" ca="1" si="103"/>
        <v>0</v>
      </c>
      <c r="K290" s="288">
        <f t="shared" ca="1" si="103"/>
        <v>0</v>
      </c>
      <c r="L290" s="288">
        <f t="shared" ca="1" si="103"/>
        <v>0</v>
      </c>
      <c r="M290" s="288">
        <f t="shared" ca="1" si="103"/>
        <v>0</v>
      </c>
      <c r="N290" s="288">
        <f t="shared" ca="1" si="103"/>
        <v>0</v>
      </c>
      <c r="O290" s="288">
        <f t="shared" ca="1" si="103"/>
        <v>0</v>
      </c>
      <c r="P290" s="288">
        <f t="shared" ca="1" si="103"/>
        <v>0</v>
      </c>
      <c r="Q290" s="288">
        <f t="shared" ca="1" si="103"/>
        <v>0</v>
      </c>
      <c r="R290" s="288">
        <f t="shared" ca="1" si="103"/>
        <v>0</v>
      </c>
    </row>
    <row r="292" spans="1:18" ht="15.5" x14ac:dyDescent="0.35">
      <c r="A292" s="246" t="s">
        <v>31</v>
      </c>
      <c r="B292" s="265" t="s">
        <v>736</v>
      </c>
      <c r="C292" s="275"/>
      <c r="D292" s="275"/>
      <c r="E292" s="275"/>
      <c r="F292" s="275"/>
      <c r="G292" s="275"/>
      <c r="H292" s="275"/>
      <c r="I292" s="275"/>
      <c r="J292" s="275"/>
      <c r="K292" s="275"/>
      <c r="L292" s="275"/>
      <c r="M292" s="275"/>
      <c r="N292" s="275"/>
      <c r="O292" s="275"/>
      <c r="P292" s="275"/>
      <c r="Q292" s="275"/>
      <c r="R292" s="275"/>
    </row>
    <row r="293" spans="1:18" x14ac:dyDescent="0.3">
      <c r="B293" s="236" t="str">
        <f>$B$12</f>
        <v>($ in millions)</v>
      </c>
    </row>
    <row r="294" spans="1:18" x14ac:dyDescent="0.3">
      <c r="I294" s="326"/>
      <c r="J294" s="326"/>
      <c r="K294" s="326"/>
      <c r="L294" s="326"/>
      <c r="M294" s="326"/>
      <c r="N294" s="326"/>
      <c r="O294" s="326"/>
      <c r="P294" s="326"/>
      <c r="Q294" s="326"/>
      <c r="R294" s="326"/>
    </row>
    <row r="295" spans="1:18" x14ac:dyDescent="0.3">
      <c r="B295" s="276" t="str">
        <f>$B$140</f>
        <v>Base Case</v>
      </c>
    </row>
    <row r="296" spans="1:18" ht="13.5" thickBot="1" x14ac:dyDescent="0.35">
      <c r="B296" s="267"/>
      <c r="C296" s="267"/>
      <c r="D296" s="267"/>
      <c r="E296" s="267"/>
      <c r="F296" s="267"/>
      <c r="G296" s="267"/>
      <c r="H296" s="267"/>
      <c r="I296" s="267"/>
      <c r="J296" s="267"/>
      <c r="K296" s="267"/>
      <c r="L296" s="267"/>
      <c r="M296" s="267"/>
      <c r="N296" s="267"/>
      <c r="O296" s="267"/>
      <c r="P296" s="267"/>
      <c r="Q296" s="267"/>
      <c r="R296" s="267"/>
    </row>
    <row r="297" spans="1:18" x14ac:dyDescent="0.3">
      <c r="B297" s="236" t="str">
        <f>$B$142</f>
        <v>For the FYE December 27</v>
      </c>
      <c r="F297" s="268" t="s">
        <v>109</v>
      </c>
      <c r="G297" s="268"/>
      <c r="H297" s="277"/>
      <c r="I297" s="268" t="s">
        <v>364</v>
      </c>
      <c r="J297" s="268"/>
      <c r="K297" s="268"/>
      <c r="L297" s="268"/>
      <c r="M297" s="268"/>
      <c r="N297" s="268"/>
      <c r="O297" s="268"/>
      <c r="P297" s="278"/>
      <c r="Q297" s="278"/>
      <c r="R297" s="278"/>
    </row>
    <row r="298" spans="1:18" x14ac:dyDescent="0.3">
      <c r="B298" s="258"/>
      <c r="C298" s="258"/>
      <c r="D298" s="258"/>
      <c r="E298" s="258"/>
      <c r="F298" s="231">
        <f>F$143</f>
        <v>42003</v>
      </c>
      <c r="G298" s="231">
        <f>G$143</f>
        <v>42367</v>
      </c>
      <c r="H298" s="232">
        <f>H$143</f>
        <v>42731</v>
      </c>
      <c r="I298" s="231">
        <f t="shared" ref="I298:R298" si="104">DATE(YEAR(H298)+1,MONTH(H298),DAY(H298))</f>
        <v>43096</v>
      </c>
      <c r="J298" s="231">
        <f t="shared" si="104"/>
        <v>43461</v>
      </c>
      <c r="K298" s="231">
        <f t="shared" si="104"/>
        <v>43826</v>
      </c>
      <c r="L298" s="231">
        <f t="shared" si="104"/>
        <v>44192</v>
      </c>
      <c r="M298" s="231">
        <f t="shared" si="104"/>
        <v>44557</v>
      </c>
      <c r="N298" s="231">
        <f t="shared" si="104"/>
        <v>44922</v>
      </c>
      <c r="O298" s="231">
        <f t="shared" si="104"/>
        <v>45287</v>
      </c>
      <c r="P298" s="231">
        <f t="shared" si="104"/>
        <v>45653</v>
      </c>
      <c r="Q298" s="231">
        <f t="shared" si="104"/>
        <v>46018</v>
      </c>
      <c r="R298" s="231">
        <f t="shared" si="104"/>
        <v>46383</v>
      </c>
    </row>
    <row r="299" spans="1:18" x14ac:dyDescent="0.3">
      <c r="B299" s="270" t="s">
        <v>434</v>
      </c>
      <c r="H299" s="255"/>
    </row>
    <row r="300" spans="1:18" x14ac:dyDescent="0.3">
      <c r="B300" s="261" t="s">
        <v>436</v>
      </c>
      <c r="G300" s="282" t="s">
        <v>437</v>
      </c>
      <c r="H300" s="314" t="s">
        <v>438</v>
      </c>
    </row>
    <row r="301" spans="1:18" x14ac:dyDescent="0.3">
      <c r="B301" s="279" t="s">
        <v>371</v>
      </c>
      <c r="G301" s="282"/>
      <c r="H301" s="228">
        <f>M22</f>
        <v>6.3899999999999998E-2</v>
      </c>
      <c r="I301" s="233">
        <f t="shared" ref="I301:R301" si="105">H301</f>
        <v>6.3899999999999998E-2</v>
      </c>
      <c r="J301" s="233">
        <f t="shared" si="105"/>
        <v>6.3899999999999998E-2</v>
      </c>
      <c r="K301" s="233">
        <f t="shared" si="105"/>
        <v>6.3899999999999998E-2</v>
      </c>
      <c r="L301" s="233">
        <f t="shared" si="105"/>
        <v>6.3899999999999998E-2</v>
      </c>
      <c r="M301" s="233">
        <f t="shared" si="105"/>
        <v>6.3899999999999998E-2</v>
      </c>
      <c r="N301" s="233">
        <f t="shared" si="105"/>
        <v>6.3899999999999998E-2</v>
      </c>
      <c r="O301" s="233">
        <f t="shared" si="105"/>
        <v>6.3899999999999998E-2</v>
      </c>
      <c r="P301" s="233">
        <f t="shared" si="105"/>
        <v>6.3899999999999998E-2</v>
      </c>
      <c r="Q301" s="233">
        <f t="shared" si="105"/>
        <v>6.3899999999999998E-2</v>
      </c>
      <c r="R301" s="233">
        <f t="shared" si="105"/>
        <v>6.3899999999999998E-2</v>
      </c>
    </row>
    <row r="302" spans="1:18" x14ac:dyDescent="0.3">
      <c r="B302" s="279" t="s">
        <v>195</v>
      </c>
      <c r="H302" s="228">
        <f>M15</f>
        <v>3.7069000000000005E-2</v>
      </c>
      <c r="I302" s="233">
        <f t="shared" ref="I302:R302" si="106">H302</f>
        <v>3.7069000000000005E-2</v>
      </c>
      <c r="J302" s="233">
        <f t="shared" si="106"/>
        <v>3.7069000000000005E-2</v>
      </c>
      <c r="K302" s="233">
        <f t="shared" si="106"/>
        <v>3.7069000000000005E-2</v>
      </c>
      <c r="L302" s="233">
        <f t="shared" si="106"/>
        <v>3.7069000000000005E-2</v>
      </c>
      <c r="M302" s="233">
        <f t="shared" si="106"/>
        <v>3.7069000000000005E-2</v>
      </c>
      <c r="N302" s="233">
        <f t="shared" si="106"/>
        <v>3.7069000000000005E-2</v>
      </c>
      <c r="O302" s="233">
        <f t="shared" si="106"/>
        <v>3.7069000000000005E-2</v>
      </c>
      <c r="P302" s="233">
        <f t="shared" si="106"/>
        <v>3.7069000000000005E-2</v>
      </c>
      <c r="Q302" s="233">
        <f t="shared" si="106"/>
        <v>3.7069000000000005E-2</v>
      </c>
      <c r="R302" s="233">
        <f t="shared" si="106"/>
        <v>3.7069000000000005E-2</v>
      </c>
    </row>
    <row r="303" spans="1:18" x14ac:dyDescent="0.3">
      <c r="B303" s="279" t="s">
        <v>196</v>
      </c>
      <c r="H303" s="228">
        <f>M16</f>
        <v>6.3E-2</v>
      </c>
      <c r="I303" s="233">
        <f t="shared" ref="I303:R303" si="107">H303</f>
        <v>6.3E-2</v>
      </c>
      <c r="J303" s="233">
        <f t="shared" si="107"/>
        <v>6.3E-2</v>
      </c>
      <c r="K303" s="233">
        <f t="shared" si="107"/>
        <v>6.3E-2</v>
      </c>
      <c r="L303" s="233">
        <f t="shared" si="107"/>
        <v>6.3E-2</v>
      </c>
      <c r="M303" s="233">
        <f t="shared" si="107"/>
        <v>6.3E-2</v>
      </c>
      <c r="N303" s="233">
        <f t="shared" si="107"/>
        <v>6.3E-2</v>
      </c>
      <c r="O303" s="233">
        <f t="shared" si="107"/>
        <v>6.3E-2</v>
      </c>
      <c r="P303" s="233">
        <f t="shared" si="107"/>
        <v>6.3E-2</v>
      </c>
      <c r="Q303" s="233">
        <f t="shared" si="107"/>
        <v>6.3E-2</v>
      </c>
      <c r="R303" s="233">
        <f t="shared" si="107"/>
        <v>6.3E-2</v>
      </c>
    </row>
    <row r="304" spans="1:18" x14ac:dyDescent="0.3">
      <c r="B304" s="279" t="s">
        <v>197</v>
      </c>
      <c r="H304" s="228">
        <f>M17</f>
        <v>9.5000000000000001E-2</v>
      </c>
      <c r="I304" s="233">
        <f t="shared" ref="I304:R304" si="108">H304</f>
        <v>9.5000000000000001E-2</v>
      </c>
      <c r="J304" s="233">
        <f t="shared" si="108"/>
        <v>9.5000000000000001E-2</v>
      </c>
      <c r="K304" s="233">
        <f t="shared" si="108"/>
        <v>9.5000000000000001E-2</v>
      </c>
      <c r="L304" s="233">
        <f t="shared" si="108"/>
        <v>9.5000000000000001E-2</v>
      </c>
      <c r="M304" s="233">
        <f t="shared" si="108"/>
        <v>9.5000000000000001E-2</v>
      </c>
      <c r="N304" s="233">
        <f t="shared" si="108"/>
        <v>9.5000000000000001E-2</v>
      </c>
      <c r="O304" s="233">
        <f t="shared" si="108"/>
        <v>9.5000000000000001E-2</v>
      </c>
      <c r="P304" s="233">
        <f t="shared" si="108"/>
        <v>9.5000000000000001E-2</v>
      </c>
      <c r="Q304" s="233">
        <f t="shared" si="108"/>
        <v>9.5000000000000001E-2</v>
      </c>
      <c r="R304" s="233">
        <f t="shared" si="108"/>
        <v>9.5000000000000001E-2</v>
      </c>
    </row>
    <row r="305" spans="1:18" x14ac:dyDescent="0.3">
      <c r="B305" s="279"/>
      <c r="H305" s="230"/>
    </row>
    <row r="306" spans="1:18" x14ac:dyDescent="0.3">
      <c r="B306" s="302" t="s">
        <v>418</v>
      </c>
      <c r="H306" s="230"/>
    </row>
    <row r="307" spans="1:18" x14ac:dyDescent="0.3">
      <c r="B307" s="279" t="s">
        <v>371</v>
      </c>
      <c r="H307" s="230"/>
      <c r="I307" s="248">
        <f t="shared" ref="I307:R307" ca="1" si="109">I301*AVERAGE(H271:I271)</f>
        <v>0</v>
      </c>
      <c r="J307" s="248">
        <f t="shared" ca="1" si="109"/>
        <v>0</v>
      </c>
      <c r="K307" s="248">
        <f t="shared" ca="1" si="109"/>
        <v>0</v>
      </c>
      <c r="L307" s="248">
        <f t="shared" ca="1" si="109"/>
        <v>0</v>
      </c>
      <c r="M307" s="248">
        <f t="shared" ca="1" si="109"/>
        <v>0</v>
      </c>
      <c r="N307" s="248">
        <f t="shared" ca="1" si="109"/>
        <v>0</v>
      </c>
      <c r="O307" s="248">
        <f t="shared" ca="1" si="109"/>
        <v>0</v>
      </c>
      <c r="P307" s="248">
        <f t="shared" ca="1" si="109"/>
        <v>0</v>
      </c>
      <c r="Q307" s="248">
        <f t="shared" ca="1" si="109"/>
        <v>0</v>
      </c>
      <c r="R307" s="248">
        <f t="shared" ca="1" si="109"/>
        <v>0</v>
      </c>
    </row>
    <row r="308" spans="1:18" x14ac:dyDescent="0.3">
      <c r="B308" s="279" t="s">
        <v>195</v>
      </c>
      <c r="H308" s="230"/>
      <c r="I308" s="248">
        <f t="shared" ref="I308:R308" ca="1" si="110">I302*AVERAGE(H272:I272)</f>
        <v>27.242869609162362</v>
      </c>
      <c r="J308" s="248">
        <f t="shared" ca="1" si="110"/>
        <v>23.965300508206063</v>
      </c>
      <c r="K308" s="248">
        <f t="shared" ca="1" si="110"/>
        <v>17.586924981183092</v>
      </c>
      <c r="L308" s="248">
        <f t="shared" ca="1" si="110"/>
        <v>8.827157814982094</v>
      </c>
      <c r="M308" s="248">
        <f t="shared" ca="1" si="110"/>
        <v>1.8635449350623077</v>
      </c>
      <c r="N308" s="248">
        <f t="shared" ca="1" si="110"/>
        <v>-1.2211864344635617E-11</v>
      </c>
      <c r="O308" s="248">
        <f t="shared" ca="1" si="110"/>
        <v>2.0911882651830641E-10</v>
      </c>
      <c r="P308" s="248">
        <f t="shared" ca="1" si="110"/>
        <v>-8.7267999128926034E-10</v>
      </c>
      <c r="Q308" s="248">
        <f t="shared" ca="1" si="110"/>
        <v>-2.4690607073978302E-9</v>
      </c>
      <c r="R308" s="248">
        <f t="shared" ca="1" si="110"/>
        <v>-2.4665373154306284E-8</v>
      </c>
    </row>
    <row r="309" spans="1:18" x14ac:dyDescent="0.3">
      <c r="B309" s="279" t="s">
        <v>196</v>
      </c>
      <c r="H309" s="230"/>
      <c r="I309" s="248">
        <f t="shared" ref="I309:R309" ca="1" si="111">I303*AVERAGE(H273:I273)</f>
        <v>141.75005686238683</v>
      </c>
      <c r="J309" s="248">
        <f t="shared" ca="1" si="111"/>
        <v>141.75005686238683</v>
      </c>
      <c r="K309" s="248">
        <f t="shared" ca="1" si="111"/>
        <v>141.75005686238683</v>
      </c>
      <c r="L309" s="248">
        <f t="shared" ca="1" si="111"/>
        <v>141.75005686238683</v>
      </c>
      <c r="M309" s="248">
        <f t="shared" ca="1" si="111"/>
        <v>134.97881420269619</v>
      </c>
      <c r="N309" s="248">
        <f t="shared" ca="1" si="111"/>
        <v>116.98053172133724</v>
      </c>
      <c r="O309" s="248">
        <f t="shared" ca="1" si="111"/>
        <v>93.104695800524908</v>
      </c>
      <c r="P309" s="248">
        <f t="shared" ca="1" si="111"/>
        <v>66.224795986943533</v>
      </c>
      <c r="Q309" s="248">
        <f t="shared" ca="1" si="111"/>
        <v>36.024879935319674</v>
      </c>
      <c r="R309" s="248">
        <f t="shared" ca="1" si="111"/>
        <v>10.028033839147458</v>
      </c>
    </row>
    <row r="310" spans="1:18" x14ac:dyDescent="0.3">
      <c r="B310" s="279" t="s">
        <v>197</v>
      </c>
      <c r="H310" s="230"/>
      <c r="I310" s="248">
        <f t="shared" ref="I310:R310" ca="1" si="112">I304*AVERAGE(H274:I274)</f>
        <v>0</v>
      </c>
      <c r="J310" s="248">
        <f t="shared" ca="1" si="112"/>
        <v>0</v>
      </c>
      <c r="K310" s="248">
        <f t="shared" ca="1" si="112"/>
        <v>0</v>
      </c>
      <c r="L310" s="248">
        <f t="shared" ca="1" si="112"/>
        <v>0</v>
      </c>
      <c r="M310" s="248">
        <f t="shared" ca="1" si="112"/>
        <v>0</v>
      </c>
      <c r="N310" s="248">
        <f t="shared" ca="1" si="112"/>
        <v>0</v>
      </c>
      <c r="O310" s="248">
        <f t="shared" ca="1" si="112"/>
        <v>0</v>
      </c>
      <c r="P310" s="248">
        <f t="shared" ca="1" si="112"/>
        <v>0</v>
      </c>
      <c r="Q310" s="248">
        <f t="shared" ca="1" si="112"/>
        <v>0</v>
      </c>
      <c r="R310" s="248">
        <f t="shared" ca="1" si="112"/>
        <v>0</v>
      </c>
    </row>
    <row r="311" spans="1:18" s="256" customFormat="1" x14ac:dyDescent="0.3">
      <c r="A311" s="249"/>
      <c r="B311" s="303" t="s">
        <v>419</v>
      </c>
      <c r="C311" s="304"/>
      <c r="D311" s="304"/>
      <c r="E311" s="304"/>
      <c r="F311" s="304"/>
      <c r="G311" s="304"/>
      <c r="H311" s="313"/>
      <c r="I311" s="305">
        <f t="shared" ref="I311:R311" ca="1" si="113">SUM(I307:I310)</f>
        <v>168.9929264715492</v>
      </c>
      <c r="J311" s="305">
        <f t="shared" ca="1" si="113"/>
        <v>165.7153573705929</v>
      </c>
      <c r="K311" s="305">
        <f t="shared" ca="1" si="113"/>
        <v>159.33698184356993</v>
      </c>
      <c r="L311" s="305">
        <f t="shared" ca="1" si="113"/>
        <v>150.57721467736891</v>
      </c>
      <c r="M311" s="305">
        <f t="shared" ca="1" si="113"/>
        <v>136.84235913775848</v>
      </c>
      <c r="N311" s="305">
        <f t="shared" ca="1" si="113"/>
        <v>116.98053172132504</v>
      </c>
      <c r="O311" s="305">
        <f t="shared" ca="1" si="113"/>
        <v>93.104695800734021</v>
      </c>
      <c r="P311" s="305">
        <f t="shared" ca="1" si="113"/>
        <v>66.224795986070859</v>
      </c>
      <c r="Q311" s="305">
        <f t="shared" ca="1" si="113"/>
        <v>36.024879932850617</v>
      </c>
      <c r="R311" s="305">
        <f t="shared" ca="1" si="113"/>
        <v>10.028033814482084</v>
      </c>
    </row>
    <row r="312" spans="1:18" s="256" customFormat="1" x14ac:dyDescent="0.3">
      <c r="A312" s="249"/>
      <c r="B312" s="303" t="s">
        <v>935</v>
      </c>
      <c r="H312" s="312"/>
      <c r="I312" s="719">
        <f t="shared" ref="I312:R312" ca="1" si="114">I311/((H275+I275)/2)</f>
        <v>5.661548446806304E-2</v>
      </c>
      <c r="J312" s="719">
        <f t="shared" ca="1" si="114"/>
        <v>5.7212155838922113E-2</v>
      </c>
      <c r="K312" s="719">
        <f t="shared" ca="1" si="114"/>
        <v>5.8484339250158328E-2</v>
      </c>
      <c r="L312" s="719">
        <f t="shared" ca="1" si="114"/>
        <v>6.0518259018822858E-2</v>
      </c>
      <c r="M312" s="719">
        <f t="shared" ca="1" si="114"/>
        <v>6.2405501736301494E-2</v>
      </c>
      <c r="N312" s="719">
        <f t="shared" ca="1" si="114"/>
        <v>6.3000000000004608E-2</v>
      </c>
      <c r="O312" s="719">
        <f t="shared" ca="1" si="114"/>
        <v>6.299999999990101E-2</v>
      </c>
      <c r="P312" s="719">
        <f t="shared" ca="1" si="114"/>
        <v>6.3000000000580758E-2</v>
      </c>
      <c r="Q312" s="719">
        <f t="shared" ca="1" si="114"/>
        <v>6.3000000003020501E-2</v>
      </c>
      <c r="R312" s="719">
        <f t="shared" ca="1" si="114"/>
        <v>6.3000000108397902E-2</v>
      </c>
    </row>
    <row r="313" spans="1:18" x14ac:dyDescent="0.3">
      <c r="B313" s="248" t="s">
        <v>435</v>
      </c>
      <c r="H313" s="228">
        <f>M14</f>
        <v>0.03</v>
      </c>
      <c r="I313" s="233">
        <f t="shared" ref="I313:R313" si="115">H313</f>
        <v>0.03</v>
      </c>
      <c r="J313" s="233">
        <f t="shared" si="115"/>
        <v>0.03</v>
      </c>
      <c r="K313" s="233">
        <f t="shared" si="115"/>
        <v>0.03</v>
      </c>
      <c r="L313" s="233">
        <f t="shared" si="115"/>
        <v>0.03</v>
      </c>
      <c r="M313" s="233">
        <f t="shared" si="115"/>
        <v>0.03</v>
      </c>
      <c r="N313" s="233">
        <f t="shared" si="115"/>
        <v>0.03</v>
      </c>
      <c r="O313" s="233">
        <f t="shared" si="115"/>
        <v>0.03</v>
      </c>
      <c r="P313" s="233">
        <f t="shared" si="115"/>
        <v>0.03</v>
      </c>
      <c r="Q313" s="233">
        <f t="shared" si="115"/>
        <v>0.03</v>
      </c>
      <c r="R313" s="233">
        <f t="shared" si="115"/>
        <v>0.03</v>
      </c>
    </row>
    <row r="314" spans="1:18" x14ac:dyDescent="0.3">
      <c r="B314" s="285" t="s">
        <v>457</v>
      </c>
      <c r="H314" s="230"/>
      <c r="I314" s="248">
        <f t="shared" ref="I314:R314" ca="1" si="116">I313*AVERAGE(H247:I247)</f>
        <v>0.64024649999999994</v>
      </c>
      <c r="J314" s="248">
        <f t="shared" ca="1" si="116"/>
        <v>0.64024650000000005</v>
      </c>
      <c r="K314" s="248">
        <f t="shared" ca="1" si="116"/>
        <v>0.64024650000000005</v>
      </c>
      <c r="L314" s="248">
        <f t="shared" ca="1" si="116"/>
        <v>0.64024650000000005</v>
      </c>
      <c r="M314" s="248">
        <f t="shared" ca="1" si="116"/>
        <v>0.64024650000000005</v>
      </c>
      <c r="N314" s="248">
        <f t="shared" ca="1" si="116"/>
        <v>0.64024650000000005</v>
      </c>
      <c r="O314" s="248">
        <f t="shared" ca="1" si="116"/>
        <v>0.64024650000000005</v>
      </c>
      <c r="P314" s="248">
        <f t="shared" ca="1" si="116"/>
        <v>0.64024650000000005</v>
      </c>
      <c r="Q314" s="248">
        <f t="shared" ca="1" si="116"/>
        <v>0.64024650000000005</v>
      </c>
      <c r="R314" s="248">
        <f t="shared" ca="1" si="116"/>
        <v>4.3844665490668433</v>
      </c>
    </row>
    <row r="315" spans="1:18" s="256" customFormat="1" x14ac:dyDescent="0.3">
      <c r="A315" s="249"/>
      <c r="B315" s="306"/>
      <c r="H315" s="312"/>
      <c r="I315" s="295"/>
      <c r="J315" s="295"/>
      <c r="K315" s="295"/>
      <c r="L315" s="295"/>
      <c r="M315" s="295"/>
      <c r="N315" s="295"/>
      <c r="O315" s="295"/>
      <c r="P315" s="295"/>
      <c r="Q315" s="295"/>
      <c r="R315" s="295"/>
    </row>
    <row r="316" spans="1:18" x14ac:dyDescent="0.3">
      <c r="B316" s="270" t="s">
        <v>439</v>
      </c>
      <c r="H316" s="230"/>
    </row>
    <row r="317" spans="1:18" x14ac:dyDescent="0.3">
      <c r="B317" s="248" t="s">
        <v>258</v>
      </c>
      <c r="G317" s="248">
        <f t="shared" ref="G317:R317" si="117">G298-F298</f>
        <v>364</v>
      </c>
      <c r="H317" s="230">
        <f t="shared" si="117"/>
        <v>364</v>
      </c>
      <c r="I317" s="248">
        <f t="shared" si="117"/>
        <v>365</v>
      </c>
      <c r="J317" s="248">
        <f t="shared" si="117"/>
        <v>365</v>
      </c>
      <c r="K317" s="248">
        <f t="shared" si="117"/>
        <v>365</v>
      </c>
      <c r="L317" s="248">
        <f t="shared" si="117"/>
        <v>366</v>
      </c>
      <c r="M317" s="248">
        <f t="shared" si="117"/>
        <v>365</v>
      </c>
      <c r="N317" s="248">
        <f t="shared" si="117"/>
        <v>365</v>
      </c>
      <c r="O317" s="248">
        <f t="shared" si="117"/>
        <v>365</v>
      </c>
      <c r="P317" s="248">
        <f t="shared" si="117"/>
        <v>366</v>
      </c>
      <c r="Q317" s="248">
        <f t="shared" si="117"/>
        <v>365</v>
      </c>
      <c r="R317" s="248">
        <f t="shared" si="117"/>
        <v>365</v>
      </c>
    </row>
    <row r="318" spans="1:18" x14ac:dyDescent="0.3">
      <c r="B318" s="270"/>
      <c r="H318" s="230"/>
    </row>
    <row r="319" spans="1:18" x14ac:dyDescent="0.3">
      <c r="B319" s="248" t="s">
        <v>441</v>
      </c>
      <c r="G319" s="248">
        <f>F85</f>
        <v>115.786</v>
      </c>
      <c r="H319" s="230">
        <f>H85</f>
        <v>112.923</v>
      </c>
      <c r="I319" s="248">
        <f t="shared" ref="I319:R319" ca="1" si="118">I320/I317*I148</f>
        <v>116.18390176125247</v>
      </c>
      <c r="J319" s="248">
        <f t="shared" ca="1" si="118"/>
        <v>125.85986845401179</v>
      </c>
      <c r="K319" s="248">
        <f t="shared" ca="1" si="118"/>
        <v>137.75029589041102</v>
      </c>
      <c r="L319" s="248">
        <f t="shared" ca="1" si="118"/>
        <v>158.23681939890716</v>
      </c>
      <c r="M319" s="248">
        <f t="shared" ca="1" si="118"/>
        <v>172.26881972602746</v>
      </c>
      <c r="N319" s="248">
        <f t="shared" ca="1" si="118"/>
        <v>187.52531661158829</v>
      </c>
      <c r="O319" s="248">
        <f t="shared" ca="1" si="118"/>
        <v>204.66918330417391</v>
      </c>
      <c r="P319" s="248">
        <f t="shared" ca="1" si="118"/>
        <v>223.35368591942904</v>
      </c>
      <c r="Q319" s="248">
        <f t="shared" ca="1" si="118"/>
        <v>245.72175388024931</v>
      </c>
      <c r="R319" s="248">
        <f t="shared" ca="1" si="118"/>
        <v>270.29392926827427</v>
      </c>
    </row>
    <row r="320" spans="1:18" s="236" customFormat="1" x14ac:dyDescent="0.3">
      <c r="A320" s="283"/>
      <c r="B320" s="284" t="s">
        <v>260</v>
      </c>
      <c r="G320" s="236">
        <f>G319/G$148*G317</f>
        <v>15.716892279924522</v>
      </c>
      <c r="H320" s="311">
        <f>AVERAGE(G319:H319)/H$148*H317</f>
        <v>14.890734483689963</v>
      </c>
      <c r="I320" s="237">
        <v>14.9</v>
      </c>
      <c r="J320" s="236">
        <f t="shared" ref="J320:R320" si="119">I320</f>
        <v>14.9</v>
      </c>
      <c r="K320" s="236">
        <f t="shared" si="119"/>
        <v>14.9</v>
      </c>
      <c r="L320" s="236">
        <f t="shared" si="119"/>
        <v>14.9</v>
      </c>
      <c r="M320" s="236">
        <f t="shared" si="119"/>
        <v>14.9</v>
      </c>
      <c r="N320" s="236">
        <f t="shared" si="119"/>
        <v>14.9</v>
      </c>
      <c r="O320" s="236">
        <f t="shared" si="119"/>
        <v>14.9</v>
      </c>
      <c r="P320" s="236">
        <f t="shared" si="119"/>
        <v>14.9</v>
      </c>
      <c r="Q320" s="236">
        <f t="shared" si="119"/>
        <v>14.9</v>
      </c>
      <c r="R320" s="236">
        <f t="shared" si="119"/>
        <v>14.9</v>
      </c>
    </row>
    <row r="321" spans="1:20" x14ac:dyDescent="0.3">
      <c r="B321" s="248" t="s">
        <v>40</v>
      </c>
      <c r="G321" s="248">
        <f>F86</f>
        <v>22.481999999999999</v>
      </c>
      <c r="H321" s="230">
        <f>H86</f>
        <v>23.774999999999999</v>
      </c>
      <c r="I321" s="248">
        <f t="shared" ref="I321:R321" ca="1" si="120">I322/I317*I157</f>
        <v>23.084969570254412</v>
      </c>
      <c r="J321" s="248">
        <f t="shared" ca="1" si="120"/>
        <v>24.884866317495113</v>
      </c>
      <c r="K321" s="248">
        <f t="shared" ca="1" si="120"/>
        <v>26.970716339726035</v>
      </c>
      <c r="L321" s="248">
        <f t="shared" ca="1" si="120"/>
        <v>31.134627150819679</v>
      </c>
      <c r="M321" s="248">
        <f t="shared" ca="1" si="120"/>
        <v>33.829239434520559</v>
      </c>
      <c r="N321" s="248">
        <f t="shared" ca="1" si="120"/>
        <v>36.825229578845416</v>
      </c>
      <c r="O321" s="248">
        <f t="shared" ca="1" si="120"/>
        <v>40.191851420797676</v>
      </c>
      <c r="P321" s="248">
        <f t="shared" ca="1" si="120"/>
        <v>43.861015194553381</v>
      </c>
      <c r="Q321" s="248">
        <f t="shared" ca="1" si="120"/>
        <v>48.253538043073782</v>
      </c>
      <c r="R321" s="248">
        <f t="shared" ca="1" si="120"/>
        <v>53.078891847381151</v>
      </c>
    </row>
    <row r="322" spans="1:20" s="236" customFormat="1" x14ac:dyDescent="0.3">
      <c r="A322" s="283"/>
      <c r="B322" s="284" t="s">
        <v>446</v>
      </c>
      <c r="G322" s="236">
        <f>G321/G157*G317</f>
        <v>3.8321226024789654</v>
      </c>
      <c r="H322" s="311">
        <f>AVERAGE(G321:H321)/H157*H317</f>
        <v>3.8173456062392308</v>
      </c>
      <c r="I322" s="237">
        <v>3.8</v>
      </c>
      <c r="J322" s="236">
        <f t="shared" ref="J322:R322" si="121">I322</f>
        <v>3.8</v>
      </c>
      <c r="K322" s="236">
        <f t="shared" si="121"/>
        <v>3.8</v>
      </c>
      <c r="L322" s="236">
        <f t="shared" si="121"/>
        <v>3.8</v>
      </c>
      <c r="M322" s="236">
        <f t="shared" si="121"/>
        <v>3.8</v>
      </c>
      <c r="N322" s="236">
        <f t="shared" si="121"/>
        <v>3.8</v>
      </c>
      <c r="O322" s="236">
        <f t="shared" si="121"/>
        <v>3.8</v>
      </c>
      <c r="P322" s="236">
        <f t="shared" si="121"/>
        <v>3.8</v>
      </c>
      <c r="Q322" s="236">
        <f t="shared" si="121"/>
        <v>3.8</v>
      </c>
      <c r="R322" s="236">
        <f t="shared" si="121"/>
        <v>3.8</v>
      </c>
    </row>
    <row r="323" spans="1:20" x14ac:dyDescent="0.3">
      <c r="B323" s="285" t="s">
        <v>442</v>
      </c>
      <c r="G323" s="248">
        <f>F87</f>
        <v>59.457000000000001</v>
      </c>
      <c r="H323" s="230">
        <f>H87</f>
        <v>69.194000000000003</v>
      </c>
      <c r="I323" s="248">
        <f t="shared" ref="I323:R323" ca="1" si="122">I324*(I160+I161)</f>
        <v>63.866836628571455</v>
      </c>
      <c r="J323" s="248">
        <f t="shared" ca="1" si="122"/>
        <v>69.185760977142891</v>
      </c>
      <c r="K323" s="248">
        <f t="shared" ca="1" si="122"/>
        <v>75.721984800000044</v>
      </c>
      <c r="L323" s="248">
        <f t="shared" ca="1" si="122"/>
        <v>87.221834040000047</v>
      </c>
      <c r="M323" s="248">
        <f t="shared" ca="1" si="122"/>
        <v>94.696979520000056</v>
      </c>
      <c r="N323" s="248">
        <f t="shared" ca="1" si="122"/>
        <v>103.08354753281041</v>
      </c>
      <c r="O323" s="248">
        <f t="shared" ca="1" si="122"/>
        <v>112.50761159538034</v>
      </c>
      <c r="P323" s="248">
        <f t="shared" ca="1" si="122"/>
        <v>123.11495010763137</v>
      </c>
      <c r="Q323" s="248">
        <f t="shared" ca="1" si="122"/>
        <v>135.07440250547452</v>
      </c>
      <c r="R323" s="248">
        <f t="shared" ca="1" si="122"/>
        <v>148.58184275602196</v>
      </c>
    </row>
    <row r="324" spans="1:20" x14ac:dyDescent="0.3">
      <c r="B324" s="279" t="s">
        <v>443</v>
      </c>
      <c r="G324" s="229">
        <f>G323/(G160+G161)</f>
        <v>0.39118248866724126</v>
      </c>
      <c r="H324" s="227">
        <f>AVERAGE(G323:H323)/(H160+H161)</f>
        <v>0.34440101726676486</v>
      </c>
      <c r="I324" s="235">
        <v>0.34</v>
      </c>
      <c r="J324" s="229">
        <f t="shared" ref="J324:R324" si="123">I324</f>
        <v>0.34</v>
      </c>
      <c r="K324" s="229">
        <f t="shared" si="123"/>
        <v>0.34</v>
      </c>
      <c r="L324" s="229">
        <f t="shared" si="123"/>
        <v>0.34</v>
      </c>
      <c r="M324" s="229">
        <f t="shared" si="123"/>
        <v>0.34</v>
      </c>
      <c r="N324" s="229">
        <f t="shared" si="123"/>
        <v>0.34</v>
      </c>
      <c r="O324" s="229">
        <f t="shared" si="123"/>
        <v>0.34</v>
      </c>
      <c r="P324" s="229">
        <f t="shared" si="123"/>
        <v>0.34</v>
      </c>
      <c r="Q324" s="229">
        <f t="shared" si="123"/>
        <v>0.34</v>
      </c>
      <c r="R324" s="229">
        <f t="shared" si="123"/>
        <v>0.34</v>
      </c>
    </row>
    <row r="325" spans="1:20" x14ac:dyDescent="0.3">
      <c r="B325" s="285" t="s">
        <v>444</v>
      </c>
      <c r="G325" s="248">
        <f>F103</f>
        <v>19.805</v>
      </c>
      <c r="H325" s="230">
        <f>H103</f>
        <v>22.454999999999998</v>
      </c>
      <c r="I325" s="248">
        <f t="shared" ref="I325:R325" ca="1" si="124">I326/I317*I157</f>
        <v>21.26247197260275</v>
      </c>
      <c r="J325" s="248">
        <f t="shared" ca="1" si="124"/>
        <v>22.920271608219185</v>
      </c>
      <c r="K325" s="248">
        <f t="shared" ca="1" si="124"/>
        <v>24.841449260273983</v>
      </c>
      <c r="L325" s="248">
        <f t="shared" ca="1" si="124"/>
        <v>28.676630270491813</v>
      </c>
      <c r="M325" s="248">
        <f t="shared" ca="1" si="124"/>
        <v>31.15851000547946</v>
      </c>
      <c r="N325" s="248">
        <f t="shared" ca="1" si="124"/>
        <v>33.917974612094461</v>
      </c>
      <c r="O325" s="248">
        <f t="shared" ca="1" si="124"/>
        <v>37.018810519155757</v>
      </c>
      <c r="P325" s="248">
        <f t="shared" ca="1" si="124"/>
        <v>40.398303468667592</v>
      </c>
      <c r="Q325" s="248">
        <f t="shared" ca="1" si="124"/>
        <v>44.444048197567959</v>
      </c>
      <c r="R325" s="248">
        <f t="shared" ca="1" si="124"/>
        <v>48.88845301732475</v>
      </c>
    </row>
    <row r="326" spans="1:20" s="236" customFormat="1" x14ac:dyDescent="0.3">
      <c r="A326" s="283"/>
      <c r="B326" s="284" t="s">
        <v>262</v>
      </c>
      <c r="G326" s="236">
        <f>G325/G157*G317</f>
        <v>3.3758201290853096</v>
      </c>
      <c r="H326" s="311">
        <f>AVERAGE(G325:H325)/H157*H317</f>
        <v>3.4874943320939509</v>
      </c>
      <c r="I326" s="237">
        <v>3.5</v>
      </c>
      <c r="J326" s="236">
        <f t="shared" ref="J326:R326" si="125">I326</f>
        <v>3.5</v>
      </c>
      <c r="K326" s="236">
        <f t="shared" si="125"/>
        <v>3.5</v>
      </c>
      <c r="L326" s="236">
        <f t="shared" si="125"/>
        <v>3.5</v>
      </c>
      <c r="M326" s="236">
        <f t="shared" si="125"/>
        <v>3.5</v>
      </c>
      <c r="N326" s="236">
        <f t="shared" si="125"/>
        <v>3.5</v>
      </c>
      <c r="O326" s="236">
        <f t="shared" si="125"/>
        <v>3.5</v>
      </c>
      <c r="P326" s="236">
        <f t="shared" si="125"/>
        <v>3.5</v>
      </c>
      <c r="Q326" s="236">
        <f t="shared" si="125"/>
        <v>3.5</v>
      </c>
      <c r="R326" s="236">
        <f t="shared" si="125"/>
        <v>3.5</v>
      </c>
    </row>
    <row r="327" spans="1:20" x14ac:dyDescent="0.3">
      <c r="B327" s="248" t="s">
        <v>445</v>
      </c>
      <c r="G327" s="248">
        <f>F104</f>
        <v>359.464</v>
      </c>
      <c r="H327" s="230">
        <f>H104</f>
        <v>408.637</v>
      </c>
      <c r="I327" s="248">
        <f t="shared" ref="I327:R327" ca="1" si="126">I328*(I157+I160+I161)</f>
        <v>384.83451428571448</v>
      </c>
      <c r="J327" s="248">
        <f t="shared" ca="1" si="126"/>
        <v>414.99910857142868</v>
      </c>
      <c r="K327" s="248">
        <f t="shared" ca="1" si="126"/>
        <v>450.13120000000021</v>
      </c>
      <c r="L327" s="248">
        <f t="shared" ca="1" si="126"/>
        <v>520.84656000000018</v>
      </c>
      <c r="M327" s="248">
        <f t="shared" ca="1" si="126"/>
        <v>564.46528000000012</v>
      </c>
      <c r="N327" s="248">
        <f t="shared" ca="1" si="126"/>
        <v>614.45553824884166</v>
      </c>
      <c r="O327" s="248">
        <f t="shared" ca="1" si="126"/>
        <v>670.63005391745344</v>
      </c>
      <c r="P327" s="248">
        <f t="shared" ca="1" si="126"/>
        <v>733.85777600238043</v>
      </c>
      <c r="Q327" s="248">
        <f t="shared" ca="1" si="126"/>
        <v>805.14511463359258</v>
      </c>
      <c r="R327" s="248">
        <f t="shared" ca="1" si="126"/>
        <v>885.65962609695168</v>
      </c>
    </row>
    <row r="328" spans="1:20" x14ac:dyDescent="0.3">
      <c r="B328" s="279" t="s">
        <v>271</v>
      </c>
      <c r="G328" s="229">
        <f>G327/(G157+G160+G161)</f>
        <v>0.1571441061779775</v>
      </c>
      <c r="H328" s="228">
        <f>AVERAGE(G327:H327)/(H157+H160+H161)</f>
        <v>0.1605444835766614</v>
      </c>
      <c r="I328" s="235">
        <v>0.16</v>
      </c>
      <c r="J328" s="229">
        <f t="shared" ref="J328:R328" si="127">I328</f>
        <v>0.16</v>
      </c>
      <c r="K328" s="229">
        <f t="shared" si="127"/>
        <v>0.16</v>
      </c>
      <c r="L328" s="229">
        <f t="shared" si="127"/>
        <v>0.16</v>
      </c>
      <c r="M328" s="229">
        <f t="shared" si="127"/>
        <v>0.16</v>
      </c>
      <c r="N328" s="229">
        <f t="shared" si="127"/>
        <v>0.16</v>
      </c>
      <c r="O328" s="229">
        <f t="shared" si="127"/>
        <v>0.16</v>
      </c>
      <c r="P328" s="229">
        <f t="shared" si="127"/>
        <v>0.16</v>
      </c>
      <c r="Q328" s="229">
        <f t="shared" si="127"/>
        <v>0.16</v>
      </c>
      <c r="R328" s="229">
        <f t="shared" si="127"/>
        <v>0.16</v>
      </c>
      <c r="T328" s="248" t="s">
        <v>447</v>
      </c>
    </row>
    <row r="329" spans="1:20" x14ac:dyDescent="0.3">
      <c r="H329" s="230"/>
    </row>
    <row r="330" spans="1:20" x14ac:dyDescent="0.3">
      <c r="B330" s="248" t="s">
        <v>264</v>
      </c>
      <c r="G330" s="248">
        <f>G319+G321+G323</f>
        <v>197.72499999999999</v>
      </c>
      <c r="H330" s="230">
        <f>H319+H321+H323</f>
        <v>205.892</v>
      </c>
      <c r="I330" s="248">
        <f t="shared" ref="I330:R330" ca="1" si="128">I319+I321+I323</f>
        <v>203.13570796007835</v>
      </c>
      <c r="J330" s="248">
        <f t="shared" ca="1" si="128"/>
        <v>219.93049574864978</v>
      </c>
      <c r="K330" s="248">
        <f t="shared" ca="1" si="128"/>
        <v>240.44299703013712</v>
      </c>
      <c r="L330" s="248">
        <f t="shared" ca="1" si="128"/>
        <v>276.59328058972687</v>
      </c>
      <c r="M330" s="248">
        <f t="shared" ca="1" si="128"/>
        <v>300.79503868054809</v>
      </c>
      <c r="N330" s="248">
        <f t="shared" ca="1" si="128"/>
        <v>327.43409372324413</v>
      </c>
      <c r="O330" s="248">
        <f t="shared" ca="1" si="128"/>
        <v>357.36864632035196</v>
      </c>
      <c r="P330" s="248">
        <f t="shared" ca="1" si="128"/>
        <v>390.3296512216138</v>
      </c>
      <c r="Q330" s="248">
        <f t="shared" ca="1" si="128"/>
        <v>429.04969442879758</v>
      </c>
      <c r="R330" s="248">
        <f t="shared" ca="1" si="128"/>
        <v>471.95466387167738</v>
      </c>
    </row>
    <row r="331" spans="1:20" x14ac:dyDescent="0.3">
      <c r="B331" s="248" t="s">
        <v>266</v>
      </c>
      <c r="G331" s="248">
        <f>G325+G327</f>
        <v>379.26900000000001</v>
      </c>
      <c r="H331" s="230">
        <f>H325+H327</f>
        <v>431.09199999999998</v>
      </c>
      <c r="I331" s="248">
        <f t="shared" ref="I331:R331" ca="1" si="129">I325+I327</f>
        <v>406.0969862583172</v>
      </c>
      <c r="J331" s="248">
        <f t="shared" ca="1" si="129"/>
        <v>437.91938017964787</v>
      </c>
      <c r="K331" s="248">
        <f t="shared" ca="1" si="129"/>
        <v>474.97264926027418</v>
      </c>
      <c r="L331" s="248">
        <f t="shared" ca="1" si="129"/>
        <v>549.52319027049202</v>
      </c>
      <c r="M331" s="248">
        <f t="shared" ca="1" si="129"/>
        <v>595.62379000547958</v>
      </c>
      <c r="N331" s="248">
        <f t="shared" ca="1" si="129"/>
        <v>648.3735128609361</v>
      </c>
      <c r="O331" s="248">
        <f t="shared" ca="1" si="129"/>
        <v>707.64886443660919</v>
      </c>
      <c r="P331" s="248">
        <f t="shared" ca="1" si="129"/>
        <v>774.256079471048</v>
      </c>
      <c r="Q331" s="248">
        <f t="shared" ca="1" si="129"/>
        <v>849.58916283116059</v>
      </c>
      <c r="R331" s="248">
        <f t="shared" ca="1" si="129"/>
        <v>934.54807911427645</v>
      </c>
    </row>
    <row r="332" spans="1:20" x14ac:dyDescent="0.3">
      <c r="B332" s="271" t="s">
        <v>448</v>
      </c>
      <c r="C332" s="271"/>
      <c r="D332" s="271"/>
      <c r="E332" s="271"/>
      <c r="F332" s="271"/>
      <c r="G332" s="271">
        <f>G330-G331</f>
        <v>-181.54400000000001</v>
      </c>
      <c r="H332" s="310">
        <f>H330-H331</f>
        <v>-225.2</v>
      </c>
      <c r="I332" s="271">
        <f t="shared" ref="I332:R332" ca="1" si="130">I330-I331</f>
        <v>-202.96127829823885</v>
      </c>
      <c r="J332" s="271">
        <f t="shared" ca="1" si="130"/>
        <v>-217.9888844309981</v>
      </c>
      <c r="K332" s="271">
        <f t="shared" ca="1" si="130"/>
        <v>-234.52965223013706</v>
      </c>
      <c r="L332" s="271">
        <f t="shared" ca="1" si="130"/>
        <v>-272.92990968076515</v>
      </c>
      <c r="M332" s="271">
        <f t="shared" ca="1" si="130"/>
        <v>-294.82875132493149</v>
      </c>
      <c r="N332" s="271">
        <f t="shared" ca="1" si="130"/>
        <v>-320.93941913769197</v>
      </c>
      <c r="O332" s="271">
        <f t="shared" ca="1" si="130"/>
        <v>-350.28021811625723</v>
      </c>
      <c r="P332" s="271">
        <f t="shared" ca="1" si="130"/>
        <v>-383.9264282494342</v>
      </c>
      <c r="Q332" s="271">
        <f t="shared" ca="1" si="130"/>
        <v>-420.53946840236301</v>
      </c>
      <c r="R332" s="271">
        <f t="shared" ca="1" si="130"/>
        <v>-462.59341524259906</v>
      </c>
    </row>
    <row r="333" spans="1:20" x14ac:dyDescent="0.3">
      <c r="H333" s="230"/>
    </row>
    <row r="334" spans="1:20" x14ac:dyDescent="0.3">
      <c r="B334" s="248" t="s">
        <v>451</v>
      </c>
      <c r="H334" s="230"/>
      <c r="I334" s="248">
        <f t="shared" ref="I334:R334" ca="1" si="131">H332-I332</f>
        <v>-22.238721701761136</v>
      </c>
      <c r="J334" s="248">
        <f t="shared" ca="1" si="131"/>
        <v>15.027606132759246</v>
      </c>
      <c r="K334" s="248">
        <f t="shared" ca="1" si="131"/>
        <v>16.540767799138962</v>
      </c>
      <c r="L334" s="248">
        <f t="shared" ca="1" si="131"/>
        <v>38.400257450628089</v>
      </c>
      <c r="M334" s="248">
        <f t="shared" ca="1" si="131"/>
        <v>21.898841644166339</v>
      </c>
      <c r="N334" s="248">
        <f t="shared" ca="1" si="131"/>
        <v>26.110667812760482</v>
      </c>
      <c r="O334" s="248">
        <f t="shared" ca="1" si="131"/>
        <v>29.34079897856526</v>
      </c>
      <c r="P334" s="248">
        <f t="shared" ca="1" si="131"/>
        <v>33.646210133176965</v>
      </c>
      <c r="Q334" s="248">
        <f t="shared" ca="1" si="131"/>
        <v>36.613040152928818</v>
      </c>
      <c r="R334" s="248">
        <f t="shared" ca="1" si="131"/>
        <v>42.053946840236051</v>
      </c>
    </row>
    <row r="335" spans="1:20" x14ac:dyDescent="0.3">
      <c r="B335" s="248" t="s">
        <v>449</v>
      </c>
      <c r="H335" s="230"/>
      <c r="I335" s="253">
        <v>0</v>
      </c>
      <c r="J335" s="248">
        <f t="shared" ref="J335:R335" si="132">I335</f>
        <v>0</v>
      </c>
      <c r="K335" s="248">
        <f t="shared" si="132"/>
        <v>0</v>
      </c>
      <c r="L335" s="248">
        <f t="shared" si="132"/>
        <v>0</v>
      </c>
      <c r="M335" s="248">
        <f t="shared" si="132"/>
        <v>0</v>
      </c>
      <c r="N335" s="248">
        <f t="shared" si="132"/>
        <v>0</v>
      </c>
      <c r="O335" s="248">
        <f t="shared" si="132"/>
        <v>0</v>
      </c>
      <c r="P335" s="248">
        <f t="shared" si="132"/>
        <v>0</v>
      </c>
      <c r="Q335" s="248">
        <f t="shared" si="132"/>
        <v>0</v>
      </c>
      <c r="R335" s="248">
        <f t="shared" si="132"/>
        <v>0</v>
      </c>
    </row>
    <row r="336" spans="1:20" x14ac:dyDescent="0.3">
      <c r="B336" s="248" t="s">
        <v>450</v>
      </c>
      <c r="H336" s="230"/>
      <c r="I336" s="253">
        <v>0</v>
      </c>
      <c r="J336" s="248">
        <f t="shared" ref="J336:R336" si="133">I336</f>
        <v>0</v>
      </c>
      <c r="K336" s="248">
        <f t="shared" si="133"/>
        <v>0</v>
      </c>
      <c r="L336" s="248">
        <f t="shared" si="133"/>
        <v>0</v>
      </c>
      <c r="M336" s="248">
        <f t="shared" si="133"/>
        <v>0</v>
      </c>
      <c r="N336" s="248">
        <f t="shared" si="133"/>
        <v>0</v>
      </c>
      <c r="O336" s="248">
        <f t="shared" si="133"/>
        <v>0</v>
      </c>
      <c r="P336" s="248">
        <f t="shared" si="133"/>
        <v>0</v>
      </c>
      <c r="Q336" s="248">
        <f t="shared" si="133"/>
        <v>0</v>
      </c>
      <c r="R336" s="248">
        <f t="shared" si="133"/>
        <v>0</v>
      </c>
    </row>
    <row r="337" spans="1:24" x14ac:dyDescent="0.3">
      <c r="H337" s="230"/>
    </row>
    <row r="338" spans="1:24" x14ac:dyDescent="0.3">
      <c r="B338" s="270" t="s">
        <v>440</v>
      </c>
      <c r="H338" s="230"/>
    </row>
    <row r="339" spans="1:24" x14ac:dyDescent="0.3">
      <c r="B339" s="248" t="s">
        <v>433</v>
      </c>
      <c r="F339" s="233">
        <f>F201/F148</f>
        <v>8.8651527462295321E-2</v>
      </c>
      <c r="G339" s="233">
        <f>G201/G148</f>
        <v>8.3507484393529188E-2</v>
      </c>
      <c r="H339" s="228">
        <f>H201/H148</f>
        <v>7.1569544585411912E-2</v>
      </c>
      <c r="I339" s="325">
        <f ca="1">'LBO Model'!I420</f>
        <v>7.409879680627382E-2</v>
      </c>
      <c r="J339" s="325">
        <f ca="1">'LBO Model'!J420</f>
        <v>6.4794726496988628E-2</v>
      </c>
      <c r="K339" s="325">
        <f ca="1">'LBO Model'!K420</f>
        <v>5.804967964865073E-2</v>
      </c>
      <c r="L339" s="325">
        <f ca="1">'LBO Model'!L420</f>
        <v>5.0519554060044387E-2</v>
      </c>
      <c r="M339" s="325">
        <f ca="1">'LBO Model'!M420</f>
        <v>4.566436840878027E-2</v>
      </c>
      <c r="N339" s="325">
        <f ca="1">'LBO Model'!N420</f>
        <v>4.6931494727024216E-2</v>
      </c>
      <c r="O339" s="325">
        <f ca="1">'LBO Model'!O420</f>
        <v>4.8198621045268161E-2</v>
      </c>
      <c r="P339" s="325">
        <f ca="1">'LBO Model'!P420</f>
        <v>4.9465747363512107E-2</v>
      </c>
      <c r="Q339" s="325">
        <f ca="1">'LBO Model'!Q420</f>
        <v>5.0732873681756052E-2</v>
      </c>
      <c r="R339" s="325">
        <f ca="1">'LBO Model'!R420</f>
        <v>5.1999999999999998E-2</v>
      </c>
    </row>
    <row r="340" spans="1:24" ht="13.5" thickBot="1" x14ac:dyDescent="0.35">
      <c r="B340" s="267" t="s">
        <v>432</v>
      </c>
      <c r="C340" s="267"/>
      <c r="D340" s="267"/>
      <c r="E340" s="267"/>
      <c r="F340" s="238">
        <f>F164/F148</f>
        <v>4.9070554069575494E-2</v>
      </c>
      <c r="G340" s="238">
        <f>G164/G148</f>
        <v>5.0491874193572449E-2</v>
      </c>
      <c r="H340" s="293">
        <f>H164/H148</f>
        <v>5.5218191542070527E-2</v>
      </c>
      <c r="I340" s="505">
        <f ca="1">'LBO Model'!I421</f>
        <v>5.7054702624780324E-2</v>
      </c>
      <c r="J340" s="505">
        <f ca="1">'LBO Model'!J421</f>
        <v>5.4299898188356968E-2</v>
      </c>
      <c r="K340" s="505">
        <f ca="1">'LBO Model'!K421</f>
        <v>5.3424884869103399E-2</v>
      </c>
      <c r="L340" s="505">
        <f ca="1">'LBO Model'!L421</f>
        <v>5.3095134388898478E-2</v>
      </c>
      <c r="M340" s="505">
        <f ca="1">'LBO Model'!M421</f>
        <v>5.2239948360287482E-2</v>
      </c>
      <c r="N340" s="505">
        <f ca="1">'LBO Model'!N421</f>
        <v>5.2239948360287482E-2</v>
      </c>
      <c r="O340" s="505">
        <f ca="1">'LBO Model'!O421</f>
        <v>5.2239948360287482E-2</v>
      </c>
      <c r="P340" s="505">
        <f ca="1">'LBO Model'!P421</f>
        <v>5.2239948360287482E-2</v>
      </c>
      <c r="Q340" s="505">
        <f ca="1">'LBO Model'!Q421</f>
        <v>5.2239948360287482E-2</v>
      </c>
      <c r="R340" s="505">
        <f ca="1">'LBO Model'!R421</f>
        <v>5.2239948360287482E-2</v>
      </c>
    </row>
    <row r="342" spans="1:24" ht="15.5" x14ac:dyDescent="0.35">
      <c r="A342" s="246" t="s">
        <v>31</v>
      </c>
      <c r="B342" s="265" t="s">
        <v>346</v>
      </c>
      <c r="C342" s="275"/>
      <c r="D342" s="275"/>
      <c r="E342" s="275"/>
      <c r="F342" s="275"/>
      <c r="G342" s="275"/>
      <c r="H342" s="275"/>
      <c r="I342" s="275"/>
      <c r="J342" s="275"/>
      <c r="K342" s="275"/>
      <c r="L342" s="275"/>
      <c r="M342" s="275"/>
      <c r="N342" s="275"/>
      <c r="O342" s="275"/>
      <c r="P342" s="275"/>
      <c r="Q342" s="275"/>
      <c r="R342" s="275"/>
    </row>
    <row r="343" spans="1:24" ht="13.5" thickBot="1" x14ac:dyDescent="0.35">
      <c r="B343" s="236" t="str">
        <f>$B$12</f>
        <v>($ in millions)</v>
      </c>
    </row>
    <row r="344" spans="1:24" x14ac:dyDescent="0.3">
      <c r="B344" s="596"/>
      <c r="C344" s="596"/>
      <c r="D344" s="596"/>
      <c r="E344" s="596"/>
      <c r="F344" s="621" t="s">
        <v>472</v>
      </c>
      <c r="G344" s="621" t="s">
        <v>471</v>
      </c>
      <c r="H344" s="621" t="s">
        <v>470</v>
      </c>
      <c r="I344" s="621" t="s">
        <v>469</v>
      </c>
      <c r="J344" s="621" t="s">
        <v>468</v>
      </c>
      <c r="K344" s="621" t="s">
        <v>467</v>
      </c>
      <c r="L344" s="621" t="s">
        <v>466</v>
      </c>
      <c r="M344" s="621" t="s">
        <v>408</v>
      </c>
      <c r="N344" s="621" t="s">
        <v>142</v>
      </c>
      <c r="O344" s="596"/>
      <c r="P344" s="621" t="s">
        <v>465</v>
      </c>
      <c r="Q344" s="621" t="s">
        <v>464</v>
      </c>
      <c r="R344" s="621" t="s">
        <v>463</v>
      </c>
      <c r="T344" s="269" t="s">
        <v>353</v>
      </c>
      <c r="V344" s="650" t="s">
        <v>901</v>
      </c>
      <c r="W344" s="650" t="s">
        <v>1038</v>
      </c>
    </row>
    <row r="345" spans="1:24" ht="13.5" thickBot="1" x14ac:dyDescent="0.35">
      <c r="B345" s="267"/>
      <c r="C345" s="267"/>
      <c r="D345" s="267"/>
      <c r="E345" s="267"/>
      <c r="F345" s="308" t="s">
        <v>401</v>
      </c>
      <c r="G345" s="308" t="s">
        <v>370</v>
      </c>
      <c r="H345" s="308" t="s">
        <v>458</v>
      </c>
      <c r="I345" s="308" t="s">
        <v>194</v>
      </c>
      <c r="J345" s="308" t="s">
        <v>458</v>
      </c>
      <c r="K345" s="308" t="s">
        <v>370</v>
      </c>
      <c r="L345" s="308" t="s">
        <v>207</v>
      </c>
      <c r="M345" s="308" t="s">
        <v>207</v>
      </c>
      <c r="N345" s="308" t="s">
        <v>207</v>
      </c>
      <c r="O345" s="267"/>
      <c r="P345" s="308" t="s">
        <v>215</v>
      </c>
      <c r="Q345" s="308" t="s">
        <v>370</v>
      </c>
      <c r="R345" s="308" t="s">
        <v>462</v>
      </c>
      <c r="T345" s="553">
        <v>1</v>
      </c>
      <c r="V345" s="651" t="s">
        <v>902</v>
      </c>
      <c r="W345" s="651" t="s">
        <v>932</v>
      </c>
      <c r="X345" s="658" t="s">
        <v>905</v>
      </c>
    </row>
    <row r="346" spans="1:24" x14ac:dyDescent="0.3">
      <c r="B346" s="261" t="s">
        <v>904</v>
      </c>
      <c r="E346" s="890">
        <v>44557</v>
      </c>
      <c r="F346" s="889">
        <f ca="1">F34-3.5</f>
        <v>15.000000000000256</v>
      </c>
      <c r="G346" s="286">
        <f ca="1">$E$347*F346</f>
        <v>10381.500000000187</v>
      </c>
      <c r="H346" s="286">
        <f ca="1">-HLOOKUP(E346,I245:R289,31)</f>
        <v>-2035.0408181439357</v>
      </c>
      <c r="I346" s="286">
        <f ca="1">HLOOKUP(E346,I245:R289,3)</f>
        <v>21.341550000000002</v>
      </c>
      <c r="J346" s="286">
        <f t="shared" ref="J346:J352" ca="1" si="134">H346+I346</f>
        <v>-2013.6992681439356</v>
      </c>
      <c r="K346" s="286">
        <f t="shared" ref="K346:K352" ca="1" si="135">MAX(0,G346+J346)</f>
        <v>8367.8007318562522</v>
      </c>
      <c r="L346" s="229">
        <f t="shared" ref="L346:L352" ca="1" si="136">IFERROR(IF(M346=0,$F$56,$G$56),-1)</f>
        <v>0.99999999999999178</v>
      </c>
      <c r="M346" s="229">
        <f t="shared" ref="M346:M352" ca="1" si="137">IFERROR(IF($G$57*Q346&gt;($G$57*$D$58/(1-$G$57)),$G$57,0),-1)</f>
        <v>0</v>
      </c>
      <c r="N346" s="229">
        <f t="shared" ref="N346:N352" ca="1" si="138">L346+M346</f>
        <v>0.99999999999999178</v>
      </c>
      <c r="P346" s="286">
        <f t="shared" ref="P346:P352" ca="1" si="139">IF(M346=0,0,MAX(0,$G$57*$D$58/(1-$G$57)))</f>
        <v>0</v>
      </c>
      <c r="Q346" s="286">
        <f t="shared" ref="Q346:Q352" ca="1" si="140">K346-P346</f>
        <v>8367.8007318562522</v>
      </c>
      <c r="R346" s="286">
        <f t="shared" ref="R346:R352" ca="1" si="141">Q346*M346-P346</f>
        <v>0</v>
      </c>
      <c r="T346" s="320" t="str">
        <f t="shared" ref="T346:T352" ca="1" si="142">IF(OR(L346=-1,M346=-1,N346=-1),"Invalid Management Ownership Value","")</f>
        <v/>
      </c>
      <c r="V346" s="653">
        <f t="shared" ref="V346:V352" ca="1" si="143">((W346*G346)-$E$348)/($E$348+G346)</f>
        <v>5.9426323389986803E-2</v>
      </c>
      <c r="W346" s="652">
        <f>'DCF - Base'!F48</f>
        <v>0.10045133477313201</v>
      </c>
      <c r="X346" s="283">
        <f t="shared" ref="X346:X352" ca="1" si="144">(($E$348*(1+V346))/(W346-V346))-G346</f>
        <v>0</v>
      </c>
    </row>
    <row r="347" spans="1:24" x14ac:dyDescent="0.3">
      <c r="B347" s="248" t="s">
        <v>111</v>
      </c>
      <c r="E347" s="286">
        <f ca="1">HLOOKUP(E346,I199:R200,2)</f>
        <v>692.1000000000007</v>
      </c>
      <c r="F347" s="322">
        <f t="shared" ref="F347:F352" ca="1" si="145">F346+$T$345</f>
        <v>16.000000000000256</v>
      </c>
      <c r="G347" s="248">
        <f t="shared" ref="G347:G352" ca="1" si="146">$E$347*F347</f>
        <v>11073.600000000188</v>
      </c>
      <c r="H347" s="248">
        <f t="shared" ref="H347:H352" ca="1" si="147">H346</f>
        <v>-2035.0408181439357</v>
      </c>
      <c r="I347" s="248">
        <f t="shared" ref="I347:I352" ca="1" si="148">I346</f>
        <v>21.341550000000002</v>
      </c>
      <c r="J347" s="248">
        <f t="shared" ca="1" si="134"/>
        <v>-2013.6992681439356</v>
      </c>
      <c r="K347" s="248">
        <f t="shared" ca="1" si="135"/>
        <v>9059.9007318562526</v>
      </c>
      <c r="L347" s="229">
        <f t="shared" ca="1" si="136"/>
        <v>0.99999999999999178</v>
      </c>
      <c r="M347" s="229">
        <f t="shared" ca="1" si="137"/>
        <v>0</v>
      </c>
      <c r="N347" s="229">
        <f t="shared" ca="1" si="138"/>
        <v>0.99999999999999178</v>
      </c>
      <c r="P347" s="248">
        <f t="shared" ca="1" si="139"/>
        <v>0</v>
      </c>
      <c r="Q347" s="248">
        <f t="shared" ca="1" si="140"/>
        <v>9059.9007318562526</v>
      </c>
      <c r="R347" s="248">
        <f t="shared" ca="1" si="141"/>
        <v>0</v>
      </c>
      <c r="T347" s="320" t="str">
        <f t="shared" ca="1" si="142"/>
        <v/>
      </c>
      <c r="V347" s="653">
        <f t="shared" ca="1" si="143"/>
        <v>6.1900562896542277E-2</v>
      </c>
      <c r="W347" s="652">
        <f t="shared" ref="W347:W352" si="149">W346</f>
        <v>0.10045133477313201</v>
      </c>
      <c r="X347" s="283">
        <f t="shared" ca="1" si="144"/>
        <v>0</v>
      </c>
    </row>
    <row r="348" spans="1:24" x14ac:dyDescent="0.3">
      <c r="B348" s="248" t="s">
        <v>903</v>
      </c>
      <c r="E348" s="286">
        <f ca="1">'DCF - Base'!M23</f>
        <v>402.0111132516675</v>
      </c>
      <c r="F348" s="322">
        <f t="shared" ca="1" si="145"/>
        <v>17.000000000000256</v>
      </c>
      <c r="G348" s="248">
        <f t="shared" ca="1" si="146"/>
        <v>11765.70000000019</v>
      </c>
      <c r="H348" s="248">
        <f t="shared" ca="1" si="147"/>
        <v>-2035.0408181439357</v>
      </c>
      <c r="I348" s="248">
        <f t="shared" ca="1" si="148"/>
        <v>21.341550000000002</v>
      </c>
      <c r="J348" s="248">
        <f t="shared" ca="1" si="134"/>
        <v>-2013.6992681439356</v>
      </c>
      <c r="K348" s="248">
        <f t="shared" ca="1" si="135"/>
        <v>9752.0007318562548</v>
      </c>
      <c r="L348" s="229">
        <f t="shared" ca="1" si="136"/>
        <v>0.99999999999999178</v>
      </c>
      <c r="M348" s="229">
        <f t="shared" ca="1" si="137"/>
        <v>0</v>
      </c>
      <c r="N348" s="229">
        <f t="shared" ca="1" si="138"/>
        <v>0.99999999999999178</v>
      </c>
      <c r="P348" s="248">
        <f t="shared" ca="1" si="139"/>
        <v>0</v>
      </c>
      <c r="Q348" s="248">
        <f t="shared" ca="1" si="140"/>
        <v>9752.0007318562548</v>
      </c>
      <c r="R348" s="248">
        <f t="shared" ca="1" si="141"/>
        <v>0</v>
      </c>
      <c r="T348" s="320" t="str">
        <f t="shared" ca="1" si="142"/>
        <v/>
      </c>
      <c r="V348" s="653">
        <f t="shared" ca="1" si="143"/>
        <v>6.4093332676121412E-2</v>
      </c>
      <c r="W348" s="652">
        <f t="shared" si="149"/>
        <v>0.10045133477313201</v>
      </c>
      <c r="X348" s="283">
        <f t="shared" ca="1" si="144"/>
        <v>0</v>
      </c>
    </row>
    <row r="349" spans="1:24" x14ac:dyDescent="0.3">
      <c r="B349" s="248" t="s">
        <v>1032</v>
      </c>
      <c r="E349" s="286">
        <f ca="1">HLOOKUP(E346,I199:R212,14)</f>
        <v>451.70685352516807</v>
      </c>
      <c r="F349" s="322">
        <f t="shared" ca="1" si="145"/>
        <v>18.000000000000256</v>
      </c>
      <c r="G349" s="248">
        <f ca="1">$E$347*F349</f>
        <v>12457.80000000019</v>
      </c>
      <c r="H349" s="248">
        <f t="shared" ca="1" si="147"/>
        <v>-2035.0408181439357</v>
      </c>
      <c r="I349" s="248">
        <f t="shared" ca="1" si="148"/>
        <v>21.341550000000002</v>
      </c>
      <c r="J349" s="248">
        <f t="shared" ca="1" si="134"/>
        <v>-2013.6992681439356</v>
      </c>
      <c r="K349" s="248">
        <f t="shared" ca="1" si="135"/>
        <v>10444.100731856255</v>
      </c>
      <c r="L349" s="229">
        <f t="shared" ca="1" si="136"/>
        <v>0.99999999999999178</v>
      </c>
      <c r="M349" s="229">
        <f t="shared" ca="1" si="137"/>
        <v>0</v>
      </c>
      <c r="N349" s="229">
        <f t="shared" ca="1" si="138"/>
        <v>0.99999999999999178</v>
      </c>
      <c r="P349" s="248">
        <f t="shared" ca="1" si="139"/>
        <v>0</v>
      </c>
      <c r="Q349" s="248">
        <f t="shared" ca="1" si="140"/>
        <v>10444.100731856255</v>
      </c>
      <c r="R349" s="248">
        <f t="shared" ca="1" si="141"/>
        <v>0</v>
      </c>
      <c r="T349" s="320" t="str">
        <f t="shared" ca="1" si="142"/>
        <v/>
      </c>
      <c r="V349" s="653">
        <f t="shared" ca="1" si="143"/>
        <v>6.6050077843662056E-2</v>
      </c>
      <c r="W349" s="652">
        <f t="shared" si="149"/>
        <v>0.10045133477313201</v>
      </c>
      <c r="X349" s="283">
        <f t="shared" ca="1" si="144"/>
        <v>0</v>
      </c>
    </row>
    <row r="350" spans="1:24" x14ac:dyDescent="0.3">
      <c r="D350" s="917" t="s">
        <v>1054</v>
      </c>
      <c r="E350" s="917">
        <f ca="1">'APV - Base'!M37+'APV - Base'!M23-E349</f>
        <v>-1.2528289516922086E-10</v>
      </c>
      <c r="F350" s="322">
        <f t="shared" ca="1" si="145"/>
        <v>19.000000000000256</v>
      </c>
      <c r="G350" s="248">
        <f t="shared" ca="1" si="146"/>
        <v>13149.900000000191</v>
      </c>
      <c r="H350" s="248">
        <f t="shared" ca="1" si="147"/>
        <v>-2035.0408181439357</v>
      </c>
      <c r="I350" s="248">
        <f t="shared" ca="1" si="148"/>
        <v>21.341550000000002</v>
      </c>
      <c r="J350" s="248">
        <f t="shared" ca="1" si="134"/>
        <v>-2013.6992681439356</v>
      </c>
      <c r="K350" s="248">
        <f t="shared" ca="1" si="135"/>
        <v>11136.200731856256</v>
      </c>
      <c r="L350" s="229">
        <f t="shared" ca="1" si="136"/>
        <v>0.99999999999999178</v>
      </c>
      <c r="M350" s="229">
        <f t="shared" ca="1" si="137"/>
        <v>0</v>
      </c>
      <c r="N350" s="229">
        <f t="shared" ca="1" si="138"/>
        <v>0.99999999999999178</v>
      </c>
      <c r="P350" s="248">
        <f t="shared" ca="1" si="139"/>
        <v>0</v>
      </c>
      <c r="Q350" s="248">
        <f t="shared" ca="1" si="140"/>
        <v>11136.200731856256</v>
      </c>
      <c r="R350" s="248">
        <f t="shared" ca="1" si="141"/>
        <v>0</v>
      </c>
      <c r="T350" s="320" t="str">
        <f t="shared" ca="1" si="142"/>
        <v/>
      </c>
      <c r="V350" s="653">
        <f t="shared" ca="1" si="143"/>
        <v>6.7806959933716798E-2</v>
      </c>
      <c r="W350" s="652">
        <f t="shared" si="149"/>
        <v>0.10045133477313201</v>
      </c>
      <c r="X350" s="283">
        <f t="shared" ca="1" si="144"/>
        <v>0</v>
      </c>
    </row>
    <row r="351" spans="1:24" x14ac:dyDescent="0.3">
      <c r="F351" s="322">
        <f t="shared" ca="1" si="145"/>
        <v>20.000000000000256</v>
      </c>
      <c r="G351" s="248">
        <f t="shared" ca="1" si="146"/>
        <v>13842.000000000191</v>
      </c>
      <c r="H351" s="248">
        <f t="shared" ca="1" si="147"/>
        <v>-2035.0408181439357</v>
      </c>
      <c r="I351" s="248">
        <f t="shared" ca="1" si="148"/>
        <v>21.341550000000002</v>
      </c>
      <c r="J351" s="248">
        <f t="shared" ca="1" si="134"/>
        <v>-2013.6992681439356</v>
      </c>
      <c r="K351" s="248">
        <f t="shared" ca="1" si="135"/>
        <v>11828.300731856256</v>
      </c>
      <c r="L351" s="229">
        <f t="shared" ca="1" si="136"/>
        <v>0.99999999999999178</v>
      </c>
      <c r="M351" s="229">
        <f t="shared" ca="1" si="137"/>
        <v>0</v>
      </c>
      <c r="N351" s="229">
        <f t="shared" ca="1" si="138"/>
        <v>0.99999999999999178</v>
      </c>
      <c r="P351" s="248">
        <f t="shared" ca="1" si="139"/>
        <v>0</v>
      </c>
      <c r="Q351" s="248">
        <f t="shared" ca="1" si="140"/>
        <v>11828.300731856256</v>
      </c>
      <c r="R351" s="248">
        <f t="shared" ca="1" si="141"/>
        <v>0</v>
      </c>
      <c r="T351" s="320" t="str">
        <f t="shared" ca="1" si="142"/>
        <v/>
      </c>
      <c r="V351" s="653">
        <f t="shared" ca="1" si="143"/>
        <v>6.9393112292537973E-2</v>
      </c>
      <c r="W351" s="652">
        <f t="shared" si="149"/>
        <v>0.10045133477313201</v>
      </c>
      <c r="X351" s="283">
        <f t="shared" ca="1" si="144"/>
        <v>0</v>
      </c>
    </row>
    <row r="352" spans="1:24" ht="13.5" customHeight="1" thickBot="1" x14ac:dyDescent="0.35">
      <c r="B352" s="267"/>
      <c r="C352" s="267"/>
      <c r="D352" s="267"/>
      <c r="E352" s="267"/>
      <c r="F352" s="412">
        <f t="shared" ca="1" si="145"/>
        <v>21.000000000000256</v>
      </c>
      <c r="G352" s="267">
        <f t="shared" ca="1" si="146"/>
        <v>14534.100000000191</v>
      </c>
      <c r="H352" s="267">
        <f t="shared" ca="1" si="147"/>
        <v>-2035.0408181439357</v>
      </c>
      <c r="I352" s="267">
        <f t="shared" ca="1" si="148"/>
        <v>21.341550000000002</v>
      </c>
      <c r="J352" s="267">
        <f t="shared" ca="1" si="134"/>
        <v>-2013.6992681439356</v>
      </c>
      <c r="K352" s="267">
        <f t="shared" ca="1" si="135"/>
        <v>12520.400731856256</v>
      </c>
      <c r="L352" s="375">
        <f t="shared" ca="1" si="136"/>
        <v>0.99999999999999178</v>
      </c>
      <c r="M352" s="309">
        <f t="shared" ca="1" si="137"/>
        <v>0</v>
      </c>
      <c r="N352" s="309">
        <f t="shared" ca="1" si="138"/>
        <v>0.99999999999999178</v>
      </c>
      <c r="O352" s="267"/>
      <c r="P352" s="267">
        <f t="shared" ca="1" si="139"/>
        <v>0</v>
      </c>
      <c r="Q352" s="267">
        <f t="shared" ca="1" si="140"/>
        <v>12520.400731856256</v>
      </c>
      <c r="R352" s="267">
        <f t="shared" ca="1" si="141"/>
        <v>0</v>
      </c>
      <c r="T352" s="320" t="str">
        <f t="shared" ca="1" si="142"/>
        <v/>
      </c>
      <c r="V352" s="653">
        <f t="shared" ca="1" si="143"/>
        <v>7.0832268416634273E-2</v>
      </c>
      <c r="W352" s="652">
        <f t="shared" si="149"/>
        <v>0.10045133477313201</v>
      </c>
      <c r="X352" s="283">
        <f t="shared" ca="1" si="144"/>
        <v>0</v>
      </c>
    </row>
    <row r="353" spans="1:20" x14ac:dyDescent="0.3">
      <c r="F353" s="234"/>
    </row>
    <row r="354" spans="1:20" ht="13.5" thickBot="1" x14ac:dyDescent="0.35">
      <c r="B354" s="648" t="s">
        <v>461</v>
      </c>
      <c r="C354" s="648"/>
      <c r="D354" s="648"/>
      <c r="E354" s="648"/>
      <c r="F354" s="648"/>
      <c r="G354" s="648"/>
      <c r="H354" s="648"/>
      <c r="I354" s="648"/>
      <c r="J354" s="256"/>
      <c r="K354" s="648" t="s">
        <v>900</v>
      </c>
      <c r="L354" s="648"/>
      <c r="M354" s="648"/>
      <c r="N354" s="648"/>
      <c r="O354" s="648"/>
      <c r="P354" s="648"/>
      <c r="Q354" s="648"/>
    </row>
    <row r="355" spans="1:20" s="256" customFormat="1" ht="13.5" thickTop="1" x14ac:dyDescent="0.3">
      <c r="A355" s="249"/>
    </row>
    <row r="356" spans="1:20" ht="13.5" thickBot="1" x14ac:dyDescent="0.35">
      <c r="B356" s="249" t="s">
        <v>472</v>
      </c>
      <c r="C356" s="883" t="s">
        <v>369</v>
      </c>
      <c r="D356" s="883"/>
      <c r="E356" s="882" t="s">
        <v>1041</v>
      </c>
      <c r="F356" s="249" t="s">
        <v>404</v>
      </c>
      <c r="H356" s="249" t="s">
        <v>1042</v>
      </c>
      <c r="I356" s="249"/>
    </row>
    <row r="357" spans="1:20" s="256" customFormat="1" ht="14" thickTop="1" thickBot="1" x14ac:dyDescent="0.35">
      <c r="A357" s="249"/>
      <c r="B357" s="879" t="s">
        <v>401</v>
      </c>
      <c r="C357" s="880">
        <f>$H$143</f>
        <v>42731</v>
      </c>
      <c r="D357" s="880">
        <f>$E$346</f>
        <v>44557</v>
      </c>
      <c r="E357" s="881" t="s">
        <v>368</v>
      </c>
      <c r="F357" s="879" t="s">
        <v>475</v>
      </c>
      <c r="H357" s="879" t="s">
        <v>1040</v>
      </c>
      <c r="I357" s="879" t="s">
        <v>932</v>
      </c>
      <c r="K357" s="623">
        <f>$H$143</f>
        <v>42731</v>
      </c>
      <c r="L357" s="623">
        <f>I298</f>
        <v>43096</v>
      </c>
      <c r="M357" s="623">
        <f>J298</f>
        <v>43461</v>
      </c>
      <c r="N357" s="623">
        <f>K298</f>
        <v>43826</v>
      </c>
      <c r="O357" s="623">
        <f>L298</f>
        <v>44192</v>
      </c>
      <c r="P357" s="623">
        <f>$E$346</f>
        <v>44557</v>
      </c>
      <c r="Q357" s="875" t="s">
        <v>899</v>
      </c>
      <c r="R357" s="658" t="s">
        <v>1039</v>
      </c>
      <c r="T357" s="248"/>
    </row>
    <row r="358" spans="1:20" x14ac:dyDescent="0.3">
      <c r="B358" s="423">
        <f ca="1">$F$346</f>
        <v>15.000000000000256</v>
      </c>
      <c r="C358" s="431">
        <f ca="1">-$K$18</f>
        <v>-4534.1932261296397</v>
      </c>
      <c r="D358" s="431">
        <f t="shared" ref="D358:D364" ca="1" si="150">L346*Q346</f>
        <v>8367.8007318561831</v>
      </c>
      <c r="E358" s="878">
        <f t="shared" ref="E358:E364" ca="1" si="151">RATE(YEAR($D$357)-YEAR($C$357),0,C358,D358)</f>
        <v>0.13037426417377515</v>
      </c>
      <c r="F358" s="431">
        <f t="shared" ref="F358:F364" ca="1" si="152">D358+C358</f>
        <v>3833.6075057265434</v>
      </c>
      <c r="H358" s="886">
        <f t="shared" ref="H358:I364" ca="1" si="153">V346</f>
        <v>5.9426323389986803E-2</v>
      </c>
      <c r="I358" s="886">
        <f t="shared" si="153"/>
        <v>0.10045133477313201</v>
      </c>
      <c r="K358" s="248">
        <f t="shared" ref="K358:K364" ca="1" si="154">C358</f>
        <v>-4534.1932261296397</v>
      </c>
      <c r="L358" s="248">
        <v>0</v>
      </c>
      <c r="M358" s="248">
        <v>0</v>
      </c>
      <c r="N358" s="248">
        <v>0</v>
      </c>
      <c r="O358" s="248">
        <v>0</v>
      </c>
      <c r="P358" s="248">
        <f t="shared" ref="P358:P364" ca="1" si="155">D358</f>
        <v>8367.8007318561831</v>
      </c>
      <c r="Q358" s="876">
        <f t="shared" ref="Q358:Q364" ca="1" si="156">IRR(K358:P358,0.15)</f>
        <v>0.13037426417212217</v>
      </c>
      <c r="R358" s="659">
        <f t="shared" ref="R358:R364" ca="1" si="157">Q358-E358</f>
        <v>-1.6529833057887799E-12</v>
      </c>
    </row>
    <row r="359" spans="1:20" x14ac:dyDescent="0.3">
      <c r="B359" s="423">
        <f t="shared" ref="B359:B364" ca="1" si="158">F347</f>
        <v>16.000000000000256</v>
      </c>
      <c r="C359" s="431">
        <f t="shared" ref="C359:C364" ca="1" si="159">C358</f>
        <v>-4534.1932261296397</v>
      </c>
      <c r="D359" s="431">
        <f t="shared" ca="1" si="150"/>
        <v>9059.900731856178</v>
      </c>
      <c r="E359" s="878">
        <f t="shared" ca="1" si="151"/>
        <v>0.14848329615141154</v>
      </c>
      <c r="F359" s="431">
        <f t="shared" ca="1" si="152"/>
        <v>4525.7075057265383</v>
      </c>
      <c r="H359" s="886">
        <f t="shared" ca="1" si="153"/>
        <v>6.1900562896542277E-2</v>
      </c>
      <c r="I359" s="886">
        <f t="shared" si="153"/>
        <v>0.10045133477313201</v>
      </c>
      <c r="K359" s="248">
        <f t="shared" ca="1" si="154"/>
        <v>-4534.1932261296397</v>
      </c>
      <c r="L359" s="248">
        <v>0</v>
      </c>
      <c r="M359" s="248">
        <v>0</v>
      </c>
      <c r="N359" s="248">
        <v>0</v>
      </c>
      <c r="O359" s="248">
        <v>0</v>
      </c>
      <c r="P359" s="248">
        <f t="shared" ca="1" si="155"/>
        <v>9059.900731856178</v>
      </c>
      <c r="Q359" s="876">
        <f t="shared" ca="1" si="156"/>
        <v>0.14848329615190958</v>
      </c>
      <c r="R359" s="659">
        <f t="shared" ca="1" si="157"/>
        <v>4.9804604884684522E-13</v>
      </c>
    </row>
    <row r="360" spans="1:20" x14ac:dyDescent="0.3">
      <c r="B360" s="423">
        <f t="shared" ca="1" si="158"/>
        <v>17.000000000000256</v>
      </c>
      <c r="C360" s="431">
        <f t="shared" ca="1" si="159"/>
        <v>-4534.1932261296397</v>
      </c>
      <c r="D360" s="431">
        <f t="shared" ca="1" si="150"/>
        <v>9752.0007318561748</v>
      </c>
      <c r="E360" s="878">
        <f t="shared" ca="1" si="151"/>
        <v>0.16551734310323446</v>
      </c>
      <c r="F360" s="431">
        <f t="shared" ca="1" si="152"/>
        <v>5217.8075057265351</v>
      </c>
      <c r="H360" s="886">
        <f t="shared" ca="1" si="153"/>
        <v>6.4093332676121412E-2</v>
      </c>
      <c r="I360" s="886">
        <f t="shared" si="153"/>
        <v>0.10045133477313201</v>
      </c>
      <c r="K360" s="248">
        <f t="shared" ca="1" si="154"/>
        <v>-4534.1932261296397</v>
      </c>
      <c r="L360" s="248">
        <v>0</v>
      </c>
      <c r="M360" s="248">
        <v>0</v>
      </c>
      <c r="N360" s="248">
        <v>0</v>
      </c>
      <c r="O360" s="248">
        <v>0</v>
      </c>
      <c r="P360" s="248">
        <f t="shared" ca="1" si="155"/>
        <v>9752.0007318561748</v>
      </c>
      <c r="Q360" s="876">
        <f t="shared" ca="1" si="156"/>
        <v>0.16551734310363719</v>
      </c>
      <c r="R360" s="659">
        <f t="shared" ca="1" si="157"/>
        <v>4.0273340218277554E-13</v>
      </c>
    </row>
    <row r="361" spans="1:20" x14ac:dyDescent="0.3">
      <c r="B361" s="423">
        <f ca="1">F349</f>
        <v>18.000000000000256</v>
      </c>
      <c r="C361" s="431">
        <f t="shared" ca="1" si="159"/>
        <v>-4534.1932261296397</v>
      </c>
      <c r="D361" s="431">
        <f t="shared" ca="1" si="150"/>
        <v>10444.10073185617</v>
      </c>
      <c r="E361" s="878">
        <f t="shared" ca="1" si="151"/>
        <v>0.18161013019422387</v>
      </c>
      <c r="F361" s="431">
        <f t="shared" ca="1" si="152"/>
        <v>5909.90750572653</v>
      </c>
      <c r="H361" s="886">
        <f t="shared" ca="1" si="153"/>
        <v>6.6050077843662056E-2</v>
      </c>
      <c r="I361" s="886">
        <f t="shared" si="153"/>
        <v>0.10045133477313201</v>
      </c>
      <c r="K361" s="248">
        <f t="shared" ca="1" si="154"/>
        <v>-4534.1932261296397</v>
      </c>
      <c r="L361" s="248">
        <v>0</v>
      </c>
      <c r="M361" s="248">
        <v>0</v>
      </c>
      <c r="N361" s="248">
        <v>0</v>
      </c>
      <c r="O361" s="248">
        <v>0</v>
      </c>
      <c r="P361" s="248">
        <f t="shared" ca="1" si="155"/>
        <v>10444.10073185617</v>
      </c>
      <c r="Q361" s="876">
        <f t="shared" ca="1" si="156"/>
        <v>0.1816101301942239</v>
      </c>
      <c r="R361" s="659">
        <f t="shared" ca="1" si="157"/>
        <v>0</v>
      </c>
    </row>
    <row r="362" spans="1:20" x14ac:dyDescent="0.3">
      <c r="B362" s="423">
        <f t="shared" ca="1" si="158"/>
        <v>19.000000000000256</v>
      </c>
      <c r="C362" s="431">
        <f t="shared" ca="1" si="159"/>
        <v>-4534.1932261296397</v>
      </c>
      <c r="D362" s="431">
        <f t="shared" ca="1" si="150"/>
        <v>11136.200731856165</v>
      </c>
      <c r="E362" s="878">
        <f t="shared" ca="1" si="151"/>
        <v>0.19687116848950542</v>
      </c>
      <c r="F362" s="431">
        <f t="shared" ca="1" si="152"/>
        <v>6602.0075057265249</v>
      </c>
      <c r="H362" s="886">
        <f t="shared" ca="1" si="153"/>
        <v>6.7806959933716798E-2</v>
      </c>
      <c r="I362" s="886">
        <f t="shared" si="153"/>
        <v>0.10045133477313201</v>
      </c>
      <c r="K362" s="248">
        <f t="shared" ca="1" si="154"/>
        <v>-4534.1932261296397</v>
      </c>
      <c r="L362" s="248">
        <v>0</v>
      </c>
      <c r="M362" s="248">
        <v>0</v>
      </c>
      <c r="N362" s="248">
        <v>0</v>
      </c>
      <c r="O362" s="248">
        <v>0</v>
      </c>
      <c r="P362" s="248">
        <f t="shared" ca="1" si="155"/>
        <v>11136.200731856165</v>
      </c>
      <c r="Q362" s="876">
        <f t="shared" ca="1" si="156"/>
        <v>0.19687116848950237</v>
      </c>
      <c r="R362" s="659">
        <f t="shared" ca="1" si="157"/>
        <v>-3.0531133177191805E-15</v>
      </c>
    </row>
    <row r="363" spans="1:20" x14ac:dyDescent="0.3">
      <c r="B363" s="423">
        <f t="shared" ca="1" si="158"/>
        <v>20.000000000000256</v>
      </c>
      <c r="C363" s="431">
        <f t="shared" ca="1" si="159"/>
        <v>-4534.1932261296397</v>
      </c>
      <c r="D363" s="431">
        <f t="shared" ca="1" si="150"/>
        <v>11828.300731856159</v>
      </c>
      <c r="E363" s="878">
        <f t="shared" ca="1" si="151"/>
        <v>0.21139134601741755</v>
      </c>
      <c r="F363" s="431">
        <f t="shared" ca="1" si="152"/>
        <v>7294.1075057265198</v>
      </c>
      <c r="H363" s="886">
        <f t="shared" ca="1" si="153"/>
        <v>6.9393112292537973E-2</v>
      </c>
      <c r="I363" s="886">
        <f t="shared" si="153"/>
        <v>0.10045133477313201</v>
      </c>
      <c r="K363" s="248">
        <f t="shared" ca="1" si="154"/>
        <v>-4534.1932261296397</v>
      </c>
      <c r="L363" s="248">
        <v>0</v>
      </c>
      <c r="M363" s="248">
        <v>0</v>
      </c>
      <c r="N363" s="248">
        <v>0</v>
      </c>
      <c r="O363" s="248">
        <v>0</v>
      </c>
      <c r="P363" s="248">
        <f t="shared" ca="1" si="155"/>
        <v>11828.300731856159</v>
      </c>
      <c r="Q363" s="876">
        <f t="shared" ca="1" si="156"/>
        <v>0.21139134601733578</v>
      </c>
      <c r="R363" s="659">
        <f t="shared" ca="1" si="157"/>
        <v>-8.1767925763642779E-14</v>
      </c>
    </row>
    <row r="364" spans="1:20" ht="13.5" thickBot="1" x14ac:dyDescent="0.35">
      <c r="B364" s="936">
        <f t="shared" ca="1" si="158"/>
        <v>21.000000000000256</v>
      </c>
      <c r="C364" s="884">
        <f t="shared" ca="1" si="159"/>
        <v>-4534.1932261296397</v>
      </c>
      <c r="D364" s="884">
        <f t="shared" ca="1" si="150"/>
        <v>12520.400731856153</v>
      </c>
      <c r="E364" s="885">
        <f t="shared" ca="1" si="151"/>
        <v>0.22524698102149526</v>
      </c>
      <c r="F364" s="884">
        <f t="shared" ca="1" si="152"/>
        <v>7986.2075057265129</v>
      </c>
      <c r="H364" s="886">
        <f t="shared" ca="1" si="153"/>
        <v>7.0832268416634273E-2</v>
      </c>
      <c r="I364" s="886">
        <f t="shared" si="153"/>
        <v>0.10045133477313201</v>
      </c>
      <c r="K364" s="267">
        <f t="shared" ca="1" si="154"/>
        <v>-4534.1932261296397</v>
      </c>
      <c r="L364" s="267">
        <v>0</v>
      </c>
      <c r="M364" s="267">
        <v>0</v>
      </c>
      <c r="N364" s="267">
        <v>0</v>
      </c>
      <c r="O364" s="267">
        <v>0</v>
      </c>
      <c r="P364" s="267">
        <f t="shared" ca="1" si="155"/>
        <v>12520.400731856153</v>
      </c>
      <c r="Q364" s="877">
        <f t="shared" ca="1" si="156"/>
        <v>0.22524698102052909</v>
      </c>
      <c r="R364" s="659">
        <f t="shared" ca="1" si="157"/>
        <v>-9.6617158718004248E-13</v>
      </c>
    </row>
    <row r="365" spans="1:20" x14ac:dyDescent="0.3">
      <c r="B365" s="234"/>
    </row>
    <row r="366" spans="1:20" s="256" customFormat="1" x14ac:dyDescent="0.3">
      <c r="A366" s="249"/>
      <c r="B366" s="402" t="s">
        <v>461</v>
      </c>
    </row>
    <row r="367" spans="1:20" s="256" customFormat="1" ht="13.5" thickBot="1" x14ac:dyDescent="0.35">
      <c r="A367" s="249"/>
      <c r="B367" s="887" t="s">
        <v>830</v>
      </c>
      <c r="C367" s="888"/>
      <c r="D367" s="888"/>
      <c r="E367" s="888"/>
      <c r="F367" s="888"/>
    </row>
    <row r="368" spans="1:20" s="256" customFormat="1" ht="13.5" thickTop="1" x14ac:dyDescent="0.3">
      <c r="A368" s="249"/>
      <c r="E368" s="558"/>
      <c r="F368" s="558"/>
    </row>
    <row r="369" spans="1:10" ht="13.5" thickBot="1" x14ac:dyDescent="0.35">
      <c r="B369" s="249" t="s">
        <v>472</v>
      </c>
      <c r="C369" s="883" t="s">
        <v>369</v>
      </c>
      <c r="D369" s="883"/>
      <c r="E369" s="576" t="s">
        <v>1043</v>
      </c>
      <c r="F369" s="249" t="s">
        <v>404</v>
      </c>
    </row>
    <row r="370" spans="1:10" ht="13.5" thickTop="1" x14ac:dyDescent="0.3">
      <c r="B370" s="879" t="s">
        <v>401</v>
      </c>
      <c r="C370" s="880">
        <f>$H$143</f>
        <v>42731</v>
      </c>
      <c r="D370" s="880">
        <f>$E$346</f>
        <v>44557</v>
      </c>
      <c r="E370" s="879" t="s">
        <v>533</v>
      </c>
      <c r="F370" s="879" t="s">
        <v>1044</v>
      </c>
    </row>
    <row r="371" spans="1:10" x14ac:dyDescent="0.3">
      <c r="B371" s="234">
        <f t="shared" ref="B371:B377" ca="1" si="160">F346</f>
        <v>15.000000000000256</v>
      </c>
      <c r="C371" s="286">
        <f ca="1">C358+E69</f>
        <v>-4513.0356254796397</v>
      </c>
      <c r="D371" s="365">
        <f t="shared" ref="D371:D377" ca="1" si="161">L346*Q346</f>
        <v>8367.8007318561831</v>
      </c>
      <c r="E371" s="233">
        <f t="shared" ref="E371:E377" ca="1" si="162">RATE(YEAR($D$357)-YEAR($C$357),0,C371,D371)</f>
        <v>0.13143214568203201</v>
      </c>
      <c r="F371" s="286">
        <f t="shared" ref="F371:F377" ca="1" si="163">D371+C371</f>
        <v>3854.7651063765434</v>
      </c>
    </row>
    <row r="372" spans="1:10" x14ac:dyDescent="0.3">
      <c r="B372" s="234">
        <f t="shared" ca="1" si="160"/>
        <v>16.000000000000256</v>
      </c>
      <c r="C372" s="248">
        <f t="shared" ref="C372:C377" ca="1" si="164">C371</f>
        <v>-4513.0356254796397</v>
      </c>
      <c r="D372" s="248">
        <f t="shared" ca="1" si="161"/>
        <v>9059.900731856178</v>
      </c>
      <c r="E372" s="233">
        <f t="shared" ca="1" si="162"/>
        <v>0.14955812532971355</v>
      </c>
      <c r="F372" s="248">
        <f t="shared" ca="1" si="163"/>
        <v>4546.8651063765383</v>
      </c>
    </row>
    <row r="373" spans="1:10" x14ac:dyDescent="0.3">
      <c r="B373" s="234">
        <f t="shared" ca="1" si="160"/>
        <v>17.000000000000256</v>
      </c>
      <c r="C373" s="248">
        <f t="shared" ca="1" si="164"/>
        <v>-4513.0356254796397</v>
      </c>
      <c r="D373" s="248">
        <f t="shared" ca="1" si="161"/>
        <v>9752.0007318561748</v>
      </c>
      <c r="E373" s="233">
        <f t="shared" ca="1" si="162"/>
        <v>0.1666081139069705</v>
      </c>
      <c r="F373" s="248">
        <f t="shared" ca="1" si="163"/>
        <v>5238.965106376535</v>
      </c>
    </row>
    <row r="374" spans="1:10" x14ac:dyDescent="0.3">
      <c r="B374" s="234">
        <f t="shared" ca="1" si="160"/>
        <v>18.000000000000256</v>
      </c>
      <c r="C374" s="248">
        <f t="shared" ca="1" si="164"/>
        <v>-4513.0356254796397</v>
      </c>
      <c r="D374" s="248">
        <f t="shared" ca="1" si="161"/>
        <v>10444.10073185617</v>
      </c>
      <c r="E374" s="233">
        <f t="shared" ca="1" si="162"/>
        <v>0.18271596172836185</v>
      </c>
      <c r="F374" s="248">
        <f t="shared" ca="1" si="163"/>
        <v>5931.0651063765299</v>
      </c>
    </row>
    <row r="375" spans="1:10" x14ac:dyDescent="0.3">
      <c r="B375" s="234">
        <f t="shared" ca="1" si="160"/>
        <v>19.000000000000256</v>
      </c>
      <c r="C375" s="248">
        <f t="shared" ca="1" si="164"/>
        <v>-4513.0356254796397</v>
      </c>
      <c r="D375" s="248">
        <f t="shared" ca="1" si="161"/>
        <v>11136.200731856165</v>
      </c>
      <c r="E375" s="233">
        <f t="shared" ca="1" si="162"/>
        <v>0.19799128234651742</v>
      </c>
      <c r="F375" s="248">
        <f t="shared" ca="1" si="163"/>
        <v>6623.1651063765248</v>
      </c>
    </row>
    <row r="376" spans="1:10" x14ac:dyDescent="0.3">
      <c r="B376" s="234">
        <f t="shared" ca="1" si="160"/>
        <v>20.000000000000256</v>
      </c>
      <c r="C376" s="248">
        <f t="shared" ca="1" si="164"/>
        <v>-4513.0356254796397</v>
      </c>
      <c r="D376" s="248">
        <f t="shared" ca="1" si="161"/>
        <v>11828.300731856159</v>
      </c>
      <c r="E376" s="233">
        <f t="shared" ca="1" si="162"/>
        <v>0.21252504884915219</v>
      </c>
      <c r="F376" s="248">
        <f t="shared" ca="1" si="163"/>
        <v>7315.2651063765197</v>
      </c>
    </row>
    <row r="377" spans="1:10" ht="13.5" thickBot="1" x14ac:dyDescent="0.35">
      <c r="B377" s="289">
        <f t="shared" ca="1" si="160"/>
        <v>21.000000000000256</v>
      </c>
      <c r="C377" s="267">
        <f t="shared" ca="1" si="164"/>
        <v>-4513.0356254796397</v>
      </c>
      <c r="D377" s="267">
        <f t="shared" ca="1" si="161"/>
        <v>12520.400731856153</v>
      </c>
      <c r="E377" s="238">
        <f t="shared" ca="1" si="162"/>
        <v>0.22639365090362773</v>
      </c>
      <c r="F377" s="267">
        <f t="shared" ca="1" si="163"/>
        <v>8007.3651063765128</v>
      </c>
    </row>
    <row r="379" spans="1:10" s="256" customFormat="1" x14ac:dyDescent="0.3">
      <c r="A379" s="249"/>
      <c r="B379" s="256" t="s">
        <v>534</v>
      </c>
    </row>
    <row r="380" spans="1:10" s="256" customFormat="1" ht="13.5" thickBot="1" x14ac:dyDescent="0.35">
      <c r="A380" s="249"/>
    </row>
    <row r="381" spans="1:10" x14ac:dyDescent="0.3">
      <c r="B381" s="621" t="s">
        <v>529</v>
      </c>
      <c r="C381" s="622" t="s">
        <v>529</v>
      </c>
      <c r="D381" s="621" t="s">
        <v>111</v>
      </c>
      <c r="E381" s="621"/>
      <c r="F381" s="621"/>
      <c r="G381" s="621" t="s">
        <v>368</v>
      </c>
      <c r="H381" s="621" t="s">
        <v>475</v>
      </c>
    </row>
    <row r="382" spans="1:10" ht="13.5" thickBot="1" x14ac:dyDescent="0.35">
      <c r="B382" s="308" t="s">
        <v>531</v>
      </c>
      <c r="C382" s="428" t="s">
        <v>479</v>
      </c>
      <c r="D382" s="308" t="s">
        <v>401</v>
      </c>
      <c r="E382" s="308" t="s">
        <v>368</v>
      </c>
      <c r="F382" s="308" t="s">
        <v>475</v>
      </c>
      <c r="G382" s="308" t="s">
        <v>532</v>
      </c>
      <c r="H382" s="308" t="s">
        <v>533</v>
      </c>
      <c r="J382" s="269" t="s">
        <v>353</v>
      </c>
    </row>
    <row r="383" spans="1:10" hidden="1" outlineLevel="1" x14ac:dyDescent="0.3">
      <c r="B383" s="246"/>
      <c r="C383" s="441">
        <f ca="1">F16</f>
        <v>310.20686355188644</v>
      </c>
      <c r="D383" s="423">
        <f ca="1">I67</f>
        <v>18.000000000000256</v>
      </c>
      <c r="E383" s="422">
        <f ca="1">K67</f>
        <v>0.18161013019423894</v>
      </c>
      <c r="F383" s="246">
        <f ca="1">M67</f>
        <v>5909.907505727253</v>
      </c>
      <c r="G383" s="422">
        <f ca="1">O67</f>
        <v>0.18271596172837704</v>
      </c>
      <c r="H383" s="246">
        <f ca="1">Q67</f>
        <v>5931.065106377253</v>
      </c>
    </row>
    <row r="384" spans="1:10" collapsed="1" x14ac:dyDescent="0.3">
      <c r="B384" s="479">
        <f ca="1">'LBO Model'!E507-J384*3-0.01</f>
        <v>0.12021880196016622</v>
      </c>
      <c r="C384" s="287">
        <f t="dataTable" ref="C384:H390" dt2D="0" dtr="0" r1="F15" ca="1"/>
        <v>271.43763278265567</v>
      </c>
      <c r="D384" s="423">
        <v>15.812611133899718</v>
      </c>
      <c r="E384" s="422">
        <v>0.18473767892736401</v>
      </c>
      <c r="F384" s="431">
        <v>5335.1178913889507</v>
      </c>
      <c r="G384" s="422">
        <v>0.18583754307369424</v>
      </c>
      <c r="H384" s="431">
        <v>5353.6296920881814</v>
      </c>
      <c r="J384" s="479">
        <v>0.05</v>
      </c>
    </row>
    <row r="385" spans="2:13" x14ac:dyDescent="0.3">
      <c r="B385" s="229">
        <f t="shared" ref="B385:B390" ca="1" si="165">B384+$J$384</f>
        <v>0.17021880196016623</v>
      </c>
      <c r="C385" s="230">
        <v>283.55301739804025</v>
      </c>
      <c r="D385" s="423">
        <v>16.496170154556136</v>
      </c>
      <c r="E385" s="422">
        <v>0.18367400029373898</v>
      </c>
      <c r="F385" s="246">
        <v>5514.5866911295625</v>
      </c>
      <c r="G385" s="422">
        <v>0.18477589907493425</v>
      </c>
      <c r="H385" s="246">
        <v>5533.9253043134086</v>
      </c>
    </row>
    <row r="386" spans="2:13" x14ac:dyDescent="0.3">
      <c r="B386" s="229">
        <f t="shared" ca="1" si="165"/>
        <v>0.22021880196016624</v>
      </c>
      <c r="C386" s="230">
        <v>295.6684020134249</v>
      </c>
      <c r="D386" s="423">
        <v>17.179729175212554</v>
      </c>
      <c r="E386" s="422">
        <v>0.18269545144701374</v>
      </c>
      <c r="F386" s="246">
        <v>5694.3292693134326</v>
      </c>
      <c r="G386" s="422">
        <v>0.18379922593898312</v>
      </c>
      <c r="H386" s="246">
        <v>5714.4946949818941</v>
      </c>
    </row>
    <row r="387" spans="2:13" x14ac:dyDescent="0.3">
      <c r="B387" s="436">
        <f t="shared" ca="1" si="165"/>
        <v>0.27021880196016623</v>
      </c>
      <c r="C387" s="421">
        <v>307.78378662880948</v>
      </c>
      <c r="D387" s="437">
        <v>17.863288195868972</v>
      </c>
      <c r="E387" s="438">
        <v>0.18178617632369556</v>
      </c>
      <c r="F387" s="439">
        <v>5874.0484728598758</v>
      </c>
      <c r="G387" s="438">
        <v>0.18289167988743485</v>
      </c>
      <c r="H387" s="442">
        <v>5895.0407110129527</v>
      </c>
    </row>
    <row r="388" spans="2:13" x14ac:dyDescent="0.3">
      <c r="B388" s="229">
        <f t="shared" ca="1" si="165"/>
        <v>0.32021880196016622</v>
      </c>
      <c r="C388" s="230">
        <v>319.89917124419406</v>
      </c>
      <c r="D388" s="423">
        <v>18.546847216525389</v>
      </c>
      <c r="E388" s="422">
        <v>0.1809301832080363</v>
      </c>
      <c r="F388" s="246">
        <v>6053.3436371582802</v>
      </c>
      <c r="G388" s="422">
        <v>0.18203727734954023</v>
      </c>
      <c r="H388" s="246">
        <v>6075.1626877959725</v>
      </c>
    </row>
    <row r="389" spans="2:13" x14ac:dyDescent="0.3">
      <c r="B389" s="229">
        <f t="shared" ca="1" si="165"/>
        <v>0.37021880196016621</v>
      </c>
      <c r="C389" s="230">
        <v>332.01455585957871</v>
      </c>
      <c r="D389" s="423">
        <v>19.230406237181807</v>
      </c>
      <c r="E389" s="422">
        <v>0.18013115195854124</v>
      </c>
      <c r="F389" s="246">
        <v>6232.6388014566801</v>
      </c>
      <c r="G389" s="422">
        <v>0.18123972148727702</v>
      </c>
      <c r="H389" s="246">
        <v>6255.2846645789878</v>
      </c>
    </row>
    <row r="390" spans="2:13" ht="13.5" thickBot="1" x14ac:dyDescent="0.35">
      <c r="B390" s="309">
        <f t="shared" ca="1" si="165"/>
        <v>0.4202188019601662</v>
      </c>
      <c r="C390" s="316">
        <v>344.12994047496335</v>
      </c>
      <c r="D390" s="424">
        <v>19.913965257838228</v>
      </c>
      <c r="E390" s="425">
        <v>0.17937467072376895</v>
      </c>
      <c r="F390" s="419">
        <v>6411.5030432388858</v>
      </c>
      <c r="G390" s="425">
        <v>0.18048460409914099</v>
      </c>
      <c r="H390" s="419">
        <v>6434.9757188458088</v>
      </c>
    </row>
    <row r="392" spans="2:13" x14ac:dyDescent="0.3">
      <c r="B392" s="256" t="s">
        <v>536</v>
      </c>
    </row>
    <row r="393" spans="2:13" ht="13.5" thickBot="1" x14ac:dyDescent="0.35">
      <c r="B393" s="256"/>
    </row>
    <row r="394" spans="2:13" x14ac:dyDescent="0.3">
      <c r="B394" s="621" t="s">
        <v>535</v>
      </c>
      <c r="C394" s="622" t="s">
        <v>466</v>
      </c>
      <c r="D394" s="621" t="s">
        <v>111</v>
      </c>
      <c r="E394" s="621"/>
      <c r="F394" s="621"/>
      <c r="G394" s="621" t="s">
        <v>368</v>
      </c>
      <c r="H394" s="621" t="s">
        <v>475</v>
      </c>
      <c r="J394" s="249"/>
      <c r="L394" s="249"/>
      <c r="M394" s="249"/>
    </row>
    <row r="395" spans="2:13" ht="13.5" thickBot="1" x14ac:dyDescent="0.35">
      <c r="B395" s="308" t="s">
        <v>530</v>
      </c>
      <c r="C395" s="428" t="s">
        <v>467</v>
      </c>
      <c r="D395" s="429" t="s">
        <v>401</v>
      </c>
      <c r="E395" s="308" t="s">
        <v>368</v>
      </c>
      <c r="F395" s="308" t="s">
        <v>475</v>
      </c>
      <c r="G395" s="308" t="s">
        <v>532</v>
      </c>
      <c r="H395" s="308" t="s">
        <v>533</v>
      </c>
      <c r="J395" s="269" t="s">
        <v>353</v>
      </c>
      <c r="L395" s="249"/>
      <c r="M395" s="249"/>
    </row>
    <row r="396" spans="2:13" hidden="1" outlineLevel="1" x14ac:dyDescent="0.3">
      <c r="B396" s="246"/>
      <c r="C396" s="441">
        <f ca="1">K18</f>
        <v>4534.1932261296397</v>
      </c>
      <c r="D396" s="423">
        <f ca="1">I67</f>
        <v>18.000000000000256</v>
      </c>
      <c r="E396" s="422">
        <f ca="1">K67</f>
        <v>0.18161013019423894</v>
      </c>
      <c r="F396" s="246">
        <f ca="1">M67</f>
        <v>5909.907505727253</v>
      </c>
      <c r="G396" s="422">
        <f ca="1">O67</f>
        <v>0.18271596172837704</v>
      </c>
      <c r="H396" s="246">
        <f ca="1">Q67</f>
        <v>5931.065106377253</v>
      </c>
      <c r="L396" s="249"/>
      <c r="M396" s="249"/>
    </row>
    <row r="397" spans="2:13" collapsed="1" x14ac:dyDescent="0.3">
      <c r="B397" s="479">
        <f ca="1">'LBO Model'!E511-J397*3</f>
        <v>0.29516486278953191</v>
      </c>
      <c r="C397" s="287">
        <f t="dataTable" ref="C397:H403" dt2D="0" dtr="0" r1="L18" ca="1"/>
        <v>2264.1018259121702</v>
      </c>
      <c r="D397" s="423">
        <v>18.000000000000256</v>
      </c>
      <c r="E397" s="422">
        <v>0.27903123325938789</v>
      </c>
      <c r="F397" s="431">
        <v>5485.8982041001054</v>
      </c>
      <c r="G397" s="422">
        <v>0.28143518952962299</v>
      </c>
      <c r="H397" s="431">
        <v>5507.0558047501054</v>
      </c>
      <c r="J397" s="479">
        <v>0.1</v>
      </c>
      <c r="L397" s="249"/>
      <c r="M397" s="249"/>
    </row>
    <row r="398" spans="2:13" x14ac:dyDescent="0.3">
      <c r="B398" s="229">
        <f t="shared" ref="B398:B403" ca="1" si="166">B397+$J$397</f>
        <v>0.39516486278953189</v>
      </c>
      <c r="C398" s="230">
        <v>3024.2510755497442</v>
      </c>
      <c r="D398" s="423">
        <v>18.000000000000256</v>
      </c>
      <c r="E398" s="422">
        <v>0.23536386833118125</v>
      </c>
      <c r="F398" s="246">
        <v>5677.2127478181355</v>
      </c>
      <c r="G398" s="422">
        <v>0.2370996775969266</v>
      </c>
      <c r="H398" s="246">
        <v>5698.3703484681355</v>
      </c>
      <c r="L398" s="249"/>
      <c r="M398" s="249"/>
    </row>
    <row r="399" spans="2:13" x14ac:dyDescent="0.3">
      <c r="B399" s="229">
        <f t="shared" ca="1" si="166"/>
        <v>0.49516486278953187</v>
      </c>
      <c r="C399" s="230">
        <v>3780.9403524511863</v>
      </c>
      <c r="D399" s="423">
        <v>18.000000000000256</v>
      </c>
      <c r="E399" s="422">
        <v>0.2042256356483351</v>
      </c>
      <c r="F399" s="246">
        <v>5794.068129820178</v>
      </c>
      <c r="G399" s="422">
        <v>0.20557791417359378</v>
      </c>
      <c r="H399" s="246">
        <v>5815.2257304701789</v>
      </c>
      <c r="J399" s="249"/>
      <c r="L399" s="249"/>
      <c r="M399" s="249"/>
    </row>
    <row r="400" spans="2:13" x14ac:dyDescent="0.3">
      <c r="B400" s="436">
        <f t="shared" ca="1" si="166"/>
        <v>0.59516486278953185</v>
      </c>
      <c r="C400" s="421">
        <v>4534.1932261297225</v>
      </c>
      <c r="D400" s="437">
        <v>18.000000000000256</v>
      </c>
      <c r="E400" s="438">
        <v>0.18161013019443945</v>
      </c>
      <c r="F400" s="439">
        <v>5909.9075057369046</v>
      </c>
      <c r="G400" s="438">
        <v>0.18271596172857749</v>
      </c>
      <c r="H400" s="442">
        <v>5931.0651063869045</v>
      </c>
      <c r="J400" s="249"/>
      <c r="L400" s="249"/>
      <c r="M400" s="249"/>
    </row>
    <row r="401" spans="1:20" x14ac:dyDescent="0.3">
      <c r="B401" s="229">
        <f t="shared" ca="1" si="166"/>
        <v>0.69516486278953182</v>
      </c>
      <c r="C401" s="230">
        <v>5284.033052501406</v>
      </c>
      <c r="D401" s="423">
        <v>18.000000000000256</v>
      </c>
      <c r="E401" s="422">
        <v>0.16501484975286351</v>
      </c>
      <c r="F401" s="246">
        <v>6056.2222259627715</v>
      </c>
      <c r="G401" s="422">
        <v>0.16595005627510862</v>
      </c>
      <c r="H401" s="246">
        <v>6077.3798266127715</v>
      </c>
      <c r="J401" s="249"/>
      <c r="L401" s="249"/>
      <c r="M401" s="249"/>
    </row>
    <row r="402" spans="1:20" x14ac:dyDescent="0.3">
      <c r="B402" s="229">
        <f t="shared" ca="1" si="166"/>
        <v>0.7951648627895318</v>
      </c>
      <c r="C402" s="230">
        <v>6030.4829763034495</v>
      </c>
      <c r="D402" s="423">
        <v>18.000000000000256</v>
      </c>
      <c r="E402" s="422">
        <v>0.1525585371260296</v>
      </c>
      <c r="F402" s="246">
        <v>6234.5029870373319</v>
      </c>
      <c r="G402" s="422">
        <v>0.15336898095272242</v>
      </c>
      <c r="H402" s="246">
        <v>6255.6605876873318</v>
      </c>
      <c r="J402" s="249"/>
      <c r="L402" s="249"/>
      <c r="M402" s="249"/>
    </row>
    <row r="403" spans="1:20" ht="13.5" thickBot="1" x14ac:dyDescent="0.35">
      <c r="B403" s="309">
        <f t="shared" ca="1" si="166"/>
        <v>0.89516486278953178</v>
      </c>
      <c r="C403" s="316">
        <v>6773.5659334791999</v>
      </c>
      <c r="D403" s="424">
        <v>18.000000000000256</v>
      </c>
      <c r="E403" s="425">
        <v>0.14225940713117269</v>
      </c>
      <c r="F403" s="419">
        <v>6398.1112869610879</v>
      </c>
      <c r="G403" s="425">
        <v>0.14297432939398463</v>
      </c>
      <c r="H403" s="419">
        <v>6419.2688876110878</v>
      </c>
      <c r="J403" s="249"/>
      <c r="L403" s="249"/>
      <c r="M403" s="249"/>
    </row>
    <row r="406" spans="1:20" s="393" customFormat="1" ht="15.5" x14ac:dyDescent="0.35">
      <c r="A406" s="398" t="s">
        <v>31</v>
      </c>
      <c r="B406" s="265" t="str">
        <f>"Projection Scenario: "&amp;'LBO Model'!E4</f>
        <v>Projection Scenario: Base Case</v>
      </c>
      <c r="C406" s="392"/>
      <c r="D406" s="392"/>
      <c r="E406" s="392"/>
      <c r="F406" s="392"/>
      <c r="G406" s="392"/>
      <c r="H406" s="392"/>
      <c r="I406" s="392"/>
      <c r="J406" s="392"/>
      <c r="K406" s="392"/>
      <c r="L406" s="392"/>
      <c r="M406" s="392"/>
      <c r="N406" s="392"/>
      <c r="O406" s="392"/>
      <c r="P406" s="392"/>
      <c r="Q406" s="392"/>
      <c r="R406" s="392"/>
    </row>
    <row r="407" spans="1:20" s="602" customFormat="1" x14ac:dyDescent="0.3">
      <c r="A407" s="601"/>
      <c r="B407" s="599" t="s">
        <v>825</v>
      </c>
      <c r="C407" s="603"/>
      <c r="D407" s="603"/>
      <c r="E407" s="603"/>
      <c r="F407" s="603"/>
      <c r="G407" s="603"/>
      <c r="H407" s="603"/>
      <c r="I407" s="603"/>
      <c r="J407" s="603"/>
      <c r="K407" s="603"/>
      <c r="L407" s="603"/>
      <c r="M407" s="603"/>
      <c r="N407" s="603"/>
      <c r="O407" s="603"/>
      <c r="P407" s="603"/>
      <c r="Q407" s="603"/>
      <c r="R407" s="603"/>
    </row>
    <row r="408" spans="1:20" s="602" customFormat="1" ht="13.5" thickBot="1" x14ac:dyDescent="0.35">
      <c r="A408" s="601"/>
      <c r="B408" s="599"/>
      <c r="C408" s="603"/>
      <c r="D408" s="603"/>
      <c r="E408" s="603"/>
      <c r="F408" s="603"/>
      <c r="G408" s="603"/>
      <c r="H408" s="603"/>
      <c r="I408" s="603"/>
      <c r="J408" s="603"/>
      <c r="K408" s="603"/>
      <c r="L408" s="603"/>
      <c r="M408" s="603"/>
      <c r="N408" s="603"/>
      <c r="O408" s="603"/>
      <c r="P408" s="603"/>
      <c r="Q408" s="603"/>
      <c r="R408" s="603"/>
    </row>
    <row r="409" spans="1:20" s="393" customFormat="1" x14ac:dyDescent="0.3">
      <c r="B409" s="595" t="s">
        <v>416</v>
      </c>
      <c r="C409" s="596"/>
      <c r="D409" s="596"/>
      <c r="E409" s="596"/>
      <c r="F409" s="597" t="s">
        <v>109</v>
      </c>
      <c r="G409" s="597"/>
      <c r="H409" s="277"/>
      <c r="I409" s="597" t="s">
        <v>364</v>
      </c>
      <c r="J409" s="597"/>
      <c r="K409" s="597"/>
      <c r="L409" s="597"/>
      <c r="M409" s="597"/>
      <c r="N409" s="597"/>
      <c r="O409" s="597"/>
      <c r="P409" s="598"/>
      <c r="Q409" s="598"/>
      <c r="R409" s="598"/>
    </row>
    <row r="410" spans="1:20" s="393" customFormat="1" x14ac:dyDescent="0.3">
      <c r="B410" s="258"/>
      <c r="C410" s="258"/>
      <c r="D410" s="258"/>
      <c r="E410" s="258"/>
      <c r="F410" s="231">
        <v>42003</v>
      </c>
      <c r="G410" s="231">
        <v>42367</v>
      </c>
      <c r="H410" s="232">
        <v>42731</v>
      </c>
      <c r="I410" s="231">
        <f t="shared" ref="I410:R410" si="167">DATE(YEAR(H410)+1,MONTH(H410),DAY(H410))</f>
        <v>43096</v>
      </c>
      <c r="J410" s="231">
        <f t="shared" si="167"/>
        <v>43461</v>
      </c>
      <c r="K410" s="231">
        <f t="shared" si="167"/>
        <v>43826</v>
      </c>
      <c r="L410" s="231">
        <f t="shared" si="167"/>
        <v>44192</v>
      </c>
      <c r="M410" s="231">
        <f t="shared" si="167"/>
        <v>44557</v>
      </c>
      <c r="N410" s="231">
        <f t="shared" si="167"/>
        <v>44922</v>
      </c>
      <c r="O410" s="231">
        <f t="shared" si="167"/>
        <v>45287</v>
      </c>
      <c r="P410" s="231">
        <f t="shared" si="167"/>
        <v>45653</v>
      </c>
      <c r="Q410" s="231">
        <f t="shared" si="167"/>
        <v>46018</v>
      </c>
      <c r="R410" s="231">
        <f t="shared" si="167"/>
        <v>46383</v>
      </c>
    </row>
    <row r="411" spans="1:20" s="393" customFormat="1" x14ac:dyDescent="0.3">
      <c r="B411" s="394" t="s">
        <v>515</v>
      </c>
      <c r="H411" s="400"/>
    </row>
    <row r="412" spans="1:20" s="393" customFormat="1" x14ac:dyDescent="0.3">
      <c r="B412" s="279" t="s">
        <v>252</v>
      </c>
      <c r="C412" s="248"/>
      <c r="D412" s="248"/>
      <c r="E412" s="248"/>
      <c r="F412" s="607"/>
      <c r="G412" s="607">
        <f>'LBO Model'!G183</f>
        <v>6.0250395876948915E-2</v>
      </c>
      <c r="H412" s="608">
        <f>'LBO Model'!H183</f>
        <v>4.2432073628234201E-2</v>
      </c>
      <c r="I412" s="325">
        <f ca="1">OFFSET(I412,'LBO Model'!$D$4*16,0)</f>
        <v>1.8155308621848887E-2</v>
      </c>
      <c r="J412" s="325">
        <f ca="1">OFFSET(J412,'LBO Model'!$D$4*16,0)</f>
        <v>8.3281474852192172E-2</v>
      </c>
      <c r="K412" s="325">
        <f ca="1">OFFSET(K412,'LBO Model'!$D$4*16,0)</f>
        <v>9.4473540950377632E-2</v>
      </c>
      <c r="L412" s="325">
        <f ca="1">OFFSET(L412,'LBO Model'!$D$4*16,0)</f>
        <v>0.15186935828972081</v>
      </c>
      <c r="M412" s="325">
        <f ca="1">OFFSET(M412,'LBO Model'!$D$4*16,0)</f>
        <v>8.5702686285774377E-2</v>
      </c>
      <c r="N412" s="325">
        <f ca="1">OFFSET(N412,'LBO Model'!$D$4*16,0)</f>
        <v>8.8562149028619502E-2</v>
      </c>
      <c r="O412" s="325">
        <f ca="1">OFFSET(O412,'LBO Model'!$D$4*16,0)</f>
        <v>9.1421611771464628E-2</v>
      </c>
      <c r="P412" s="325">
        <f ca="1">OFFSET(P412,'LBO Model'!$D$4*16,0)</f>
        <v>9.4281074514309754E-2</v>
      </c>
      <c r="Q412" s="325">
        <f ca="1">OFFSET(Q412,'LBO Model'!$D$4*16,0)</f>
        <v>9.714053725715488E-2</v>
      </c>
      <c r="R412" s="325">
        <f ca="1">OFFSET(R412,'LBO Model'!$D$4*16,0)</f>
        <v>0.1</v>
      </c>
    </row>
    <row r="413" spans="1:20" s="393" customFormat="1" x14ac:dyDescent="0.3">
      <c r="B413" s="279" t="s">
        <v>253</v>
      </c>
      <c r="C413" s="248"/>
      <c r="D413" s="248"/>
      <c r="E413" s="248"/>
      <c r="F413" s="607">
        <f>'LBO Model'!F184</f>
        <v>0.21620278388973554</v>
      </c>
      <c r="G413" s="607">
        <f>'LBO Model'!G184</f>
        <v>0.20364598482983906</v>
      </c>
      <c r="H413" s="608">
        <f>'LBO Model'!H184</f>
        <v>0.21105115074417835</v>
      </c>
      <c r="I413" s="325">
        <f ca="1">OFFSET(I413,'LBO Model'!$D$4*16,0)</f>
        <v>0.2209128862846155</v>
      </c>
      <c r="J413" s="325">
        <f ca="1">OFFSET(J413,'LBO Model'!$D$4*16,0)</f>
        <v>0.22473404938955877</v>
      </c>
      <c r="K413" s="325">
        <f ca="1">OFFSET(K413,'LBO Model'!$D$4*16,0)</f>
        <v>0.23228042745123609</v>
      </c>
      <c r="L413" s="325">
        <f ca="1">OFFSET(L413,'LBO Model'!$D$4*16,0)</f>
        <v>0.22849490917033694</v>
      </c>
      <c r="M413" s="325">
        <f ca="1">OFFSET(M413,'LBO Model'!$D$4*16,0)</f>
        <v>0.23000442842762389</v>
      </c>
      <c r="N413" s="325">
        <f ca="1">OFFSET(N413,'LBO Model'!$D$4*16,0)</f>
        <v>0.23000442842762389</v>
      </c>
      <c r="O413" s="325">
        <f ca="1">OFFSET(O413,'LBO Model'!$D$4*16,0)</f>
        <v>0.23000442842762389</v>
      </c>
      <c r="P413" s="325">
        <f ca="1">OFFSET(P413,'LBO Model'!$D$4*16,0)</f>
        <v>0.23000442842762389</v>
      </c>
      <c r="Q413" s="325">
        <f ca="1">OFFSET(Q413,'LBO Model'!$D$4*16,0)</f>
        <v>0.23000442842762389</v>
      </c>
      <c r="R413" s="325">
        <f ca="1">OFFSET(R413,'LBO Model'!$D$4*16,0)</f>
        <v>0.23000442842762389</v>
      </c>
      <c r="T413" s="233">
        <f ca="1">M413-H413</f>
        <v>1.8953277683445541E-2</v>
      </c>
    </row>
    <row r="414" spans="1:20" s="393" customFormat="1" x14ac:dyDescent="0.3">
      <c r="B414" s="279" t="s">
        <v>821</v>
      </c>
      <c r="C414" s="248"/>
      <c r="D414" s="248"/>
      <c r="E414" s="248"/>
      <c r="F414" s="607">
        <f>'LBO Model'!F185</f>
        <v>5.4586538404512108E-2</v>
      </c>
      <c r="G414" s="607">
        <f>'LBO Model'!G185</f>
        <v>5.3290970248883122E-2</v>
      </c>
      <c r="H414" s="608">
        <f>'LBO Model'!H185</f>
        <v>6.4347947405794942E-2</v>
      </c>
      <c r="I414" s="325">
        <f ca="1">OFFSET(I414,'LBO Model'!$D$4*16,0)</f>
        <v>6.4000000000000001E-2</v>
      </c>
      <c r="J414" s="325">
        <f ca="1">OFFSET(J414,'LBO Model'!$D$4*16,0)</f>
        <v>6.4000000000000001E-2</v>
      </c>
      <c r="K414" s="325">
        <f ca="1">OFFSET(K414,'LBO Model'!$D$4*16,0)</f>
        <v>6.4000000000000001E-2</v>
      </c>
      <c r="L414" s="325">
        <f ca="1">OFFSET(L414,'LBO Model'!$D$4*16,0)</f>
        <v>6.4000000000000001E-2</v>
      </c>
      <c r="M414" s="325">
        <f ca="1">OFFSET(M414,'LBO Model'!$D$4*16,0)</f>
        <v>6.4000000000000001E-2</v>
      </c>
      <c r="N414" s="325">
        <f ca="1">OFFSET(N414,'LBO Model'!$D$4*16,0)</f>
        <v>6.4000000000000001E-2</v>
      </c>
      <c r="O414" s="325">
        <f ca="1">OFFSET(O414,'LBO Model'!$D$4*16,0)</f>
        <v>6.4000000000000001E-2</v>
      </c>
      <c r="P414" s="325">
        <f ca="1">OFFSET(P414,'LBO Model'!$D$4*16,0)</f>
        <v>6.4000000000000001E-2</v>
      </c>
      <c r="Q414" s="325">
        <f ca="1">OFFSET(Q414,'LBO Model'!$D$4*16,0)</f>
        <v>6.4000000000000001E-2</v>
      </c>
      <c r="R414" s="325">
        <f ca="1">OFFSET(R414,'LBO Model'!$D$4*16,0)</f>
        <v>6.4000000000000001E-2</v>
      </c>
    </row>
    <row r="415" spans="1:20" s="393" customFormat="1" x14ac:dyDescent="0.3">
      <c r="B415" s="279" t="s">
        <v>822</v>
      </c>
      <c r="C415" s="248"/>
      <c r="D415" s="248"/>
      <c r="E415" s="248"/>
      <c r="F415" s="607">
        <f>'LBO Model'!F186</f>
        <v>3.4425973481680932E-3</v>
      </c>
      <c r="G415" s="607">
        <f>'LBO Model'!G186</f>
        <v>3.3894196704927692E-3</v>
      </c>
      <c r="H415" s="608">
        <f>'LBO Model'!H186</f>
        <v>2.4680140160587257E-3</v>
      </c>
      <c r="I415" s="325">
        <f ca="1">OFFSET(I415,'LBO Model'!$D$4*16,0)</f>
        <v>2E-3</v>
      </c>
      <c r="J415" s="325">
        <f ca="1">OFFSET(J415,'LBO Model'!$D$4*16,0)</f>
        <v>2E-3</v>
      </c>
      <c r="K415" s="325">
        <f ca="1">OFFSET(K415,'LBO Model'!$D$4*16,0)</f>
        <v>2E-3</v>
      </c>
      <c r="L415" s="325">
        <f ca="1">OFFSET(L415,'LBO Model'!$D$4*16,0)</f>
        <v>2E-3</v>
      </c>
      <c r="M415" s="325">
        <f ca="1">OFFSET(M415,'LBO Model'!$D$4*16,0)</f>
        <v>2E-3</v>
      </c>
      <c r="N415" s="325">
        <f ca="1">OFFSET(N415,'LBO Model'!$D$4*16,0)</f>
        <v>2E-3</v>
      </c>
      <c r="O415" s="325">
        <f ca="1">OFFSET(O415,'LBO Model'!$D$4*16,0)</f>
        <v>2E-3</v>
      </c>
      <c r="P415" s="325">
        <f ca="1">OFFSET(P415,'LBO Model'!$D$4*16,0)</f>
        <v>2E-3</v>
      </c>
      <c r="Q415" s="325">
        <f ca="1">OFFSET(Q415,'LBO Model'!$D$4*16,0)</f>
        <v>2E-3</v>
      </c>
      <c r="R415" s="325">
        <f ca="1">OFFSET(R415,'LBO Model'!$D$4*16,0)</f>
        <v>2E-3</v>
      </c>
    </row>
    <row r="416" spans="1:20" s="393" customFormat="1" x14ac:dyDescent="0.3">
      <c r="B416" s="399"/>
      <c r="F416" s="609"/>
      <c r="G416" s="609"/>
      <c r="H416" s="610"/>
      <c r="I416" s="401"/>
      <c r="J416" s="401"/>
      <c r="K416" s="401"/>
      <c r="L416" s="401"/>
      <c r="M416" s="401"/>
      <c r="N416" s="401"/>
      <c r="O416" s="401"/>
      <c r="P416" s="401"/>
      <c r="Q416" s="401"/>
      <c r="R416" s="401"/>
    </row>
    <row r="417" spans="1:20" s="393" customFormat="1" x14ac:dyDescent="0.3">
      <c r="B417" s="279" t="s">
        <v>230</v>
      </c>
      <c r="C417" s="248"/>
      <c r="D417" s="248"/>
      <c r="E417" s="248"/>
      <c r="F417" s="607">
        <f>'LBO Model'!F191</f>
        <v>0.35751261313517158</v>
      </c>
      <c r="G417" s="607">
        <v>0.34231692771273398</v>
      </c>
      <c r="H417" s="608">
        <v>0.35114669244970798</v>
      </c>
      <c r="I417" s="325">
        <f ca="1">OFFSET(I417,'LBO Model'!$D$4*16,0)</f>
        <v>0.35</v>
      </c>
      <c r="J417" s="325">
        <f ca="1">OFFSET(J417,'LBO Model'!$D$4*16,0)</f>
        <v>0.35</v>
      </c>
      <c r="K417" s="325">
        <f ca="1">OFFSET(K417,'LBO Model'!$D$4*16,0)</f>
        <v>0.35</v>
      </c>
      <c r="L417" s="325">
        <f ca="1">OFFSET(L417,'LBO Model'!$D$4*16,0)</f>
        <v>0.35</v>
      </c>
      <c r="M417" s="325">
        <f ca="1">OFFSET(M417,'LBO Model'!$D$4*16,0)</f>
        <v>0.35</v>
      </c>
      <c r="N417" s="325">
        <f ca="1">OFFSET(N417,'LBO Model'!$D$4*16,0)</f>
        <v>0.35</v>
      </c>
      <c r="O417" s="325">
        <f ca="1">OFFSET(O417,'LBO Model'!$D$4*16,0)</f>
        <v>0.35</v>
      </c>
      <c r="P417" s="325">
        <f ca="1">OFFSET(P417,'LBO Model'!$D$4*16,0)</f>
        <v>0.35</v>
      </c>
      <c r="Q417" s="325">
        <f ca="1">OFFSET(Q417,'LBO Model'!$D$4*16,0)</f>
        <v>0.35</v>
      </c>
      <c r="R417" s="325">
        <f ca="1">OFFSET(R417,'LBO Model'!$D$4*16,0)</f>
        <v>0.35</v>
      </c>
    </row>
    <row r="418" spans="1:20" s="393" customFormat="1" x14ac:dyDescent="0.3">
      <c r="B418" s="279"/>
      <c r="C418" s="248"/>
      <c r="D418" s="248"/>
      <c r="E418" s="248"/>
      <c r="F418" s="607"/>
      <c r="G418" s="607"/>
      <c r="H418" s="608"/>
      <c r="I418" s="325"/>
      <c r="J418" s="325"/>
      <c r="K418" s="325"/>
      <c r="L418" s="325"/>
      <c r="M418" s="325"/>
      <c r="N418" s="325"/>
      <c r="O418" s="325"/>
      <c r="P418" s="325"/>
      <c r="Q418" s="325"/>
      <c r="R418" s="325"/>
    </row>
    <row r="419" spans="1:20" s="393" customFormat="1" x14ac:dyDescent="0.3">
      <c r="B419" s="270" t="s">
        <v>440</v>
      </c>
      <c r="C419" s="248"/>
      <c r="D419" s="248"/>
      <c r="E419" s="248"/>
      <c r="F419" s="611"/>
      <c r="G419" s="611"/>
      <c r="H419" s="612"/>
      <c r="I419" s="252"/>
      <c r="J419" s="252"/>
      <c r="K419" s="252"/>
      <c r="L419" s="252"/>
      <c r="M419" s="252"/>
      <c r="N419" s="252"/>
      <c r="O419" s="252"/>
      <c r="P419" s="252"/>
      <c r="Q419" s="252"/>
      <c r="R419" s="252"/>
    </row>
    <row r="420" spans="1:20" s="393" customFormat="1" x14ac:dyDescent="0.3">
      <c r="B420" s="279" t="s">
        <v>433</v>
      </c>
      <c r="C420" s="248"/>
      <c r="D420" s="248"/>
      <c r="E420" s="248"/>
      <c r="F420" s="607">
        <f>'LBO Model'!F339</f>
        <v>8.8651527462295321E-2</v>
      </c>
      <c r="G420" s="607">
        <f>'LBO Model'!G339</f>
        <v>8.3507484393529188E-2</v>
      </c>
      <c r="H420" s="608">
        <f>'LBO Model'!H339</f>
        <v>7.1569544585411912E-2</v>
      </c>
      <c r="I420" s="325">
        <f ca="1">OFFSET(I420,'LBO Model'!$D$4*16,0)</f>
        <v>7.409879680627382E-2</v>
      </c>
      <c r="J420" s="325">
        <f ca="1">OFFSET(J420,'LBO Model'!$D$4*16,0)</f>
        <v>6.4794726496988628E-2</v>
      </c>
      <c r="K420" s="325">
        <f ca="1">OFFSET(K420,'LBO Model'!$D$4*16,0)</f>
        <v>5.804967964865073E-2</v>
      </c>
      <c r="L420" s="325">
        <f ca="1">OFFSET(L420,'LBO Model'!$D$4*16,0)</f>
        <v>5.0519554060044387E-2</v>
      </c>
      <c r="M420" s="325">
        <f ca="1">OFFSET(M420,'LBO Model'!$D$4*16,0)</f>
        <v>4.566436840878027E-2</v>
      </c>
      <c r="N420" s="325">
        <f ca="1">OFFSET(N420,'LBO Model'!$D$4*16,0)</f>
        <v>4.6931494727024216E-2</v>
      </c>
      <c r="O420" s="325">
        <f ca="1">OFFSET(O420,'LBO Model'!$D$4*16,0)</f>
        <v>4.8198621045268161E-2</v>
      </c>
      <c r="P420" s="325">
        <f ca="1">OFFSET(P420,'LBO Model'!$D$4*16,0)</f>
        <v>4.9465747363512107E-2</v>
      </c>
      <c r="Q420" s="325">
        <f ca="1">OFFSET(Q420,'LBO Model'!$D$4*16,0)</f>
        <v>5.0732873681756052E-2</v>
      </c>
      <c r="R420" s="325">
        <f ca="1">OFFSET(R420,'LBO Model'!$D$4*16,0)</f>
        <v>5.1999999999999998E-2</v>
      </c>
    </row>
    <row r="421" spans="1:20" s="393" customFormat="1" ht="13.5" thickBot="1" x14ac:dyDescent="0.35">
      <c r="B421" s="504" t="s">
        <v>432</v>
      </c>
      <c r="C421" s="267"/>
      <c r="D421" s="267"/>
      <c r="E421" s="267"/>
      <c r="F421" s="613">
        <f>'LBO Model'!F340</f>
        <v>4.9070554069575494E-2</v>
      </c>
      <c r="G421" s="613">
        <f>'LBO Model'!G340</f>
        <v>5.0491874193572449E-2</v>
      </c>
      <c r="H421" s="614">
        <f>'LBO Model'!H340</f>
        <v>5.5218191542070527E-2</v>
      </c>
      <c r="I421" s="505">
        <f ca="1">OFFSET(I421,'LBO Model'!$D$4*16,0)</f>
        <v>5.7054702624780324E-2</v>
      </c>
      <c r="J421" s="505">
        <f ca="1">OFFSET(J421,'LBO Model'!$D$4*16,0)</f>
        <v>5.4299898188356968E-2</v>
      </c>
      <c r="K421" s="505">
        <f ca="1">OFFSET(K421,'LBO Model'!$D$4*16,0)</f>
        <v>5.3424884869103399E-2</v>
      </c>
      <c r="L421" s="505">
        <f ca="1">OFFSET(L421,'LBO Model'!$D$4*16,0)</f>
        <v>5.3095134388898478E-2</v>
      </c>
      <c r="M421" s="505">
        <f ca="1">OFFSET(M421,'LBO Model'!$D$4*16,0)</f>
        <v>5.2239948360287482E-2</v>
      </c>
      <c r="N421" s="505">
        <f ca="1">OFFSET(N421,'LBO Model'!$D$4*16,0)</f>
        <v>5.2239948360287482E-2</v>
      </c>
      <c r="O421" s="505">
        <f ca="1">OFFSET(O421,'LBO Model'!$D$4*16,0)</f>
        <v>5.2239948360287482E-2</v>
      </c>
      <c r="P421" s="505">
        <f ca="1">OFFSET(P421,'LBO Model'!$D$4*16,0)</f>
        <v>5.2239948360287482E-2</v>
      </c>
      <c r="Q421" s="505">
        <f ca="1">OFFSET(Q421,'LBO Model'!$D$4*16,0)</f>
        <v>5.2239948360287482E-2</v>
      </c>
      <c r="R421" s="505">
        <f ca="1">OFFSET(R421,'LBO Model'!$D$4*16,0)</f>
        <v>5.2239948360287482E-2</v>
      </c>
    </row>
    <row r="422" spans="1:20" s="393" customFormat="1" x14ac:dyDescent="0.3"/>
    <row r="423" spans="1:20" s="393" customFormat="1" x14ac:dyDescent="0.3">
      <c r="A423" s="398"/>
      <c r="B423" s="604" t="str">
        <f>'LBO Model'!E5</f>
        <v>Base Case</v>
      </c>
      <c r="C423" s="604"/>
      <c r="D423" s="604"/>
      <c r="E423" s="604"/>
      <c r="F423" s="604"/>
      <c r="G423" s="604"/>
      <c r="H423" s="604"/>
      <c r="I423" s="604"/>
      <c r="J423" s="604"/>
      <c r="K423" s="604"/>
      <c r="L423" s="604"/>
      <c r="M423" s="604"/>
      <c r="N423" s="604"/>
      <c r="O423" s="604"/>
      <c r="P423" s="604"/>
      <c r="Q423" s="604"/>
      <c r="R423" s="604"/>
    </row>
    <row r="424" spans="1:20" s="393" customFormat="1" ht="13.5" thickBot="1" x14ac:dyDescent="0.35">
      <c r="A424" s="398"/>
      <c r="B424" s="604"/>
      <c r="C424" s="604"/>
      <c r="D424" s="604"/>
      <c r="E424" s="604"/>
      <c r="F424" s="604"/>
      <c r="G424" s="604"/>
      <c r="H424" s="604"/>
      <c r="I424" s="604"/>
      <c r="J424" s="604"/>
      <c r="K424" s="604"/>
      <c r="L424" s="604"/>
      <c r="M424" s="604"/>
      <c r="N424" s="604"/>
      <c r="O424" s="604"/>
      <c r="P424" s="604"/>
      <c r="Q424" s="604"/>
      <c r="R424" s="604"/>
    </row>
    <row r="425" spans="1:20" s="393" customFormat="1" x14ac:dyDescent="0.3">
      <c r="B425" s="595" t="s">
        <v>416</v>
      </c>
      <c r="C425" s="596"/>
      <c r="D425" s="596"/>
      <c r="E425" s="596"/>
      <c r="F425" s="597" t="s">
        <v>109</v>
      </c>
      <c r="G425" s="597"/>
      <c r="H425" s="277"/>
      <c r="I425" s="597" t="s">
        <v>364</v>
      </c>
      <c r="J425" s="597"/>
      <c r="K425" s="597"/>
      <c r="L425" s="597"/>
      <c r="M425" s="597"/>
      <c r="N425" s="597"/>
      <c r="O425" s="597"/>
      <c r="P425" s="598"/>
      <c r="Q425" s="598"/>
      <c r="R425" s="598"/>
    </row>
    <row r="426" spans="1:20" s="393" customFormat="1" x14ac:dyDescent="0.3">
      <c r="B426" s="258"/>
      <c r="C426" s="258"/>
      <c r="D426" s="258"/>
      <c r="E426" s="258"/>
      <c r="F426" s="231">
        <v>42003</v>
      </c>
      <c r="G426" s="231">
        <v>42367</v>
      </c>
      <c r="H426" s="232">
        <v>42731</v>
      </c>
      <c r="I426" s="231">
        <f t="shared" ref="I426:R426" si="168">DATE(YEAR(H426)+1,MONTH(H426),DAY(H426))</f>
        <v>43096</v>
      </c>
      <c r="J426" s="231">
        <f t="shared" si="168"/>
        <v>43461</v>
      </c>
      <c r="K426" s="231">
        <f t="shared" si="168"/>
        <v>43826</v>
      </c>
      <c r="L426" s="231">
        <f t="shared" si="168"/>
        <v>44192</v>
      </c>
      <c r="M426" s="231">
        <f t="shared" si="168"/>
        <v>44557</v>
      </c>
      <c r="N426" s="231">
        <f t="shared" si="168"/>
        <v>44922</v>
      </c>
      <c r="O426" s="231">
        <f t="shared" si="168"/>
        <v>45287</v>
      </c>
      <c r="P426" s="231">
        <f t="shared" si="168"/>
        <v>45653</v>
      </c>
      <c r="Q426" s="231">
        <f t="shared" si="168"/>
        <v>46018</v>
      </c>
      <c r="R426" s="231">
        <f t="shared" si="168"/>
        <v>46383</v>
      </c>
    </row>
    <row r="427" spans="1:20" s="393" customFormat="1" x14ac:dyDescent="0.3">
      <c r="B427" s="394" t="s">
        <v>515</v>
      </c>
      <c r="H427" s="400"/>
      <c r="I427" s="480"/>
      <c r="J427" s="480"/>
      <c r="K427" s="480"/>
      <c r="L427" s="480"/>
      <c r="M427" s="480"/>
      <c r="N427" s="480"/>
      <c r="O427" s="480"/>
      <c r="P427" s="480"/>
      <c r="Q427" s="480"/>
      <c r="R427" s="480"/>
      <c r="T427" s="841" t="s">
        <v>1003</v>
      </c>
    </row>
    <row r="428" spans="1:20" s="393" customFormat="1" x14ac:dyDescent="0.3">
      <c r="B428" s="279" t="s">
        <v>252</v>
      </c>
      <c r="C428" s="248"/>
      <c r="D428" s="248"/>
      <c r="E428" s="248"/>
      <c r="F428" s="233"/>
      <c r="G428" s="233"/>
      <c r="H428" s="292"/>
      <c r="I428" s="478">
        <v>1.8155308621848887E-2</v>
      </c>
      <c r="J428" s="478">
        <v>8.3281474852192172E-2</v>
      </c>
      <c r="K428" s="478">
        <v>9.4473540950377632E-2</v>
      </c>
      <c r="L428" s="478">
        <v>0.15186935828972081</v>
      </c>
      <c r="M428" s="478">
        <v>8.5702686285774377E-2</v>
      </c>
      <c r="N428" s="476">
        <f>M428-($M428-$R428)/5</f>
        <v>8.8562149028619502E-2</v>
      </c>
      <c r="O428" s="476">
        <f>N428-($M428-$R428)/5</f>
        <v>9.1421611771464628E-2</v>
      </c>
      <c r="P428" s="476">
        <f>O428-($M428-$R428)/5</f>
        <v>9.4281074514309754E-2</v>
      </c>
      <c r="Q428" s="476">
        <f>P428-($M428-$R428)/5</f>
        <v>9.714053725715488E-2</v>
      </c>
      <c r="R428" s="478">
        <v>0.1</v>
      </c>
      <c r="T428" s="842" t="s">
        <v>759</v>
      </c>
    </row>
    <row r="429" spans="1:20" s="393" customFormat="1" x14ac:dyDescent="0.3">
      <c r="B429" s="279" t="s">
        <v>253</v>
      </c>
      <c r="C429" s="248"/>
      <c r="D429" s="248"/>
      <c r="E429" s="248"/>
      <c r="F429" s="233"/>
      <c r="G429" s="233"/>
      <c r="H429" s="292"/>
      <c r="I429" s="478">
        <v>0.2209128862846155</v>
      </c>
      <c r="J429" s="478">
        <v>0.22473404938955877</v>
      </c>
      <c r="K429" s="478">
        <v>0.23228042745123609</v>
      </c>
      <c r="L429" s="478">
        <v>0.22849490917033694</v>
      </c>
      <c r="M429" s="478">
        <v>0.23000442842762389</v>
      </c>
      <c r="N429" s="476">
        <f t="shared" ref="N429:R431" si="169">M429</f>
        <v>0.23000442842762389</v>
      </c>
      <c r="O429" s="476">
        <f t="shared" si="169"/>
        <v>0.23000442842762389</v>
      </c>
      <c r="P429" s="476">
        <f t="shared" si="169"/>
        <v>0.23000442842762389</v>
      </c>
      <c r="Q429" s="476">
        <f t="shared" si="169"/>
        <v>0.23000442842762389</v>
      </c>
      <c r="R429" s="476">
        <f t="shared" si="169"/>
        <v>0.23000442842762389</v>
      </c>
      <c r="T429" s="842" t="s">
        <v>752</v>
      </c>
    </row>
    <row r="430" spans="1:20" s="393" customFormat="1" x14ac:dyDescent="0.3">
      <c r="B430" s="279" t="s">
        <v>821</v>
      </c>
      <c r="C430" s="248"/>
      <c r="D430" s="248"/>
      <c r="E430" s="248"/>
      <c r="F430" s="233"/>
      <c r="G430" s="233"/>
      <c r="H430" s="292"/>
      <c r="I430" s="478">
        <v>6.4000000000000001E-2</v>
      </c>
      <c r="J430" s="476">
        <f t="shared" ref="J430:M431" si="170">I430</f>
        <v>6.4000000000000001E-2</v>
      </c>
      <c r="K430" s="476">
        <f t="shared" si="170"/>
        <v>6.4000000000000001E-2</v>
      </c>
      <c r="L430" s="476">
        <f t="shared" si="170"/>
        <v>6.4000000000000001E-2</v>
      </c>
      <c r="M430" s="476">
        <f t="shared" si="170"/>
        <v>6.4000000000000001E-2</v>
      </c>
      <c r="N430" s="476">
        <f t="shared" si="169"/>
        <v>6.4000000000000001E-2</v>
      </c>
      <c r="O430" s="476">
        <f t="shared" si="169"/>
        <v>6.4000000000000001E-2</v>
      </c>
      <c r="P430" s="476">
        <f t="shared" si="169"/>
        <v>6.4000000000000001E-2</v>
      </c>
      <c r="Q430" s="476">
        <f t="shared" si="169"/>
        <v>6.4000000000000001E-2</v>
      </c>
      <c r="R430" s="476">
        <f t="shared" si="169"/>
        <v>6.4000000000000001E-2</v>
      </c>
      <c r="T430" s="842" t="s">
        <v>754</v>
      </c>
    </row>
    <row r="431" spans="1:20" s="393" customFormat="1" x14ac:dyDescent="0.3">
      <c r="B431" s="279" t="s">
        <v>822</v>
      </c>
      <c r="C431" s="248"/>
      <c r="D431" s="248"/>
      <c r="E431" s="248"/>
      <c r="F431" s="233"/>
      <c r="G431" s="233"/>
      <c r="H431" s="292"/>
      <c r="I431" s="478">
        <v>2E-3</v>
      </c>
      <c r="J431" s="476">
        <f t="shared" si="170"/>
        <v>2E-3</v>
      </c>
      <c r="K431" s="476">
        <f t="shared" si="170"/>
        <v>2E-3</v>
      </c>
      <c r="L431" s="476">
        <f t="shared" si="170"/>
        <v>2E-3</v>
      </c>
      <c r="M431" s="476">
        <f t="shared" si="170"/>
        <v>2E-3</v>
      </c>
      <c r="N431" s="476">
        <f t="shared" si="169"/>
        <v>2E-3</v>
      </c>
      <c r="O431" s="476">
        <f t="shared" si="169"/>
        <v>2E-3</v>
      </c>
      <c r="P431" s="476">
        <f t="shared" si="169"/>
        <v>2E-3</v>
      </c>
      <c r="Q431" s="476">
        <f t="shared" si="169"/>
        <v>2E-3</v>
      </c>
      <c r="R431" s="476">
        <f t="shared" si="169"/>
        <v>2E-3</v>
      </c>
      <c r="T431" s="842" t="s">
        <v>845</v>
      </c>
    </row>
    <row r="432" spans="1:20" s="393" customFormat="1" x14ac:dyDescent="0.3">
      <c r="B432" s="399"/>
      <c r="F432" s="233"/>
      <c r="G432" s="233"/>
      <c r="H432" s="228"/>
      <c r="I432" s="480"/>
      <c r="J432" s="480"/>
      <c r="K432" s="480"/>
      <c r="L432" s="480"/>
      <c r="M432" s="480"/>
      <c r="N432" s="480"/>
      <c r="O432" s="480"/>
      <c r="P432" s="480"/>
      <c r="Q432" s="480"/>
      <c r="R432" s="480"/>
      <c r="T432" s="842"/>
    </row>
    <row r="433" spans="1:20" s="393" customFormat="1" x14ac:dyDescent="0.3">
      <c r="B433" s="279" t="s">
        <v>230</v>
      </c>
      <c r="C433" s="248"/>
      <c r="D433" s="248"/>
      <c r="E433" s="248"/>
      <c r="F433" s="233"/>
      <c r="G433" s="233"/>
      <c r="H433" s="228"/>
      <c r="I433" s="478">
        <v>0.35</v>
      </c>
      <c r="J433" s="476">
        <f t="shared" ref="J433:R433" si="171">I433</f>
        <v>0.35</v>
      </c>
      <c r="K433" s="476">
        <f t="shared" si="171"/>
        <v>0.35</v>
      </c>
      <c r="L433" s="476">
        <f t="shared" si="171"/>
        <v>0.35</v>
      </c>
      <c r="M433" s="476">
        <f t="shared" si="171"/>
        <v>0.35</v>
      </c>
      <c r="N433" s="476">
        <f t="shared" si="171"/>
        <v>0.35</v>
      </c>
      <c r="O433" s="476">
        <f t="shared" si="171"/>
        <v>0.35</v>
      </c>
      <c r="P433" s="476">
        <f t="shared" si="171"/>
        <v>0.35</v>
      </c>
      <c r="Q433" s="476">
        <f t="shared" si="171"/>
        <v>0.35</v>
      </c>
      <c r="R433" s="476">
        <f t="shared" si="171"/>
        <v>0.35</v>
      </c>
      <c r="T433" s="842" t="s">
        <v>846</v>
      </c>
    </row>
    <row r="434" spans="1:20" s="393" customFormat="1" x14ac:dyDescent="0.3">
      <c r="B434" s="279"/>
      <c r="C434" s="248"/>
      <c r="D434" s="248"/>
      <c r="E434" s="248"/>
      <c r="F434" s="233"/>
      <c r="G434" s="233"/>
      <c r="H434" s="228"/>
      <c r="I434" s="478"/>
      <c r="J434" s="476"/>
      <c r="K434" s="476"/>
      <c r="L434" s="476"/>
      <c r="M434" s="476"/>
      <c r="N434" s="476"/>
      <c r="O434" s="476"/>
      <c r="P434" s="476"/>
      <c r="Q434" s="476"/>
      <c r="R434" s="476"/>
      <c r="T434" s="842"/>
    </row>
    <row r="435" spans="1:20" s="393" customFormat="1" x14ac:dyDescent="0.3">
      <c r="B435" s="270" t="s">
        <v>440</v>
      </c>
      <c r="C435" s="248"/>
      <c r="D435" s="248"/>
      <c r="E435" s="248"/>
      <c r="F435" s="248"/>
      <c r="G435" s="248"/>
      <c r="H435" s="230"/>
      <c r="I435" s="481"/>
      <c r="J435" s="481"/>
      <c r="K435" s="481"/>
      <c r="L435" s="481"/>
      <c r="M435" s="481"/>
      <c r="N435" s="481"/>
      <c r="O435" s="481"/>
      <c r="P435" s="481"/>
      <c r="Q435" s="481"/>
      <c r="R435" s="481"/>
      <c r="T435" s="842"/>
    </row>
    <row r="436" spans="1:20" s="393" customFormat="1" x14ac:dyDescent="0.3">
      <c r="B436" s="279" t="s">
        <v>433</v>
      </c>
      <c r="C436" s="248"/>
      <c r="D436" s="248"/>
      <c r="E436" s="248"/>
      <c r="F436" s="233"/>
      <c r="G436" s="233"/>
      <c r="H436" s="228"/>
      <c r="I436" s="478">
        <v>7.409879680627382E-2</v>
      </c>
      <c r="J436" s="478">
        <v>6.4794726496988628E-2</v>
      </c>
      <c r="K436" s="478">
        <v>5.804967964865073E-2</v>
      </c>
      <c r="L436" s="478">
        <v>5.0519554060044387E-2</v>
      </c>
      <c r="M436" s="478">
        <v>4.566436840878027E-2</v>
      </c>
      <c r="N436" s="476">
        <f>M436-($M436-$R436)/5</f>
        <v>4.6931494727024216E-2</v>
      </c>
      <c r="O436" s="476">
        <f>N436-($M436-$R436)/5</f>
        <v>4.8198621045268161E-2</v>
      </c>
      <c r="P436" s="476">
        <f>O436-($M436-$R436)/5</f>
        <v>4.9465747363512107E-2</v>
      </c>
      <c r="Q436" s="476">
        <f>P436-($M436-$R436)/5</f>
        <v>5.0732873681756052E-2</v>
      </c>
      <c r="R436" s="478">
        <v>5.1999999999999998E-2</v>
      </c>
      <c r="T436" s="842" t="s">
        <v>760</v>
      </c>
    </row>
    <row r="437" spans="1:20" s="393" customFormat="1" ht="13.5" thickBot="1" x14ac:dyDescent="0.35">
      <c r="B437" s="504" t="s">
        <v>432</v>
      </c>
      <c r="C437" s="267"/>
      <c r="D437" s="267"/>
      <c r="E437" s="267"/>
      <c r="F437" s="238"/>
      <c r="G437" s="238"/>
      <c r="H437" s="293"/>
      <c r="I437" s="506">
        <v>5.7054702624780324E-2</v>
      </c>
      <c r="J437" s="506">
        <v>5.4299898188356968E-2</v>
      </c>
      <c r="K437" s="506">
        <v>5.3424884869103399E-2</v>
      </c>
      <c r="L437" s="506">
        <v>5.3095134388898478E-2</v>
      </c>
      <c r="M437" s="506">
        <v>5.2239948360287482E-2</v>
      </c>
      <c r="N437" s="507">
        <f>M437</f>
        <v>5.2239948360287482E-2</v>
      </c>
      <c r="O437" s="507">
        <f>N437</f>
        <v>5.2239948360287482E-2</v>
      </c>
      <c r="P437" s="507">
        <f>O437</f>
        <v>5.2239948360287482E-2</v>
      </c>
      <c r="Q437" s="507">
        <f>P437</f>
        <v>5.2239948360287482E-2</v>
      </c>
      <c r="R437" s="507">
        <f>Q437</f>
        <v>5.2239948360287482E-2</v>
      </c>
    </row>
    <row r="438" spans="1:20" s="393" customFormat="1" x14ac:dyDescent="0.3"/>
    <row r="439" spans="1:20" s="393" customFormat="1" x14ac:dyDescent="0.3">
      <c r="A439" s="398"/>
      <c r="B439" s="599" t="str">
        <f>'LBO Model'!E6</f>
        <v>Upside Case</v>
      </c>
      <c r="C439" s="600"/>
      <c r="D439" s="600"/>
      <c r="E439" s="600"/>
      <c r="F439" s="600"/>
      <c r="G439" s="600"/>
      <c r="H439" s="600"/>
      <c r="I439" s="600"/>
      <c r="J439" s="600"/>
      <c r="K439" s="600"/>
      <c r="L439" s="600"/>
      <c r="M439" s="600"/>
      <c r="N439" s="600"/>
      <c r="O439" s="600"/>
      <c r="P439" s="600"/>
      <c r="Q439" s="600"/>
      <c r="R439" s="600"/>
    </row>
    <row r="440" spans="1:20" s="393" customFormat="1" ht="13.5" thickBot="1" x14ac:dyDescent="0.35">
      <c r="A440" s="398"/>
      <c r="B440" s="599"/>
      <c r="C440" s="600"/>
      <c r="D440" s="600"/>
      <c r="E440" s="600"/>
      <c r="F440" s="600"/>
      <c r="G440" s="600"/>
      <c r="H440" s="600"/>
      <c r="I440" s="600"/>
      <c r="J440" s="600"/>
      <c r="K440" s="600"/>
      <c r="L440" s="600"/>
      <c r="M440" s="600"/>
      <c r="N440" s="600"/>
      <c r="O440" s="600"/>
      <c r="P440" s="600"/>
      <c r="Q440" s="600"/>
      <c r="R440" s="600"/>
    </row>
    <row r="441" spans="1:20" s="393" customFormat="1" x14ac:dyDescent="0.3">
      <c r="B441" s="595" t="s">
        <v>416</v>
      </c>
      <c r="C441" s="596"/>
      <c r="D441" s="596"/>
      <c r="E441" s="596"/>
      <c r="F441" s="597" t="s">
        <v>109</v>
      </c>
      <c r="G441" s="597"/>
      <c r="H441" s="277"/>
      <c r="I441" s="597" t="s">
        <v>364</v>
      </c>
      <c r="J441" s="597"/>
      <c r="K441" s="597"/>
      <c r="L441" s="597"/>
      <c r="M441" s="597"/>
      <c r="N441" s="597"/>
      <c r="O441" s="597"/>
      <c r="P441" s="598"/>
      <c r="Q441" s="598"/>
      <c r="R441" s="598"/>
    </row>
    <row r="442" spans="1:20" s="393" customFormat="1" x14ac:dyDescent="0.3">
      <c r="B442" s="258"/>
      <c r="C442" s="258"/>
      <c r="D442" s="258"/>
      <c r="E442" s="258"/>
      <c r="F442" s="231">
        <v>42003</v>
      </c>
      <c r="G442" s="231">
        <v>42367</v>
      </c>
      <c r="H442" s="232">
        <v>42731</v>
      </c>
      <c r="I442" s="231">
        <f t="shared" ref="I442:R442" si="172">DATE(YEAR(H442)+1,MONTH(H442),DAY(H442))</f>
        <v>43096</v>
      </c>
      <c r="J442" s="231">
        <f t="shared" si="172"/>
        <v>43461</v>
      </c>
      <c r="K442" s="231">
        <f t="shared" si="172"/>
        <v>43826</v>
      </c>
      <c r="L442" s="231">
        <f t="shared" si="172"/>
        <v>44192</v>
      </c>
      <c r="M442" s="231">
        <f t="shared" si="172"/>
        <v>44557</v>
      </c>
      <c r="N442" s="231">
        <f t="shared" si="172"/>
        <v>44922</v>
      </c>
      <c r="O442" s="231">
        <f t="shared" si="172"/>
        <v>45287</v>
      </c>
      <c r="P442" s="231">
        <f t="shared" si="172"/>
        <v>45653</v>
      </c>
      <c r="Q442" s="231">
        <f t="shared" si="172"/>
        <v>46018</v>
      </c>
      <c r="R442" s="231">
        <f t="shared" si="172"/>
        <v>46383</v>
      </c>
    </row>
    <row r="443" spans="1:20" s="393" customFormat="1" x14ac:dyDescent="0.3">
      <c r="B443" s="394" t="s">
        <v>515</v>
      </c>
      <c r="H443" s="400"/>
      <c r="I443" s="480"/>
      <c r="J443" s="480"/>
      <c r="K443" s="480"/>
      <c r="L443" s="480"/>
      <c r="M443" s="480"/>
      <c r="N443" s="480"/>
      <c r="O443" s="480"/>
      <c r="P443" s="480"/>
      <c r="Q443" s="480"/>
      <c r="R443" s="480"/>
      <c r="T443" s="393" t="s">
        <v>605</v>
      </c>
    </row>
    <row r="444" spans="1:20" s="393" customFormat="1" x14ac:dyDescent="0.3">
      <c r="B444" s="279" t="s">
        <v>252</v>
      </c>
      <c r="C444" s="248"/>
      <c r="D444" s="248"/>
      <c r="E444" s="248"/>
      <c r="F444" s="233"/>
      <c r="G444" s="233"/>
      <c r="H444" s="292"/>
      <c r="I444" s="478">
        <v>6.8554553698711995E-2</v>
      </c>
      <c r="J444" s="478">
        <v>0.10344827586206895</v>
      </c>
      <c r="K444" s="478">
        <v>0.1125606796116505</v>
      </c>
      <c r="L444" s="478">
        <v>0.10771748022907013</v>
      </c>
      <c r="M444" s="478">
        <v>0.1088133924175283</v>
      </c>
      <c r="N444" s="476">
        <f>M444-($M444-$R444)/5</f>
        <v>0.10705071393402264</v>
      </c>
      <c r="O444" s="476">
        <f>N444-($M444-$R444)/5</f>
        <v>0.10528803545051699</v>
      </c>
      <c r="P444" s="476">
        <f>O444-($M444-$R444)/5</f>
        <v>0.10352535696701133</v>
      </c>
      <c r="Q444" s="476">
        <f>P444-($M444-$R444)/5</f>
        <v>0.10176267848350568</v>
      </c>
      <c r="R444" s="478">
        <v>0.1</v>
      </c>
      <c r="T444" s="393" t="s">
        <v>759</v>
      </c>
    </row>
    <row r="445" spans="1:20" s="393" customFormat="1" x14ac:dyDescent="0.3">
      <c r="B445" s="279" t="s">
        <v>253</v>
      </c>
      <c r="C445" s="248"/>
      <c r="D445" s="248"/>
      <c r="E445" s="248"/>
      <c r="F445" s="233"/>
      <c r="G445" s="233"/>
      <c r="H445" s="292"/>
      <c r="I445" s="478">
        <v>0.22014706286142521</v>
      </c>
      <c r="J445" s="478">
        <v>0.22532712647039738</v>
      </c>
      <c r="K445" s="478">
        <v>0.23068230993562508</v>
      </c>
      <c r="L445" s="478">
        <v>0.23516091464686595</v>
      </c>
      <c r="M445" s="478">
        <v>0.23659837705240422</v>
      </c>
      <c r="N445" s="476">
        <f t="shared" ref="N445:R446" si="173">M445</f>
        <v>0.23659837705240422</v>
      </c>
      <c r="O445" s="476">
        <f t="shared" si="173"/>
        <v>0.23659837705240422</v>
      </c>
      <c r="P445" s="476">
        <f t="shared" si="173"/>
        <v>0.23659837705240422</v>
      </c>
      <c r="Q445" s="476">
        <f t="shared" si="173"/>
        <v>0.23659837705240422</v>
      </c>
      <c r="R445" s="476">
        <f t="shared" si="173"/>
        <v>0.23659837705240422</v>
      </c>
      <c r="T445" s="393" t="s">
        <v>751</v>
      </c>
    </row>
    <row r="446" spans="1:20" s="393" customFormat="1" x14ac:dyDescent="0.3">
      <c r="B446" s="279" t="s">
        <v>821</v>
      </c>
      <c r="C446" s="248"/>
      <c r="D446" s="248"/>
      <c r="E446" s="248"/>
      <c r="F446" s="233"/>
      <c r="G446" s="233"/>
      <c r="H446" s="292"/>
      <c r="I446" s="478">
        <v>6.4347947405794942E-2</v>
      </c>
      <c r="J446" s="476">
        <f>I446-0.3%</f>
        <v>6.1347947405794939E-2</v>
      </c>
      <c r="K446" s="476">
        <f>J446-0.3%</f>
        <v>5.8347947405794937E-2</v>
      </c>
      <c r="L446" s="476">
        <f>K446-0.3%</f>
        <v>5.5347947405794934E-2</v>
      </c>
      <c r="M446" s="476">
        <f>L446-0.3%</f>
        <v>5.2347947405794931E-2</v>
      </c>
      <c r="N446" s="476">
        <f t="shared" si="173"/>
        <v>5.2347947405794931E-2</v>
      </c>
      <c r="O446" s="476">
        <f t="shared" si="173"/>
        <v>5.2347947405794931E-2</v>
      </c>
      <c r="P446" s="476">
        <f t="shared" si="173"/>
        <v>5.2347947405794931E-2</v>
      </c>
      <c r="Q446" s="476">
        <f t="shared" si="173"/>
        <v>5.2347947405794931E-2</v>
      </c>
      <c r="R446" s="476">
        <f t="shared" si="173"/>
        <v>5.2347947405794931E-2</v>
      </c>
      <c r="T446" s="393" t="s">
        <v>753</v>
      </c>
    </row>
    <row r="447" spans="1:20" s="393" customFormat="1" x14ac:dyDescent="0.3">
      <c r="B447" s="279" t="s">
        <v>822</v>
      </c>
      <c r="C447" s="248"/>
      <c r="D447" s="248"/>
      <c r="E447" s="248"/>
      <c r="F447" s="233"/>
      <c r="G447" s="233"/>
      <c r="H447" s="292"/>
      <c r="I447" s="478">
        <v>2.4680140160587257E-3</v>
      </c>
      <c r="J447" s="476">
        <f>I447-0.02%</f>
        <v>2.2680140160587256E-3</v>
      </c>
      <c r="K447" s="476">
        <f t="shared" ref="K447:R447" si="174">J447-0.01%</f>
        <v>2.1680140160587258E-3</v>
      </c>
      <c r="L447" s="476">
        <f t="shared" si="174"/>
        <v>2.0680140160587259E-3</v>
      </c>
      <c r="M447" s="476">
        <f t="shared" si="174"/>
        <v>1.9680140160587261E-3</v>
      </c>
      <c r="N447" s="476">
        <f t="shared" si="174"/>
        <v>1.8680140160587261E-3</v>
      </c>
      <c r="O447" s="476">
        <f t="shared" si="174"/>
        <v>1.768014016058726E-3</v>
      </c>
      <c r="P447" s="476">
        <f t="shared" si="174"/>
        <v>1.668014016058726E-3</v>
      </c>
      <c r="Q447" s="476">
        <f t="shared" si="174"/>
        <v>1.5680140160587259E-3</v>
      </c>
      <c r="R447" s="476">
        <f t="shared" si="174"/>
        <v>1.4680140160587259E-3</v>
      </c>
      <c r="T447" s="393" t="s">
        <v>755</v>
      </c>
    </row>
    <row r="448" spans="1:20" s="393" customFormat="1" x14ac:dyDescent="0.3">
      <c r="B448" s="399"/>
      <c r="H448" s="400"/>
      <c r="I448" s="480"/>
      <c r="J448" s="480"/>
      <c r="K448" s="480"/>
      <c r="L448" s="480"/>
      <c r="M448" s="480"/>
      <c r="N448" s="480"/>
      <c r="O448" s="480"/>
      <c r="P448" s="480"/>
      <c r="Q448" s="480"/>
      <c r="R448" s="480"/>
    </row>
    <row r="449" spans="1:20" s="393" customFormat="1" x14ac:dyDescent="0.3">
      <c r="B449" s="279" t="s">
        <v>230</v>
      </c>
      <c r="C449" s="248"/>
      <c r="D449" s="248"/>
      <c r="E449" s="248"/>
      <c r="F449" s="233"/>
      <c r="G449" s="233"/>
      <c r="H449" s="228"/>
      <c r="I449" s="478">
        <v>0.35</v>
      </c>
      <c r="J449" s="476">
        <f t="shared" ref="J449:R449" si="175">I449</f>
        <v>0.35</v>
      </c>
      <c r="K449" s="476">
        <f t="shared" si="175"/>
        <v>0.35</v>
      </c>
      <c r="L449" s="476">
        <f t="shared" si="175"/>
        <v>0.35</v>
      </c>
      <c r="M449" s="476">
        <f t="shared" si="175"/>
        <v>0.35</v>
      </c>
      <c r="N449" s="476">
        <f t="shared" si="175"/>
        <v>0.35</v>
      </c>
      <c r="O449" s="476">
        <f t="shared" si="175"/>
        <v>0.35</v>
      </c>
      <c r="P449" s="476">
        <f t="shared" si="175"/>
        <v>0.35</v>
      </c>
      <c r="Q449" s="476">
        <f t="shared" si="175"/>
        <v>0.35</v>
      </c>
      <c r="R449" s="476">
        <f t="shared" si="175"/>
        <v>0.35</v>
      </c>
      <c r="T449" s="393" t="s">
        <v>846</v>
      </c>
    </row>
    <row r="450" spans="1:20" s="393" customFormat="1" x14ac:dyDescent="0.3">
      <c r="B450" s="279"/>
      <c r="C450" s="248"/>
      <c r="D450" s="248"/>
      <c r="E450" s="248"/>
      <c r="F450" s="233"/>
      <c r="G450" s="233"/>
      <c r="H450" s="228"/>
      <c r="I450" s="478"/>
      <c r="J450" s="476"/>
      <c r="K450" s="476"/>
      <c r="L450" s="476"/>
      <c r="M450" s="476"/>
      <c r="N450" s="476"/>
      <c r="O450" s="476"/>
      <c r="P450" s="476"/>
      <c r="Q450" s="476"/>
      <c r="R450" s="476"/>
    </row>
    <row r="451" spans="1:20" s="393" customFormat="1" x14ac:dyDescent="0.3">
      <c r="B451" s="270" t="s">
        <v>440</v>
      </c>
      <c r="C451" s="248"/>
      <c r="D451" s="248"/>
      <c r="E451" s="248"/>
      <c r="F451" s="248"/>
      <c r="G451" s="248"/>
      <c r="H451" s="230"/>
      <c r="I451" s="481"/>
      <c r="J451" s="481"/>
      <c r="K451" s="481"/>
      <c r="L451" s="481"/>
      <c r="M451" s="481"/>
      <c r="N451" s="481"/>
      <c r="O451" s="481"/>
      <c r="P451" s="481"/>
      <c r="Q451" s="481"/>
      <c r="R451" s="481"/>
    </row>
    <row r="452" spans="1:20" s="393" customFormat="1" x14ac:dyDescent="0.3">
      <c r="B452" s="279" t="s">
        <v>433</v>
      </c>
      <c r="C452" s="248"/>
      <c r="D452" s="248"/>
      <c r="E452" s="248"/>
      <c r="F452" s="233"/>
      <c r="G452" s="233"/>
      <c r="H452" s="228"/>
      <c r="I452" s="478">
        <v>6.2604620020087043E-2</v>
      </c>
      <c r="J452" s="478">
        <v>6.0679611650485438E-2</v>
      </c>
      <c r="K452" s="478">
        <v>6.5448595582219798E-2</v>
      </c>
      <c r="L452" s="478">
        <v>6.2776957163958647E-2</v>
      </c>
      <c r="M452" s="478">
        <v>5.7282415630550622E-2</v>
      </c>
      <c r="N452" s="476">
        <f t="shared" ref="N452:R453" si="176">M452</f>
        <v>5.7282415630550622E-2</v>
      </c>
      <c r="O452" s="476">
        <f t="shared" si="176"/>
        <v>5.7282415630550622E-2</v>
      </c>
      <c r="P452" s="476">
        <f t="shared" si="176"/>
        <v>5.7282415630550622E-2</v>
      </c>
      <c r="Q452" s="476">
        <f t="shared" si="176"/>
        <v>5.7282415630550622E-2</v>
      </c>
      <c r="R452" s="476">
        <f t="shared" si="176"/>
        <v>5.7282415630550622E-2</v>
      </c>
      <c r="T452" s="393" t="s">
        <v>756</v>
      </c>
    </row>
    <row r="453" spans="1:20" s="393" customFormat="1" ht="13.5" thickBot="1" x14ac:dyDescent="0.35">
      <c r="B453" s="504" t="s">
        <v>432</v>
      </c>
      <c r="C453" s="267"/>
      <c r="D453" s="267"/>
      <c r="E453" s="267"/>
      <c r="F453" s="238"/>
      <c r="G453" s="238"/>
      <c r="H453" s="293"/>
      <c r="I453" s="506">
        <v>5.7248074991630399E-2</v>
      </c>
      <c r="J453" s="506">
        <v>5.6735436893203886E-2</v>
      </c>
      <c r="K453" s="506">
        <v>5.781292609762749E-2</v>
      </c>
      <c r="L453" s="506">
        <v>5.8099458394879372E-2</v>
      </c>
      <c r="M453" s="506">
        <v>5.7504440497335704E-2</v>
      </c>
      <c r="N453" s="507">
        <f t="shared" si="176"/>
        <v>5.7504440497335704E-2</v>
      </c>
      <c r="O453" s="507">
        <f t="shared" si="176"/>
        <v>5.7504440497335704E-2</v>
      </c>
      <c r="P453" s="507">
        <f t="shared" si="176"/>
        <v>5.7504440497335704E-2</v>
      </c>
      <c r="Q453" s="507">
        <f t="shared" si="176"/>
        <v>5.7504440497335704E-2</v>
      </c>
      <c r="R453" s="507">
        <f t="shared" si="176"/>
        <v>5.7504440497335704E-2</v>
      </c>
    </row>
    <row r="454" spans="1:20" s="393" customFormat="1" x14ac:dyDescent="0.3"/>
    <row r="455" spans="1:20" s="393" customFormat="1" x14ac:dyDescent="0.3">
      <c r="A455" s="398"/>
      <c r="B455" s="599" t="str">
        <f>'LBO Model'!E7</f>
        <v>Downside Case</v>
      </c>
      <c r="C455" s="599"/>
      <c r="D455" s="599"/>
      <c r="E455" s="599"/>
      <c r="F455" s="599"/>
      <c r="G455" s="599"/>
      <c r="H455" s="599"/>
      <c r="I455" s="599"/>
      <c r="J455" s="599"/>
      <c r="K455" s="599"/>
      <c r="L455" s="599"/>
      <c r="M455" s="599"/>
      <c r="N455" s="599"/>
      <c r="O455" s="599"/>
      <c r="P455" s="599"/>
      <c r="Q455" s="599"/>
      <c r="R455" s="599"/>
    </row>
    <row r="456" spans="1:20" s="393" customFormat="1" ht="13.5" thickBot="1" x14ac:dyDescent="0.35">
      <c r="A456" s="398"/>
      <c r="B456" s="599"/>
      <c r="C456" s="599"/>
      <c r="D456" s="599"/>
      <c r="E456" s="599"/>
      <c r="F456" s="599"/>
      <c r="G456" s="599"/>
      <c r="H456" s="599"/>
      <c r="I456" s="599"/>
      <c r="J456" s="599"/>
      <c r="K456" s="599"/>
      <c r="L456" s="599"/>
      <c r="M456" s="599"/>
      <c r="N456" s="599"/>
      <c r="O456" s="599"/>
      <c r="P456" s="599"/>
      <c r="Q456" s="599"/>
      <c r="R456" s="599"/>
    </row>
    <row r="457" spans="1:20" s="393" customFormat="1" x14ac:dyDescent="0.3">
      <c r="B457" s="595" t="s">
        <v>416</v>
      </c>
      <c r="C457" s="596"/>
      <c r="D457" s="596"/>
      <c r="E457" s="596"/>
      <c r="F457" s="597" t="s">
        <v>109</v>
      </c>
      <c r="G457" s="597"/>
      <c r="H457" s="277"/>
      <c r="I457" s="597" t="s">
        <v>364</v>
      </c>
      <c r="J457" s="597"/>
      <c r="K457" s="597"/>
      <c r="L457" s="597"/>
      <c r="M457" s="597"/>
      <c r="N457" s="597"/>
      <c r="O457" s="597"/>
      <c r="P457" s="598"/>
      <c r="Q457" s="598"/>
      <c r="R457" s="598"/>
    </row>
    <row r="458" spans="1:20" s="393" customFormat="1" x14ac:dyDescent="0.3">
      <c r="B458" s="258"/>
      <c r="C458" s="258"/>
      <c r="D458" s="258"/>
      <c r="E458" s="258"/>
      <c r="F458" s="231">
        <v>42003</v>
      </c>
      <c r="G458" s="231">
        <v>42367</v>
      </c>
      <c r="H458" s="232">
        <v>42731</v>
      </c>
      <c r="I458" s="231">
        <f t="shared" ref="I458:R458" si="177">DATE(YEAR(H458)+1,MONTH(H458),DAY(H458))</f>
        <v>43096</v>
      </c>
      <c r="J458" s="231">
        <f t="shared" si="177"/>
        <v>43461</v>
      </c>
      <c r="K458" s="231">
        <f t="shared" si="177"/>
        <v>43826</v>
      </c>
      <c r="L458" s="231">
        <f t="shared" si="177"/>
        <v>44192</v>
      </c>
      <c r="M458" s="231">
        <f t="shared" si="177"/>
        <v>44557</v>
      </c>
      <c r="N458" s="231">
        <f t="shared" si="177"/>
        <v>44922</v>
      </c>
      <c r="O458" s="231">
        <f t="shared" si="177"/>
        <v>45287</v>
      </c>
      <c r="P458" s="231">
        <f t="shared" si="177"/>
        <v>45653</v>
      </c>
      <c r="Q458" s="231">
        <f t="shared" si="177"/>
        <v>46018</v>
      </c>
      <c r="R458" s="231">
        <f t="shared" si="177"/>
        <v>46383</v>
      </c>
    </row>
    <row r="459" spans="1:20" s="393" customFormat="1" x14ac:dyDescent="0.3">
      <c r="B459" s="394" t="s">
        <v>515</v>
      </c>
      <c r="H459" s="400"/>
      <c r="I459" s="480"/>
      <c r="J459" s="480"/>
      <c r="K459" s="480"/>
      <c r="L459" s="480"/>
      <c r="M459" s="480"/>
      <c r="N459" s="480"/>
      <c r="O459" s="480"/>
      <c r="P459" s="480"/>
      <c r="Q459" s="480"/>
      <c r="R459" s="480"/>
    </row>
    <row r="460" spans="1:20" s="393" customFormat="1" x14ac:dyDescent="0.3">
      <c r="B460" s="279" t="s">
        <v>252</v>
      </c>
      <c r="C460" s="248"/>
      <c r="D460" s="248"/>
      <c r="E460" s="248"/>
      <c r="F460" s="233"/>
      <c r="G460" s="233"/>
      <c r="H460" s="292"/>
      <c r="I460" s="477">
        <f>I428</f>
        <v>1.8155308621848887E-2</v>
      </c>
      <c r="J460" s="477">
        <f>J428</f>
        <v>8.3281474852192172E-2</v>
      </c>
      <c r="K460" s="477">
        <f>K428</f>
        <v>9.4473540950377632E-2</v>
      </c>
      <c r="L460" s="476">
        <f t="shared" ref="L460:Q460" si="178">K460-($K460-$R460)/7</f>
        <v>8.6691606528895113E-2</v>
      </c>
      <c r="M460" s="476">
        <f t="shared" si="178"/>
        <v>7.8909672107412593E-2</v>
      </c>
      <c r="N460" s="476">
        <f t="shared" si="178"/>
        <v>7.1127737685930073E-2</v>
      </c>
      <c r="O460" s="476">
        <f t="shared" si="178"/>
        <v>6.3345803264447553E-2</v>
      </c>
      <c r="P460" s="476">
        <f t="shared" si="178"/>
        <v>5.5563868842965033E-2</v>
      </c>
      <c r="Q460" s="476">
        <f t="shared" si="178"/>
        <v>4.7781934421482514E-2</v>
      </c>
      <c r="R460" s="478">
        <v>0.04</v>
      </c>
      <c r="T460" s="393" t="s">
        <v>757</v>
      </c>
    </row>
    <row r="461" spans="1:20" s="393" customFormat="1" x14ac:dyDescent="0.3">
      <c r="B461" s="279" t="s">
        <v>253</v>
      </c>
      <c r="C461" s="248"/>
      <c r="D461" s="248"/>
      <c r="E461" s="248"/>
      <c r="F461" s="233"/>
      <c r="G461" s="233"/>
      <c r="H461" s="292"/>
      <c r="I461" s="477">
        <f>I429</f>
        <v>0.2209128862846155</v>
      </c>
      <c r="J461" s="477">
        <f t="shared" ref="J461:R461" si="179">I461</f>
        <v>0.2209128862846155</v>
      </c>
      <c r="K461" s="477">
        <f t="shared" si="179"/>
        <v>0.2209128862846155</v>
      </c>
      <c r="L461" s="477">
        <f t="shared" si="179"/>
        <v>0.2209128862846155</v>
      </c>
      <c r="M461" s="477">
        <f t="shared" si="179"/>
        <v>0.2209128862846155</v>
      </c>
      <c r="N461" s="477">
        <f t="shared" si="179"/>
        <v>0.2209128862846155</v>
      </c>
      <c r="O461" s="477">
        <f t="shared" si="179"/>
        <v>0.2209128862846155</v>
      </c>
      <c r="P461" s="477">
        <f t="shared" si="179"/>
        <v>0.2209128862846155</v>
      </c>
      <c r="Q461" s="477">
        <f t="shared" si="179"/>
        <v>0.2209128862846155</v>
      </c>
      <c r="R461" s="477">
        <f t="shared" si="179"/>
        <v>0.2209128862846155</v>
      </c>
      <c r="T461" s="393" t="s">
        <v>758</v>
      </c>
    </row>
    <row r="462" spans="1:20" s="393" customFormat="1" x14ac:dyDescent="0.3">
      <c r="B462" s="279" t="s">
        <v>821</v>
      </c>
      <c r="C462" s="248"/>
      <c r="D462" s="248"/>
      <c r="E462" s="248"/>
      <c r="F462" s="233"/>
      <c r="G462" s="233"/>
      <c r="H462" s="292"/>
      <c r="I462" s="477">
        <f>I430</f>
        <v>6.4000000000000001E-2</v>
      </c>
      <c r="J462" s="477">
        <f t="shared" ref="J462:R462" si="180">I462</f>
        <v>6.4000000000000001E-2</v>
      </c>
      <c r="K462" s="477">
        <f t="shared" si="180"/>
        <v>6.4000000000000001E-2</v>
      </c>
      <c r="L462" s="477">
        <f t="shared" si="180"/>
        <v>6.4000000000000001E-2</v>
      </c>
      <c r="M462" s="477">
        <f t="shared" si="180"/>
        <v>6.4000000000000001E-2</v>
      </c>
      <c r="N462" s="477">
        <f t="shared" si="180"/>
        <v>6.4000000000000001E-2</v>
      </c>
      <c r="O462" s="477">
        <f t="shared" si="180"/>
        <v>6.4000000000000001E-2</v>
      </c>
      <c r="P462" s="477">
        <f t="shared" si="180"/>
        <v>6.4000000000000001E-2</v>
      </c>
      <c r="Q462" s="477">
        <f t="shared" si="180"/>
        <v>6.4000000000000001E-2</v>
      </c>
      <c r="R462" s="477">
        <f t="shared" si="180"/>
        <v>6.4000000000000001E-2</v>
      </c>
      <c r="T462" s="393" t="s">
        <v>758</v>
      </c>
    </row>
    <row r="463" spans="1:20" s="393" customFormat="1" x14ac:dyDescent="0.3">
      <c r="B463" s="279" t="s">
        <v>822</v>
      </c>
      <c r="C463" s="248"/>
      <c r="D463" s="248"/>
      <c r="E463" s="248"/>
      <c r="F463" s="233"/>
      <c r="G463" s="233"/>
      <c r="H463" s="292"/>
      <c r="I463" s="477">
        <f>I431</f>
        <v>2E-3</v>
      </c>
      <c r="J463" s="477">
        <f t="shared" ref="J463:R463" si="181">I463</f>
        <v>2E-3</v>
      </c>
      <c r="K463" s="477">
        <f t="shared" si="181"/>
        <v>2E-3</v>
      </c>
      <c r="L463" s="477">
        <f t="shared" si="181"/>
        <v>2E-3</v>
      </c>
      <c r="M463" s="477">
        <f t="shared" si="181"/>
        <v>2E-3</v>
      </c>
      <c r="N463" s="477">
        <f t="shared" si="181"/>
        <v>2E-3</v>
      </c>
      <c r="O463" s="477">
        <f t="shared" si="181"/>
        <v>2E-3</v>
      </c>
      <c r="P463" s="477">
        <f t="shared" si="181"/>
        <v>2E-3</v>
      </c>
      <c r="Q463" s="477">
        <f t="shared" si="181"/>
        <v>2E-3</v>
      </c>
      <c r="R463" s="477">
        <f t="shared" si="181"/>
        <v>2E-3</v>
      </c>
      <c r="T463" s="393" t="s">
        <v>845</v>
      </c>
    </row>
    <row r="464" spans="1:20" s="393" customFormat="1" x14ac:dyDescent="0.3">
      <c r="B464" s="399"/>
      <c r="H464" s="400"/>
      <c r="I464" s="477"/>
      <c r="J464" s="477"/>
      <c r="K464" s="477"/>
      <c r="L464" s="477"/>
      <c r="M464" s="477"/>
      <c r="N464" s="477"/>
      <c r="O464" s="477"/>
      <c r="P464" s="477"/>
      <c r="Q464" s="477"/>
      <c r="R464" s="477"/>
    </row>
    <row r="465" spans="1:20" s="393" customFormat="1" x14ac:dyDescent="0.3">
      <c r="B465" s="279" t="s">
        <v>230</v>
      </c>
      <c r="C465" s="248"/>
      <c r="D465" s="248"/>
      <c r="E465" s="248"/>
      <c r="F465" s="233"/>
      <c r="G465" s="233"/>
      <c r="H465" s="228"/>
      <c r="I465" s="477">
        <f t="shared" ref="I465:R465" si="182">I433</f>
        <v>0.35</v>
      </c>
      <c r="J465" s="477">
        <f t="shared" si="182"/>
        <v>0.35</v>
      </c>
      <c r="K465" s="477">
        <f t="shared" si="182"/>
        <v>0.35</v>
      </c>
      <c r="L465" s="477">
        <f t="shared" si="182"/>
        <v>0.35</v>
      </c>
      <c r="M465" s="477">
        <f t="shared" si="182"/>
        <v>0.35</v>
      </c>
      <c r="N465" s="477">
        <f t="shared" si="182"/>
        <v>0.35</v>
      </c>
      <c r="O465" s="477">
        <f t="shared" si="182"/>
        <v>0.35</v>
      </c>
      <c r="P465" s="477">
        <f t="shared" si="182"/>
        <v>0.35</v>
      </c>
      <c r="Q465" s="477">
        <f t="shared" si="182"/>
        <v>0.35</v>
      </c>
      <c r="R465" s="477">
        <f t="shared" si="182"/>
        <v>0.35</v>
      </c>
      <c r="T465" s="393" t="s">
        <v>846</v>
      </c>
    </row>
    <row r="466" spans="1:20" s="393" customFormat="1" x14ac:dyDescent="0.3">
      <c r="B466" s="279"/>
      <c r="C466" s="248"/>
      <c r="D466" s="248"/>
      <c r="E466" s="248"/>
      <c r="F466" s="233"/>
      <c r="G466" s="233"/>
      <c r="H466" s="228"/>
      <c r="I466" s="477"/>
      <c r="J466" s="477"/>
      <c r="K466" s="477"/>
      <c r="L466" s="477"/>
      <c r="M466" s="477"/>
      <c r="N466" s="477"/>
      <c r="O466" s="477"/>
      <c r="P466" s="477"/>
      <c r="Q466" s="477"/>
      <c r="R466" s="477"/>
    </row>
    <row r="467" spans="1:20" s="393" customFormat="1" x14ac:dyDescent="0.3">
      <c r="B467" s="270" t="s">
        <v>440</v>
      </c>
      <c r="C467" s="248"/>
      <c r="D467" s="248"/>
      <c r="E467" s="248"/>
      <c r="F467" s="248"/>
      <c r="G467" s="248"/>
      <c r="H467" s="230"/>
      <c r="I467" s="477"/>
      <c r="J467" s="477"/>
      <c r="K467" s="477"/>
      <c r="L467" s="477"/>
      <c r="M467" s="477"/>
      <c r="N467" s="477"/>
      <c r="O467" s="477"/>
      <c r="P467" s="477"/>
      <c r="Q467" s="477"/>
      <c r="R467" s="477"/>
    </row>
    <row r="468" spans="1:20" s="393" customFormat="1" x14ac:dyDescent="0.3">
      <c r="B468" s="279" t="s">
        <v>433</v>
      </c>
      <c r="C468" s="248"/>
      <c r="D468" s="248"/>
      <c r="E468" s="248"/>
      <c r="F468" s="233"/>
      <c r="G468" s="233"/>
      <c r="H468" s="228"/>
      <c r="I468" s="477">
        <f t="shared" ref="I468:R468" si="183">I436</f>
        <v>7.409879680627382E-2</v>
      </c>
      <c r="J468" s="477">
        <f t="shared" si="183"/>
        <v>6.4794726496988628E-2</v>
      </c>
      <c r="K468" s="477">
        <f t="shared" si="183"/>
        <v>5.804967964865073E-2</v>
      </c>
      <c r="L468" s="477">
        <f t="shared" si="183"/>
        <v>5.0519554060044387E-2</v>
      </c>
      <c r="M468" s="477">
        <f t="shared" si="183"/>
        <v>4.566436840878027E-2</v>
      </c>
      <c r="N468" s="477">
        <f t="shared" si="183"/>
        <v>4.6931494727024216E-2</v>
      </c>
      <c r="O468" s="477">
        <f t="shared" si="183"/>
        <v>4.8198621045268161E-2</v>
      </c>
      <c r="P468" s="477">
        <f t="shared" si="183"/>
        <v>4.9465747363512107E-2</v>
      </c>
      <c r="Q468" s="477">
        <f t="shared" si="183"/>
        <v>5.0732873681756052E-2</v>
      </c>
      <c r="R468" s="477">
        <f t="shared" si="183"/>
        <v>5.1999999999999998E-2</v>
      </c>
      <c r="T468" s="393" t="s">
        <v>760</v>
      </c>
    </row>
    <row r="469" spans="1:20" s="393" customFormat="1" ht="13.5" thickBot="1" x14ac:dyDescent="0.35">
      <c r="B469" s="504" t="s">
        <v>432</v>
      </c>
      <c r="C469" s="267"/>
      <c r="D469" s="267"/>
      <c r="E469" s="267"/>
      <c r="F469" s="238"/>
      <c r="G469" s="238"/>
      <c r="H469" s="293"/>
      <c r="I469" s="508">
        <f t="shared" ref="I469:R469" si="184">I437</f>
        <v>5.7054702624780324E-2</v>
      </c>
      <c r="J469" s="508">
        <f t="shared" si="184"/>
        <v>5.4299898188356968E-2</v>
      </c>
      <c r="K469" s="508">
        <f t="shared" si="184"/>
        <v>5.3424884869103399E-2</v>
      </c>
      <c r="L469" s="508">
        <f t="shared" si="184"/>
        <v>5.3095134388898478E-2</v>
      </c>
      <c r="M469" s="508">
        <f t="shared" si="184"/>
        <v>5.2239948360287482E-2</v>
      </c>
      <c r="N469" s="508">
        <f t="shared" si="184"/>
        <v>5.2239948360287482E-2</v>
      </c>
      <c r="O469" s="508">
        <f t="shared" si="184"/>
        <v>5.2239948360287482E-2</v>
      </c>
      <c r="P469" s="508">
        <f t="shared" si="184"/>
        <v>5.2239948360287482E-2</v>
      </c>
      <c r="Q469" s="508">
        <f t="shared" si="184"/>
        <v>5.2239948360287482E-2</v>
      </c>
      <c r="R469" s="508">
        <f t="shared" si="184"/>
        <v>5.2239948360287482E-2</v>
      </c>
    </row>
    <row r="470" spans="1:20" s="393" customFormat="1" x14ac:dyDescent="0.3"/>
    <row r="471" spans="1:20" s="393" customFormat="1" x14ac:dyDescent="0.3">
      <c r="A471" s="398"/>
      <c r="B471" s="599" t="str">
        <f>'LBO Model'!E8</f>
        <v>Open Case #1</v>
      </c>
      <c r="C471" s="599"/>
      <c r="D471" s="599"/>
      <c r="E471" s="599"/>
      <c r="F471" s="599"/>
      <c r="G471" s="599"/>
      <c r="H471" s="599"/>
      <c r="I471" s="599"/>
      <c r="J471" s="599"/>
      <c r="K471" s="599"/>
      <c r="L471" s="599"/>
      <c r="M471" s="599"/>
      <c r="N471" s="599"/>
      <c r="O471" s="599"/>
      <c r="P471" s="599"/>
      <c r="Q471" s="599"/>
      <c r="R471" s="599"/>
    </row>
    <row r="472" spans="1:20" s="393" customFormat="1" ht="13.5" thickBot="1" x14ac:dyDescent="0.35">
      <c r="A472" s="398"/>
      <c r="B472" s="599"/>
      <c r="C472" s="599"/>
      <c r="D472" s="599"/>
      <c r="E472" s="599"/>
      <c r="F472" s="599"/>
      <c r="G472" s="599"/>
      <c r="H472" s="599"/>
      <c r="I472" s="599"/>
      <c r="J472" s="599"/>
      <c r="K472" s="599"/>
      <c r="L472" s="599"/>
      <c r="M472" s="599"/>
      <c r="N472" s="599"/>
      <c r="O472" s="599"/>
      <c r="P472" s="599"/>
      <c r="Q472" s="599"/>
      <c r="R472" s="599"/>
    </row>
    <row r="473" spans="1:20" s="393" customFormat="1" x14ac:dyDescent="0.3">
      <c r="B473" s="595" t="s">
        <v>416</v>
      </c>
      <c r="C473" s="596"/>
      <c r="D473" s="596"/>
      <c r="E473" s="596"/>
      <c r="F473" s="597" t="s">
        <v>109</v>
      </c>
      <c r="G473" s="597"/>
      <c r="H473" s="277"/>
      <c r="I473" s="597" t="s">
        <v>364</v>
      </c>
      <c r="J473" s="597"/>
      <c r="K473" s="597"/>
      <c r="L473" s="597"/>
      <c r="M473" s="597"/>
      <c r="N473" s="597"/>
      <c r="O473" s="597"/>
      <c r="P473" s="598"/>
      <c r="Q473" s="598"/>
      <c r="R473" s="598"/>
    </row>
    <row r="474" spans="1:20" s="393" customFormat="1" x14ac:dyDescent="0.3">
      <c r="B474" s="258"/>
      <c r="C474" s="258"/>
      <c r="D474" s="258"/>
      <c r="E474" s="258"/>
      <c r="F474" s="231">
        <v>42003</v>
      </c>
      <c r="G474" s="231">
        <v>42367</v>
      </c>
      <c r="H474" s="232">
        <v>42731</v>
      </c>
      <c r="I474" s="231">
        <f t="shared" ref="I474:R474" si="185">DATE(YEAR(H474)+1,MONTH(H474),DAY(H474))</f>
        <v>43096</v>
      </c>
      <c r="J474" s="231">
        <f t="shared" si="185"/>
        <v>43461</v>
      </c>
      <c r="K474" s="231">
        <f t="shared" si="185"/>
        <v>43826</v>
      </c>
      <c r="L474" s="231">
        <f t="shared" si="185"/>
        <v>44192</v>
      </c>
      <c r="M474" s="231">
        <f t="shared" si="185"/>
        <v>44557</v>
      </c>
      <c r="N474" s="231">
        <f t="shared" si="185"/>
        <v>44922</v>
      </c>
      <c r="O474" s="231">
        <f t="shared" si="185"/>
        <v>45287</v>
      </c>
      <c r="P474" s="231">
        <f t="shared" si="185"/>
        <v>45653</v>
      </c>
      <c r="Q474" s="231">
        <f t="shared" si="185"/>
        <v>46018</v>
      </c>
      <c r="R474" s="231">
        <f t="shared" si="185"/>
        <v>46383</v>
      </c>
    </row>
    <row r="475" spans="1:20" s="393" customFormat="1" x14ac:dyDescent="0.3">
      <c r="B475" s="394" t="s">
        <v>515</v>
      </c>
      <c r="H475" s="400"/>
      <c r="I475" s="480"/>
      <c r="J475" s="480"/>
      <c r="K475" s="480"/>
      <c r="L475" s="480"/>
      <c r="M475" s="480"/>
      <c r="N475" s="480"/>
      <c r="O475" s="480"/>
      <c r="P475" s="480"/>
      <c r="Q475" s="480"/>
      <c r="R475" s="480"/>
    </row>
    <row r="476" spans="1:20" s="393" customFormat="1" x14ac:dyDescent="0.3">
      <c r="B476" s="279" t="s">
        <v>252</v>
      </c>
      <c r="C476" s="248"/>
      <c r="D476" s="248"/>
      <c r="E476" s="248"/>
      <c r="F476" s="233"/>
      <c r="G476" s="233"/>
      <c r="H476" s="292"/>
      <c r="I476" s="478"/>
      <c r="J476" s="478"/>
      <c r="K476" s="478"/>
      <c r="L476" s="478"/>
      <c r="M476" s="478"/>
      <c r="N476" s="476"/>
      <c r="O476" s="476"/>
      <c r="P476" s="476"/>
      <c r="Q476" s="476"/>
      <c r="R476" s="476"/>
    </row>
    <row r="477" spans="1:20" s="393" customFormat="1" x14ac:dyDescent="0.3">
      <c r="B477" s="279" t="s">
        <v>253</v>
      </c>
      <c r="C477" s="248"/>
      <c r="D477" s="248"/>
      <c r="E477" s="248"/>
      <c r="F477" s="233"/>
      <c r="G477" s="233"/>
      <c r="H477" s="292"/>
      <c r="I477" s="478"/>
      <c r="J477" s="478"/>
      <c r="K477" s="478"/>
      <c r="L477" s="478"/>
      <c r="M477" s="478"/>
      <c r="N477" s="476"/>
      <c r="O477" s="476"/>
      <c r="P477" s="476"/>
      <c r="Q477" s="476"/>
      <c r="R477" s="476"/>
    </row>
    <row r="478" spans="1:20" s="393" customFormat="1" x14ac:dyDescent="0.3">
      <c r="B478" s="279" t="s">
        <v>821</v>
      </c>
      <c r="C478" s="248"/>
      <c r="D478" s="248"/>
      <c r="E478" s="248"/>
      <c r="F478" s="233"/>
      <c r="G478" s="233"/>
      <c r="H478" s="292"/>
      <c r="I478" s="478"/>
      <c r="J478" s="476"/>
      <c r="K478" s="476"/>
      <c r="L478" s="476"/>
      <c r="M478" s="476"/>
      <c r="N478" s="476"/>
      <c r="O478" s="476"/>
      <c r="P478" s="476"/>
      <c r="Q478" s="476"/>
      <c r="R478" s="476"/>
    </row>
    <row r="479" spans="1:20" s="393" customFormat="1" x14ac:dyDescent="0.3">
      <c r="B479" s="279" t="s">
        <v>822</v>
      </c>
      <c r="C479" s="248"/>
      <c r="D479" s="248"/>
      <c r="E479" s="248"/>
      <c r="F479" s="233"/>
      <c r="G479" s="233"/>
      <c r="H479" s="292"/>
      <c r="I479" s="478"/>
      <c r="J479" s="476"/>
      <c r="K479" s="476"/>
      <c r="L479" s="476"/>
      <c r="M479" s="476"/>
      <c r="N479" s="476"/>
      <c r="O479" s="476"/>
      <c r="P479" s="476"/>
      <c r="Q479" s="476"/>
      <c r="R479" s="476"/>
    </row>
    <row r="480" spans="1:20" s="393" customFormat="1" x14ac:dyDescent="0.3">
      <c r="B480" s="399"/>
      <c r="H480" s="400"/>
      <c r="I480" s="480"/>
      <c r="J480" s="480"/>
      <c r="K480" s="480"/>
      <c r="L480" s="480"/>
      <c r="M480" s="480"/>
      <c r="N480" s="480"/>
      <c r="O480" s="480"/>
      <c r="P480" s="480"/>
      <c r="Q480" s="480"/>
      <c r="R480" s="480"/>
    </row>
    <row r="481" spans="1:18" s="393" customFormat="1" x14ac:dyDescent="0.3">
      <c r="B481" s="279" t="s">
        <v>230</v>
      </c>
      <c r="C481" s="248"/>
      <c r="D481" s="248"/>
      <c r="E481" s="248"/>
      <c r="F481" s="233"/>
      <c r="G481" s="233"/>
      <c r="H481" s="228"/>
      <c r="I481" s="478"/>
      <c r="J481" s="476"/>
      <c r="K481" s="476"/>
      <c r="L481" s="476"/>
      <c r="M481" s="476"/>
      <c r="N481" s="476"/>
      <c r="O481" s="476"/>
      <c r="P481" s="476"/>
      <c r="Q481" s="476"/>
      <c r="R481" s="476"/>
    </row>
    <row r="482" spans="1:18" s="393" customFormat="1" x14ac:dyDescent="0.3">
      <c r="B482" s="279"/>
      <c r="C482" s="248"/>
      <c r="D482" s="248"/>
      <c r="E482" s="248"/>
      <c r="F482" s="233"/>
      <c r="G482" s="233"/>
      <c r="H482" s="228"/>
      <c r="I482" s="478"/>
      <c r="J482" s="476"/>
      <c r="K482" s="476"/>
      <c r="L482" s="476"/>
      <c r="M482" s="476"/>
      <c r="N482" s="476"/>
      <c r="O482" s="476"/>
      <c r="P482" s="476"/>
      <c r="Q482" s="476"/>
      <c r="R482" s="476"/>
    </row>
    <row r="483" spans="1:18" s="393" customFormat="1" x14ac:dyDescent="0.3">
      <c r="B483" s="270" t="s">
        <v>440</v>
      </c>
      <c r="C483" s="248"/>
      <c r="D483" s="248"/>
      <c r="E483" s="248"/>
      <c r="F483" s="248"/>
      <c r="G483" s="248"/>
      <c r="H483" s="230"/>
      <c r="I483" s="481"/>
      <c r="J483" s="481"/>
      <c r="K483" s="481"/>
      <c r="L483" s="481"/>
      <c r="M483" s="481"/>
      <c r="N483" s="481"/>
      <c r="O483" s="481"/>
      <c r="P483" s="481"/>
      <c r="Q483" s="481"/>
      <c r="R483" s="481"/>
    </row>
    <row r="484" spans="1:18" s="393" customFormat="1" x14ac:dyDescent="0.3">
      <c r="B484" s="279" t="s">
        <v>433</v>
      </c>
      <c r="C484" s="248"/>
      <c r="D484" s="248"/>
      <c r="E484" s="248"/>
      <c r="F484" s="233"/>
      <c r="G484" s="233"/>
      <c r="H484" s="228"/>
      <c r="I484" s="478"/>
      <c r="J484" s="478"/>
      <c r="K484" s="478"/>
      <c r="L484" s="478"/>
      <c r="M484" s="478"/>
      <c r="N484" s="476"/>
      <c r="O484" s="476"/>
      <c r="P484" s="476"/>
      <c r="Q484" s="476"/>
      <c r="R484" s="476"/>
    </row>
    <row r="485" spans="1:18" s="393" customFormat="1" ht="13.5" thickBot="1" x14ac:dyDescent="0.35">
      <c r="B485" s="504" t="s">
        <v>432</v>
      </c>
      <c r="C485" s="267"/>
      <c r="D485" s="267"/>
      <c r="E485" s="267"/>
      <c r="F485" s="238"/>
      <c r="G485" s="238"/>
      <c r="H485" s="293"/>
      <c r="I485" s="506"/>
      <c r="J485" s="506"/>
      <c r="K485" s="506"/>
      <c r="L485" s="506"/>
      <c r="M485" s="506"/>
      <c r="N485" s="507"/>
      <c r="O485" s="507"/>
      <c r="P485" s="507"/>
      <c r="Q485" s="507"/>
      <c r="R485" s="507"/>
    </row>
    <row r="486" spans="1:18" s="393" customFormat="1" x14ac:dyDescent="0.3"/>
    <row r="487" spans="1:18" s="393" customFormat="1" x14ac:dyDescent="0.3">
      <c r="A487" s="398"/>
      <c r="B487" s="599" t="str">
        <f>'LBO Model'!E9</f>
        <v>Open Case #2</v>
      </c>
      <c r="C487" s="599"/>
      <c r="D487" s="599"/>
      <c r="E487" s="599"/>
      <c r="F487" s="599"/>
      <c r="G487" s="599"/>
      <c r="H487" s="599"/>
      <c r="I487" s="599"/>
      <c r="J487" s="599"/>
      <c r="K487" s="599"/>
      <c r="L487" s="599"/>
      <c r="M487" s="599"/>
      <c r="N487" s="599"/>
      <c r="O487" s="599"/>
      <c r="P487" s="599"/>
      <c r="Q487" s="599"/>
      <c r="R487" s="599"/>
    </row>
    <row r="488" spans="1:18" s="393" customFormat="1" ht="13.5" thickBot="1" x14ac:dyDescent="0.35">
      <c r="A488" s="398"/>
      <c r="B488" s="599"/>
      <c r="C488" s="599"/>
      <c r="D488" s="599"/>
      <c r="E488" s="599"/>
      <c r="F488" s="599"/>
      <c r="G488" s="599"/>
      <c r="H488" s="599"/>
      <c r="I488" s="599"/>
      <c r="J488" s="599"/>
      <c r="K488" s="599"/>
      <c r="L488" s="599"/>
      <c r="M488" s="599"/>
      <c r="N488" s="599"/>
      <c r="O488" s="599"/>
      <c r="P488" s="599"/>
      <c r="Q488" s="599"/>
      <c r="R488" s="599"/>
    </row>
    <row r="489" spans="1:18" s="393" customFormat="1" x14ac:dyDescent="0.3">
      <c r="B489" s="595" t="s">
        <v>416</v>
      </c>
      <c r="C489" s="596"/>
      <c r="D489" s="596"/>
      <c r="E489" s="596"/>
      <c r="F489" s="597" t="s">
        <v>109</v>
      </c>
      <c r="G489" s="597"/>
      <c r="H489" s="277"/>
      <c r="I489" s="597" t="s">
        <v>364</v>
      </c>
      <c r="J489" s="597"/>
      <c r="K489" s="597"/>
      <c r="L489" s="597"/>
      <c r="M489" s="597"/>
      <c r="N489" s="597"/>
      <c r="O489" s="597"/>
      <c r="P489" s="598"/>
      <c r="Q489" s="598"/>
      <c r="R489" s="598"/>
    </row>
    <row r="490" spans="1:18" s="393" customFormat="1" x14ac:dyDescent="0.3">
      <c r="B490" s="258"/>
      <c r="C490" s="258"/>
      <c r="D490" s="258"/>
      <c r="E490" s="258"/>
      <c r="F490" s="231">
        <v>42003</v>
      </c>
      <c r="G490" s="231">
        <v>42367</v>
      </c>
      <c r="H490" s="232">
        <v>42731</v>
      </c>
      <c r="I490" s="231">
        <f t="shared" ref="I490:R490" si="186">DATE(YEAR(H490)+1,MONTH(H490),DAY(H490))</f>
        <v>43096</v>
      </c>
      <c r="J490" s="231">
        <f t="shared" si="186"/>
        <v>43461</v>
      </c>
      <c r="K490" s="231">
        <f t="shared" si="186"/>
        <v>43826</v>
      </c>
      <c r="L490" s="231">
        <f t="shared" si="186"/>
        <v>44192</v>
      </c>
      <c r="M490" s="231">
        <f t="shared" si="186"/>
        <v>44557</v>
      </c>
      <c r="N490" s="231">
        <f t="shared" si="186"/>
        <v>44922</v>
      </c>
      <c r="O490" s="231">
        <f t="shared" si="186"/>
        <v>45287</v>
      </c>
      <c r="P490" s="231">
        <f t="shared" si="186"/>
        <v>45653</v>
      </c>
      <c r="Q490" s="231">
        <f t="shared" si="186"/>
        <v>46018</v>
      </c>
      <c r="R490" s="231">
        <f t="shared" si="186"/>
        <v>46383</v>
      </c>
    </row>
    <row r="491" spans="1:18" s="393" customFormat="1" x14ac:dyDescent="0.3">
      <c r="B491" s="394" t="s">
        <v>515</v>
      </c>
      <c r="H491" s="400"/>
      <c r="I491" s="480"/>
      <c r="J491" s="480"/>
      <c r="K491" s="480"/>
      <c r="L491" s="480"/>
      <c r="M491" s="480"/>
      <c r="N491" s="480"/>
      <c r="O491" s="480"/>
      <c r="P491" s="480"/>
      <c r="Q491" s="480"/>
      <c r="R491" s="480"/>
    </row>
    <row r="492" spans="1:18" s="393" customFormat="1" x14ac:dyDescent="0.3">
      <c r="B492" s="279" t="s">
        <v>252</v>
      </c>
      <c r="C492" s="248"/>
      <c r="D492" s="248"/>
      <c r="E492" s="248"/>
      <c r="F492" s="233"/>
      <c r="G492" s="233"/>
      <c r="H492" s="292"/>
      <c r="I492" s="478"/>
      <c r="J492" s="478"/>
      <c r="K492" s="478"/>
      <c r="L492" s="478"/>
      <c r="M492" s="478"/>
      <c r="N492" s="476"/>
      <c r="O492" s="476"/>
      <c r="P492" s="476"/>
      <c r="Q492" s="476"/>
      <c r="R492" s="476"/>
    </row>
    <row r="493" spans="1:18" s="393" customFormat="1" x14ac:dyDescent="0.3">
      <c r="B493" s="279" t="s">
        <v>253</v>
      </c>
      <c r="C493" s="248"/>
      <c r="D493" s="248"/>
      <c r="E493" s="248"/>
      <c r="F493" s="233"/>
      <c r="G493" s="233"/>
      <c r="H493" s="292"/>
      <c r="I493" s="478"/>
      <c r="J493" s="478"/>
      <c r="K493" s="478"/>
      <c r="L493" s="478"/>
      <c r="M493" s="478"/>
      <c r="N493" s="476"/>
      <c r="O493" s="476"/>
      <c r="P493" s="476"/>
      <c r="Q493" s="476"/>
      <c r="R493" s="476"/>
    </row>
    <row r="494" spans="1:18" s="393" customFormat="1" x14ac:dyDescent="0.3">
      <c r="B494" s="279" t="s">
        <v>821</v>
      </c>
      <c r="C494" s="248"/>
      <c r="D494" s="248"/>
      <c r="E494" s="248"/>
      <c r="F494" s="233"/>
      <c r="G494" s="233"/>
      <c r="H494" s="292"/>
      <c r="I494" s="478"/>
      <c r="J494" s="476"/>
      <c r="K494" s="476"/>
      <c r="L494" s="476"/>
      <c r="M494" s="476"/>
      <c r="N494" s="476"/>
      <c r="O494" s="476"/>
      <c r="P494" s="476"/>
      <c r="Q494" s="476"/>
      <c r="R494" s="476"/>
    </row>
    <row r="495" spans="1:18" s="393" customFormat="1" x14ac:dyDescent="0.3">
      <c r="B495" s="279" t="s">
        <v>822</v>
      </c>
      <c r="C495" s="248"/>
      <c r="D495" s="248"/>
      <c r="E495" s="248"/>
      <c r="F495" s="233"/>
      <c r="G495" s="233"/>
      <c r="H495" s="292"/>
      <c r="I495" s="478"/>
      <c r="J495" s="476"/>
      <c r="K495" s="476"/>
      <c r="L495" s="476"/>
      <c r="M495" s="476"/>
      <c r="N495" s="476"/>
      <c r="O495" s="476"/>
      <c r="P495" s="476"/>
      <c r="Q495" s="476"/>
      <c r="R495" s="476"/>
    </row>
    <row r="496" spans="1:18" s="393" customFormat="1" x14ac:dyDescent="0.3">
      <c r="B496" s="399"/>
      <c r="H496" s="400"/>
      <c r="I496" s="480"/>
      <c r="J496" s="480"/>
      <c r="K496" s="480"/>
      <c r="L496" s="480"/>
      <c r="M496" s="480"/>
      <c r="N496" s="480"/>
      <c r="O496" s="480"/>
      <c r="P496" s="480"/>
      <c r="Q496" s="480"/>
      <c r="R496" s="480"/>
    </row>
    <row r="497" spans="1:18" s="393" customFormat="1" x14ac:dyDescent="0.3">
      <c r="B497" s="279" t="s">
        <v>230</v>
      </c>
      <c r="C497" s="248"/>
      <c r="D497" s="248"/>
      <c r="E497" s="248"/>
      <c r="F497" s="233"/>
      <c r="G497" s="233"/>
      <c r="H497" s="228"/>
      <c r="I497" s="478"/>
      <c r="J497" s="476"/>
      <c r="K497" s="476"/>
      <c r="L497" s="476"/>
      <c r="M497" s="476"/>
      <c r="N497" s="476"/>
      <c r="O497" s="476"/>
      <c r="P497" s="476"/>
      <c r="Q497" s="476"/>
      <c r="R497" s="476"/>
    </row>
    <row r="498" spans="1:18" s="393" customFormat="1" x14ac:dyDescent="0.3">
      <c r="B498" s="279"/>
      <c r="C498" s="248"/>
      <c r="D498" s="248"/>
      <c r="E498" s="248"/>
      <c r="F498" s="233"/>
      <c r="G498" s="233"/>
      <c r="H498" s="228"/>
      <c r="I498" s="478"/>
      <c r="J498" s="476"/>
      <c r="K498" s="476"/>
      <c r="L498" s="476"/>
      <c r="M498" s="476"/>
      <c r="N498" s="476"/>
      <c r="O498" s="476"/>
      <c r="P498" s="476"/>
      <c r="Q498" s="476"/>
      <c r="R498" s="476"/>
    </row>
    <row r="499" spans="1:18" s="393" customFormat="1" x14ac:dyDescent="0.3">
      <c r="B499" s="270" t="s">
        <v>440</v>
      </c>
      <c r="C499" s="248"/>
      <c r="D499" s="248"/>
      <c r="E499" s="248"/>
      <c r="F499" s="248"/>
      <c r="G499" s="248"/>
      <c r="H499" s="230"/>
      <c r="I499" s="481"/>
      <c r="J499" s="481"/>
      <c r="K499" s="481"/>
      <c r="L499" s="481"/>
      <c r="M499" s="481"/>
      <c r="N499" s="481"/>
      <c r="O499" s="481"/>
      <c r="P499" s="481"/>
      <c r="Q499" s="481"/>
      <c r="R499" s="481"/>
    </row>
    <row r="500" spans="1:18" s="393" customFormat="1" x14ac:dyDescent="0.3">
      <c r="B500" s="279" t="s">
        <v>433</v>
      </c>
      <c r="C500" s="248"/>
      <c r="D500" s="248"/>
      <c r="E500" s="248"/>
      <c r="F500" s="233"/>
      <c r="G500" s="233"/>
      <c r="H500" s="228"/>
      <c r="I500" s="478"/>
      <c r="J500" s="478"/>
      <c r="K500" s="478"/>
      <c r="L500" s="478"/>
      <c r="M500" s="478"/>
      <c r="N500" s="476"/>
      <c r="O500" s="476"/>
      <c r="P500" s="476"/>
      <c r="Q500" s="476"/>
      <c r="R500" s="476"/>
    </row>
    <row r="501" spans="1:18" s="393" customFormat="1" ht="13.5" thickBot="1" x14ac:dyDescent="0.35">
      <c r="B501" s="504" t="s">
        <v>432</v>
      </c>
      <c r="C501" s="267"/>
      <c r="D501" s="267"/>
      <c r="E501" s="267"/>
      <c r="F501" s="238"/>
      <c r="G501" s="238"/>
      <c r="H501" s="293"/>
      <c r="I501" s="506"/>
      <c r="J501" s="506"/>
      <c r="K501" s="506"/>
      <c r="L501" s="506"/>
      <c r="M501" s="506"/>
      <c r="N501" s="507"/>
      <c r="O501" s="507"/>
      <c r="P501" s="507"/>
      <c r="Q501" s="507"/>
      <c r="R501" s="507"/>
    </row>
    <row r="503" spans="1:18" s="393" customFormat="1" ht="15.5" x14ac:dyDescent="0.35">
      <c r="A503" s="398" t="s">
        <v>31</v>
      </c>
      <c r="B503" s="265" t="str">
        <f>"Bid Scenario: "&amp;'LBO Model'!J4</f>
        <v>Bid Scenario: High Bid</v>
      </c>
      <c r="C503" s="392"/>
      <c r="D503" s="392"/>
      <c r="E503" s="392"/>
      <c r="F503" s="392"/>
      <c r="G503" s="392"/>
      <c r="H503" s="392"/>
      <c r="I503" s="392"/>
      <c r="J503" s="392"/>
      <c r="K503" s="392"/>
      <c r="L503" s="392"/>
      <c r="M503" s="392"/>
      <c r="N503" s="392"/>
      <c r="O503" s="392"/>
      <c r="P503" s="392"/>
      <c r="Q503" s="392"/>
      <c r="R503" s="392"/>
    </row>
    <row r="504" spans="1:18" s="393" customFormat="1" x14ac:dyDescent="0.3">
      <c r="G504" s="569"/>
      <c r="H504" s="569"/>
      <c r="I504" s="569"/>
    </row>
    <row r="505" spans="1:18" s="393" customFormat="1" ht="14.5" x14ac:dyDescent="0.45">
      <c r="E505" s="552" t="s">
        <v>581</v>
      </c>
      <c r="F505" s="551" t="str">
        <f>'LBO Model'!J5</f>
        <v>High Bid</v>
      </c>
      <c r="G505" s="551" t="str">
        <f>'LBO Model'!J6</f>
        <v>Low Bid</v>
      </c>
      <c r="H505" s="551" t="str">
        <f>'LBO Model'!J7</f>
        <v>KLG High Bid</v>
      </c>
      <c r="I505" s="551" t="str">
        <f>'LBO Model'!J8</f>
        <v>KLG Low Bid</v>
      </c>
    </row>
    <row r="506" spans="1:18" s="393" customFormat="1" x14ac:dyDescent="0.3">
      <c r="B506" s="394" t="s">
        <v>761</v>
      </c>
      <c r="E506" s="400"/>
    </row>
    <row r="507" spans="1:18" s="393" customFormat="1" x14ac:dyDescent="0.3">
      <c r="B507" s="399" t="s">
        <v>762</v>
      </c>
      <c r="E507" s="227">
        <f ca="1">OFFSET(E507,0,'LBO Model'!$I$4)</f>
        <v>0.28021880196016624</v>
      </c>
      <c r="F507" s="478">
        <v>0.28021880196016624</v>
      </c>
      <c r="G507" s="478">
        <v>0</v>
      </c>
      <c r="H507" s="478">
        <v>0.17442848109239584</v>
      </c>
      <c r="I507" s="478">
        <v>-0.15</v>
      </c>
    </row>
    <row r="508" spans="1:18" s="393" customFormat="1" x14ac:dyDescent="0.3">
      <c r="B508" s="394" t="s">
        <v>204</v>
      </c>
      <c r="E508" s="400"/>
      <c r="F508" s="476"/>
      <c r="G508" s="476"/>
      <c r="H508" s="476"/>
      <c r="I508" s="476"/>
    </row>
    <row r="509" spans="1:18" s="393" customFormat="1" x14ac:dyDescent="0.3">
      <c r="B509" s="279" t="s">
        <v>763</v>
      </c>
      <c r="C509" s="248"/>
      <c r="D509" s="248"/>
      <c r="E509" s="227">
        <f ca="1">OFFSET(E509,0,'LBO Model'!$I$4)</f>
        <v>0.29533842332563481</v>
      </c>
      <c r="F509" s="478">
        <v>0.29533842332563481</v>
      </c>
      <c r="G509" s="478">
        <v>0.37138837908130268</v>
      </c>
      <c r="H509" s="478">
        <v>0.32008305185165054</v>
      </c>
      <c r="I509" s="478">
        <v>0.5</v>
      </c>
    </row>
    <row r="510" spans="1:18" s="393" customFormat="1" x14ac:dyDescent="0.3">
      <c r="B510" s="279" t="s">
        <v>764</v>
      </c>
      <c r="C510" s="248"/>
      <c r="D510" s="248"/>
      <c r="E510" s="227">
        <f ca="1">OFFSET(E510,0,'LBO Model'!$I$4)</f>
        <v>0</v>
      </c>
      <c r="F510" s="478">
        <v>0</v>
      </c>
      <c r="G510" s="478">
        <v>0</v>
      </c>
      <c r="H510" s="478">
        <v>0</v>
      </c>
      <c r="I510" s="478">
        <v>0</v>
      </c>
    </row>
    <row r="511" spans="1:18" s="393" customFormat="1" ht="13.5" thickBot="1" x14ac:dyDescent="0.35">
      <c r="B511" s="504" t="s">
        <v>765</v>
      </c>
      <c r="C511" s="267"/>
      <c r="D511" s="267"/>
      <c r="E511" s="565">
        <f ca="1">OFFSET(E511,0,'LBO Model'!$I$4)</f>
        <v>0.59516486278953196</v>
      </c>
      <c r="F511" s="506">
        <v>0.59516486278953196</v>
      </c>
      <c r="G511" s="506">
        <v>0.49091938762749071</v>
      </c>
      <c r="H511" s="506">
        <v>0.56124616378731473</v>
      </c>
      <c r="I511" s="506">
        <v>0.4</v>
      </c>
      <c r="J511" s="539"/>
      <c r="K511" s="539"/>
      <c r="L511" s="539"/>
      <c r="M511" s="539"/>
      <c r="N511" s="539"/>
      <c r="O511" s="539"/>
      <c r="P511" s="539"/>
      <c r="Q511" s="539"/>
      <c r="R511" s="539"/>
    </row>
  </sheetData>
  <dataValidations count="3">
    <dataValidation type="list" allowBlank="1" showInputMessage="1" showErrorMessage="1" sqref="E346" xr:uid="{00000000-0002-0000-0300-000000000000}">
      <formula1>$I$199:$R$199</formula1>
    </dataValidation>
    <dataValidation type="list" allowBlank="1" showInputMessage="1" showErrorMessage="1" sqref="I4" xr:uid="{00000000-0002-0000-0300-000001000000}">
      <formula1>$I$5:$I$8</formula1>
    </dataValidation>
    <dataValidation type="list" allowBlank="1" showInputMessage="1" showErrorMessage="1" sqref="D4" xr:uid="{00000000-0002-0000-0300-000002000000}">
      <formula1>$D$5:$D$9</formula1>
    </dataValidation>
  </dataValidations>
  <pageMargins left="0.7" right="0.7" top="0.75" bottom="0.75" header="0.3" footer="0.3"/>
  <pageSetup scale="68" fitToHeight="0" orientation="landscape" horizontalDpi="4294967295" verticalDpi="4294967295" r:id="rId1"/>
  <rowBreaks count="9" manualBreakCount="9">
    <brk id="59" max="16383" man="1"/>
    <brk id="78" max="16383" man="1"/>
    <brk id="136" max="16383" man="1"/>
    <brk id="192" max="16383" man="1"/>
    <brk id="238" max="16383" man="1"/>
    <brk id="291" max="16383" man="1"/>
    <brk id="341" max="16383" man="1"/>
    <brk id="378" min="1" max="17" man="1"/>
    <brk id="454" min="1" max="17" man="1"/>
  </rowBreaks>
  <colBreaks count="1" manualBreakCount="1">
    <brk id="18" max="1048575" man="1"/>
  </colBreaks>
  <ignoredErrors>
    <ignoredError sqref="J327:R327 J325:R325 J323:R323 J321:R321" formula="1"/>
    <ignoredError sqref="J230:R231" evalError="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F2AB-F8C2-46A3-A4DC-5068CBBA0C29}">
  <dimension ref="A1:N40"/>
  <sheetViews>
    <sheetView showGridLines="0" topLeftCell="A14" workbookViewId="0">
      <selection activeCell="L23" sqref="L23"/>
    </sheetView>
  </sheetViews>
  <sheetFormatPr baseColWidth="10" defaultColWidth="10.83203125" defaultRowHeight="14.5" x14ac:dyDescent="0.35"/>
  <cols>
    <col min="1" max="1" width="2.83203125" style="851" customWidth="1"/>
    <col min="2" max="2" width="18.4140625" style="851" customWidth="1"/>
    <col min="3" max="3" width="7.4140625" style="851" customWidth="1"/>
    <col min="4" max="8" width="7.1640625" style="851" customWidth="1"/>
    <col min="9" max="9" width="1.1640625" style="851" customWidth="1"/>
    <col min="10" max="10" width="3.83203125" style="851" customWidth="1"/>
    <col min="11" max="16384" width="10.83203125" style="851"/>
  </cols>
  <sheetData>
    <row r="1" spans="1:11" ht="16" thickBot="1" x14ac:dyDescent="0.4">
      <c r="A1" s="849" t="s">
        <v>1088</v>
      </c>
      <c r="B1" s="850"/>
      <c r="C1" s="850"/>
      <c r="D1" s="850"/>
      <c r="E1" s="850"/>
      <c r="F1" s="850"/>
      <c r="G1" s="850"/>
      <c r="H1" s="850"/>
    </row>
    <row r="3" spans="1:11" ht="14.75" customHeight="1" thickBot="1" x14ac:dyDescent="0.4">
      <c r="B3" s="852" t="s">
        <v>1015</v>
      </c>
      <c r="C3" s="852"/>
      <c r="D3" s="853"/>
      <c r="E3" s="853"/>
      <c r="F3" s="853"/>
      <c r="G3" s="853"/>
      <c r="H3" s="853"/>
    </row>
    <row r="4" spans="1:11" ht="4.5" customHeight="1" x14ac:dyDescent="0.35"/>
    <row r="5" spans="1:11" ht="14.75" customHeight="1" x14ac:dyDescent="0.35">
      <c r="C5" s="854" t="s">
        <v>106</v>
      </c>
      <c r="D5" s="854"/>
      <c r="E5" s="854"/>
      <c r="F5" s="854"/>
      <c r="G5" s="854"/>
      <c r="H5" s="854"/>
    </row>
    <row r="6" spans="1:11" ht="14.75" customHeight="1" x14ac:dyDescent="0.35">
      <c r="B6" s="855" t="s">
        <v>1086</v>
      </c>
      <c r="C6" s="856">
        <v>2016</v>
      </c>
      <c r="D6" s="856">
        <v>2017</v>
      </c>
      <c r="E6" s="856">
        <f>D6+1</f>
        <v>2018</v>
      </c>
      <c r="F6" s="856">
        <f>E6+1</f>
        <v>2019</v>
      </c>
      <c r="G6" s="856">
        <f>F6+1</f>
        <v>2020</v>
      </c>
      <c r="H6" s="856">
        <f>G6+1</f>
        <v>2021</v>
      </c>
    </row>
    <row r="7" spans="1:11" ht="14.75" customHeight="1" x14ac:dyDescent="0.35">
      <c r="B7" s="941" t="s">
        <v>1085</v>
      </c>
      <c r="C7" s="857">
        <f ca="1">C8+C9</f>
        <v>7463.669127837511</v>
      </c>
      <c r="D7" s="857">
        <f t="shared" ref="D7:H7" ca="1" si="0">D8+D9</f>
        <v>7407.055910107757</v>
      </c>
      <c r="E7" s="857">
        <f t="shared" ca="1" si="0"/>
        <v>7280.6623725011887</v>
      </c>
      <c r="F7" s="857">
        <f t="shared" ca="1" si="0"/>
        <v>7140.9458188232611</v>
      </c>
      <c r="G7" s="857">
        <f t="shared" ca="1" si="0"/>
        <v>6955.9124972070713</v>
      </c>
      <c r="H7" s="857">
        <f t="shared" ca="1" si="0"/>
        <v>6769.6425913963285</v>
      </c>
    </row>
    <row r="8" spans="1:11" ht="14.75" customHeight="1" x14ac:dyDescent="0.35">
      <c r="B8" s="851" t="s">
        <v>458</v>
      </c>
      <c r="C8" s="857">
        <f ca="1">'LBO Model'!K51</f>
        <v>3000.0012372076799</v>
      </c>
      <c r="D8" s="857">
        <f ca="1">'LBO Model'!L51</f>
        <v>2969.8470493288687</v>
      </c>
      <c r="E8" s="857">
        <f ca="1">'LBO Model'!M51</f>
        <v>2823.1651153292887</v>
      </c>
      <c r="F8" s="857">
        <f ca="1">'LBO Model'!N51</f>
        <v>2625.7117596236785</v>
      </c>
      <c r="G8" s="857">
        <f ca="1">'LBO Model'!O51</f>
        <v>2350.5455590304505</v>
      </c>
      <c r="H8" s="857">
        <f ca="1">'LBO Model'!P51</f>
        <v>2035.0408181427313</v>
      </c>
      <c r="J8" s="858" t="s">
        <v>1016</v>
      </c>
      <c r="K8" s="851" t="s">
        <v>1017</v>
      </c>
    </row>
    <row r="9" spans="1:11" ht="14.75" customHeight="1" x14ac:dyDescent="0.35">
      <c r="B9" s="851" t="s">
        <v>467</v>
      </c>
      <c r="C9" s="857">
        <f ca="1">'LBO Model'!H287</f>
        <v>4463.6678906296384</v>
      </c>
      <c r="D9" s="857">
        <f ca="1">'LBO Model'!I287</f>
        <v>4437.2088607786218</v>
      </c>
      <c r="E9" s="857">
        <f ca="1">'LBO Model'!J287</f>
        <v>4457.4972571714125</v>
      </c>
      <c r="F9" s="857">
        <f ca="1">'LBO Model'!K287</f>
        <v>4515.2340592012124</v>
      </c>
      <c r="G9" s="857">
        <f ca="1">'LBO Model'!L287</f>
        <v>4605.3669381785785</v>
      </c>
      <c r="H9" s="857">
        <f ca="1">'LBO Model'!M287</f>
        <v>4734.6017732567198</v>
      </c>
    </row>
    <row r="10" spans="1:11" ht="14.75" customHeight="1" x14ac:dyDescent="0.35"/>
    <row r="11" spans="1:11" ht="14.75" customHeight="1" x14ac:dyDescent="0.35">
      <c r="B11" s="855" t="s">
        <v>344</v>
      </c>
      <c r="C11" s="855"/>
    </row>
    <row r="12" spans="1:11" ht="14.75" customHeight="1" x14ac:dyDescent="0.35">
      <c r="B12" s="941" t="s">
        <v>1087</v>
      </c>
      <c r="C12" s="859">
        <f t="shared" ref="C12:H12" ca="1" si="1">C8/C7</f>
        <v>0.40194724415347793</v>
      </c>
      <c r="D12" s="859">
        <f t="shared" ca="1" si="1"/>
        <v>0.40094837751611673</v>
      </c>
      <c r="E12" s="859">
        <f t="shared" ca="1" si="1"/>
        <v>0.38776212532424059</v>
      </c>
      <c r="F12" s="859">
        <f t="shared" ca="1" si="1"/>
        <v>0.36769803696065056</v>
      </c>
      <c r="G12" s="859">
        <f t="shared" ca="1" si="1"/>
        <v>0.33792051869172279</v>
      </c>
      <c r="H12" s="859">
        <f t="shared" ca="1" si="1"/>
        <v>0.30061274146571704</v>
      </c>
      <c r="J12" s="858" t="s">
        <v>1016</v>
      </c>
      <c r="K12" s="851" t="s">
        <v>1018</v>
      </c>
    </row>
    <row r="13" spans="1:11" ht="14.75" customHeight="1" x14ac:dyDescent="0.35">
      <c r="B13" s="941" t="s">
        <v>1084</v>
      </c>
      <c r="C13" s="860">
        <f ca="1">C8/C19</f>
        <v>7.4406637992204141</v>
      </c>
      <c r="D13" s="860">
        <f ca="1">D8/D19</f>
        <v>6.735874459806916</v>
      </c>
      <c r="E13" s="860">
        <f t="shared" ref="E13:H13" ca="1" si="2">E8/E19</f>
        <v>5.7686250824055705</v>
      </c>
      <c r="F13" s="860">
        <f t="shared" ca="1" si="2"/>
        <v>4.6795789692099019</v>
      </c>
      <c r="G13" s="860">
        <f t="shared" ca="1" si="2"/>
        <v>3.7215730826954547</v>
      </c>
      <c r="H13" s="860">
        <f t="shared" ca="1" si="2"/>
        <v>2.9403855196398343</v>
      </c>
    </row>
    <row r="14" spans="1:11" ht="13.75" customHeight="1" x14ac:dyDescent="0.35">
      <c r="B14" s="959" t="s">
        <v>1100</v>
      </c>
      <c r="C14" s="860">
        <f>+C19/C39</f>
        <v>45.383836109860439</v>
      </c>
      <c r="D14" s="860">
        <f ca="1">+D19/D39</f>
        <v>2.5318942197055621</v>
      </c>
      <c r="E14" s="860">
        <f ca="1">+E19/E39</f>
        <v>2.8643194985937157</v>
      </c>
      <c r="F14" s="860">
        <f ca="1">+F19/F39</f>
        <v>3.4113061483332299</v>
      </c>
      <c r="G14" s="860">
        <f ca="1">+G19/G39</f>
        <v>4.0559280135626183</v>
      </c>
      <c r="H14" s="860">
        <f ca="1">+H19/H39</f>
        <v>4.8743614376430617</v>
      </c>
    </row>
    <row r="15" spans="1:11" ht="13.75" customHeight="1" x14ac:dyDescent="0.35">
      <c r="B15" s="959"/>
      <c r="C15" s="860"/>
      <c r="D15" s="860"/>
      <c r="E15" s="860"/>
      <c r="F15" s="860"/>
      <c r="G15" s="860"/>
      <c r="H15" s="860"/>
    </row>
    <row r="16" spans="1:11" ht="13.75" customHeight="1" x14ac:dyDescent="0.35"/>
    <row r="17" spans="2:14" ht="14.75" customHeight="1" thickBot="1" x14ac:dyDescent="0.4">
      <c r="B17" s="852" t="s">
        <v>1019</v>
      </c>
      <c r="C17" s="852"/>
      <c r="D17" s="853"/>
      <c r="E17" s="853"/>
      <c r="F17" s="853"/>
      <c r="G17" s="853"/>
      <c r="H17" s="853"/>
    </row>
    <row r="18" spans="2:14" ht="6.65" customHeight="1" x14ac:dyDescent="0.35"/>
    <row r="19" spans="2:14" ht="14.75" customHeight="1" thickBot="1" x14ac:dyDescent="0.4">
      <c r="B19" s="941" t="s">
        <v>111</v>
      </c>
      <c r="C19" s="857">
        <f>'LBO Model'!K43</f>
        <v>403.19000000000017</v>
      </c>
      <c r="D19" s="857">
        <f ca="1">'LBO Model'!L43</f>
        <v>440.89999999999992</v>
      </c>
      <c r="E19" s="857">
        <f ca="1">'LBO Model'!M43</f>
        <v>489.40000000000043</v>
      </c>
      <c r="F19" s="857">
        <f ca="1">'LBO Model'!N43</f>
        <v>561.10000000000059</v>
      </c>
      <c r="G19" s="857">
        <f ca="1">'LBO Model'!O43</f>
        <v>631.60000000000036</v>
      </c>
      <c r="H19" s="857">
        <f ca="1">'LBO Model'!P43</f>
        <v>692.1000000000007</v>
      </c>
      <c r="J19" s="858" t="s">
        <v>1016</v>
      </c>
      <c r="K19" s="941" t="s">
        <v>1080</v>
      </c>
    </row>
    <row r="20" spans="2:14" ht="14.75" customHeight="1" x14ac:dyDescent="0.35">
      <c r="B20" s="941" t="s">
        <v>1079</v>
      </c>
      <c r="C20" s="857">
        <f>'LBO Model'!K47</f>
        <v>213.02500000000001</v>
      </c>
      <c r="D20" s="857">
        <f ca="1">'LBO Model'!L47</f>
        <v>198.50686785037226</v>
      </c>
      <c r="E20" s="857">
        <f ca="1">'LBO Model'!M47</f>
        <v>311.75704487019266</v>
      </c>
      <c r="F20" s="857">
        <f ca="1">'LBO Model'!N47</f>
        <v>356.15009104913759</v>
      </c>
      <c r="G20" s="857">
        <f ca="1">'LBO Model'!O47</f>
        <v>425.10316877047893</v>
      </c>
      <c r="H20" s="857">
        <f ca="1">'LBO Model'!P47</f>
        <v>451.70685352504285</v>
      </c>
      <c r="J20" s="858" t="s">
        <v>1016</v>
      </c>
      <c r="K20" s="851" t="s">
        <v>1020</v>
      </c>
      <c r="M20" s="947" t="s">
        <v>1094</v>
      </c>
      <c r="N20" s="948" t="s">
        <v>1095</v>
      </c>
    </row>
    <row r="21" spans="2:14" ht="4.5" customHeight="1" x14ac:dyDescent="0.35">
      <c r="D21" s="857"/>
      <c r="E21" s="857"/>
      <c r="F21" s="857"/>
      <c r="G21" s="857"/>
      <c r="H21" s="857"/>
      <c r="J21" s="858"/>
      <c r="N21" s="949"/>
    </row>
    <row r="22" spans="2:14" ht="14.75" customHeight="1" x14ac:dyDescent="0.35">
      <c r="B22" s="851" t="s">
        <v>1021</v>
      </c>
      <c r="C22" s="860">
        <f ca="1">'LBO Model'!F34</f>
        <v>18.500000000000256</v>
      </c>
      <c r="D22" s="942" t="s">
        <v>1082</v>
      </c>
      <c r="H22" s="860">
        <f ca="1">'LBO Model'!B362</f>
        <v>19.000000000000256</v>
      </c>
      <c r="J22" s="858" t="s">
        <v>1016</v>
      </c>
      <c r="K22" s="941" t="s">
        <v>1083</v>
      </c>
      <c r="M22" s="952">
        <f ca="1">'LBO Model'!B362</f>
        <v>19.000000000000256</v>
      </c>
      <c r="N22" s="953">
        <f ca="1">'LBO Model'!B364</f>
        <v>21.000000000000256</v>
      </c>
    </row>
    <row r="23" spans="2:14" ht="14.75" customHeight="1" thickBot="1" x14ac:dyDescent="0.4">
      <c r="B23" s="941" t="s">
        <v>1081</v>
      </c>
      <c r="C23" s="857">
        <f ca="1">-'LBO Model'!K362</f>
        <v>4534.1932261296397</v>
      </c>
      <c r="E23" s="857"/>
      <c r="F23" s="857"/>
      <c r="G23" s="857"/>
      <c r="H23" s="857">
        <f ca="1">'LBO Model'!P362</f>
        <v>11136.200731856165</v>
      </c>
      <c r="M23" s="954">
        <f ca="1">'LBO Model'!P362</f>
        <v>11136.200731856165</v>
      </c>
      <c r="N23" s="955">
        <f ca="1">'LBO Model'!P364</f>
        <v>12520.400731856153</v>
      </c>
    </row>
    <row r="24" spans="2:14" ht="14.75" customHeight="1" x14ac:dyDescent="0.35"/>
    <row r="25" spans="2:14" ht="14.75" customHeight="1" x14ac:dyDescent="0.35"/>
    <row r="26" spans="2:14" ht="13.75" customHeight="1" thickBot="1" x14ac:dyDescent="0.4">
      <c r="B26" s="852" t="s">
        <v>1022</v>
      </c>
      <c r="C26" s="852"/>
      <c r="D26" s="853"/>
      <c r="E26" s="853"/>
      <c r="F26" s="853"/>
      <c r="G26" s="853"/>
      <c r="H26" s="853"/>
    </row>
    <row r="27" spans="2:14" ht="4.5" customHeight="1" x14ac:dyDescent="0.35"/>
    <row r="28" spans="2:14" ht="13.75" customHeight="1" x14ac:dyDescent="0.35">
      <c r="C28" s="854" t="s">
        <v>106</v>
      </c>
      <c r="D28" s="854"/>
      <c r="E28" s="854"/>
      <c r="F28" s="854"/>
      <c r="G28" s="854"/>
      <c r="H28" s="854"/>
    </row>
    <row r="29" spans="2:14" ht="13.75" customHeight="1" x14ac:dyDescent="0.35">
      <c r="C29" s="856">
        <v>0</v>
      </c>
      <c r="D29" s="856">
        <f>C29+1</f>
        <v>1</v>
      </c>
      <c r="E29" s="856">
        <f>D29+1</f>
        <v>2</v>
      </c>
      <c r="F29" s="856">
        <f>E29+1</f>
        <v>3</v>
      </c>
      <c r="G29" s="856">
        <f>F29+1</f>
        <v>4</v>
      </c>
      <c r="H29" s="856">
        <f>G29+1</f>
        <v>5</v>
      </c>
    </row>
    <row r="30" spans="2:14" ht="13.75" customHeight="1" x14ac:dyDescent="0.35">
      <c r="B30" s="855" t="s">
        <v>1023</v>
      </c>
      <c r="C30" s="855"/>
    </row>
    <row r="31" spans="2:14" ht="13.75" customHeight="1" x14ac:dyDescent="0.35">
      <c r="B31" s="851" t="s">
        <v>404</v>
      </c>
      <c r="C31" s="857">
        <f ca="1">-C23</f>
        <v>-4534.1932261296397</v>
      </c>
      <c r="D31" s="857"/>
    </row>
    <row r="32" spans="2:14" ht="13.75" customHeight="1" x14ac:dyDescent="0.35">
      <c r="B32" s="851" t="s">
        <v>1024</v>
      </c>
      <c r="C32" s="856"/>
      <c r="D32" s="856"/>
      <c r="E32" s="856"/>
      <c r="F32" s="856"/>
      <c r="G32" s="856"/>
      <c r="H32" s="861">
        <f ca="1">H23</f>
        <v>11136.200731856165</v>
      </c>
    </row>
    <row r="33" spans="2:11" ht="13.75" customHeight="1" x14ac:dyDescent="0.35">
      <c r="B33" s="862" t="s">
        <v>1025</v>
      </c>
      <c r="C33" s="863">
        <f t="shared" ref="C33:H33" ca="1" si="3">SUM(C31:C32)</f>
        <v>-4534.1932261296397</v>
      </c>
      <c r="D33" s="863">
        <f t="shared" si="3"/>
        <v>0</v>
      </c>
      <c r="E33" s="863">
        <f t="shared" si="3"/>
        <v>0</v>
      </c>
      <c r="F33" s="863">
        <f t="shared" si="3"/>
        <v>0</v>
      </c>
      <c r="G33" s="863">
        <f t="shared" si="3"/>
        <v>0</v>
      </c>
      <c r="H33" s="863">
        <f t="shared" ca="1" si="3"/>
        <v>11136.200731856165</v>
      </c>
    </row>
    <row r="34" spans="2:11" ht="13.75" customHeight="1" x14ac:dyDescent="0.35">
      <c r="B34" s="864" t="s">
        <v>1026</v>
      </c>
      <c r="C34" s="865">
        <f ca="1">IRR(C33:H33,0.2)</f>
        <v>0.19687116848950548</v>
      </c>
      <c r="J34" s="858" t="s">
        <v>1016</v>
      </c>
      <c r="K34" s="851" t="s">
        <v>1027</v>
      </c>
    </row>
    <row r="36" spans="2:11" ht="14.75" customHeight="1" x14ac:dyDescent="0.35"/>
    <row r="37" spans="2:11" ht="14.75" customHeight="1" x14ac:dyDescent="0.35"/>
    <row r="38" spans="2:11" ht="14.75" customHeight="1" x14ac:dyDescent="0.35"/>
    <row r="39" spans="2:11" ht="14.75" customHeight="1" x14ac:dyDescent="0.35">
      <c r="B39" s="959" t="s">
        <v>418</v>
      </c>
      <c r="C39" s="960">
        <f>+'LBO Model'!K49</f>
        <v>8.8840000000000003</v>
      </c>
      <c r="D39" s="960">
        <f ca="1">+'LBO Model'!L49</f>
        <v>174.13839668673876</v>
      </c>
      <c r="E39" s="960">
        <f ca="1">+'LBO Model'!M49</f>
        <v>170.86082758578993</v>
      </c>
      <c r="F39" s="960">
        <f ca="1">+'LBO Model'!N49</f>
        <v>164.48245205870492</v>
      </c>
      <c r="G39" s="960">
        <f ca="1">+'LBO Model'!O49</f>
        <v>155.72268489242822</v>
      </c>
      <c r="H39" s="960">
        <f ca="1">+'LBO Model'!P49</f>
        <v>141.98782935250091</v>
      </c>
    </row>
    <row r="40" spans="2:11" ht="14.7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4AC12-4FEE-4CDC-86C0-9BD7A3790CB6}">
  <dimension ref="A1:N40"/>
  <sheetViews>
    <sheetView showGridLines="0" topLeftCell="A14" workbookViewId="0">
      <selection activeCell="K29" sqref="K29"/>
    </sheetView>
  </sheetViews>
  <sheetFormatPr baseColWidth="10" defaultColWidth="10.83203125" defaultRowHeight="14.5" x14ac:dyDescent="0.35"/>
  <cols>
    <col min="1" max="1" width="2.83203125" style="851" customWidth="1"/>
    <col min="2" max="2" width="18.4140625" style="851" customWidth="1"/>
    <col min="3" max="3" width="7.4140625" style="851" customWidth="1"/>
    <col min="4" max="8" width="7.1640625" style="851" customWidth="1"/>
    <col min="9" max="9" width="1.1640625" style="851" customWidth="1"/>
    <col min="10" max="10" width="3.83203125" style="851" customWidth="1"/>
    <col min="11" max="16384" width="10.83203125" style="851"/>
  </cols>
  <sheetData>
    <row r="1" spans="1:11" ht="16" thickBot="1" x14ac:dyDescent="0.4">
      <c r="A1" s="849" t="s">
        <v>1088</v>
      </c>
      <c r="B1" s="850"/>
      <c r="C1" s="850"/>
      <c r="D1" s="850"/>
      <c r="E1" s="850"/>
      <c r="F1" s="850"/>
      <c r="G1" s="850"/>
      <c r="H1" s="850"/>
    </row>
    <row r="3" spans="1:11" ht="14.75" customHeight="1" thickBot="1" x14ac:dyDescent="0.4">
      <c r="B3" s="852" t="s">
        <v>1015</v>
      </c>
      <c r="C3" s="852"/>
      <c r="D3" s="853"/>
      <c r="E3" s="853"/>
      <c r="F3" s="853"/>
      <c r="G3" s="853"/>
      <c r="H3" s="853"/>
    </row>
    <row r="4" spans="1:11" ht="4.5" customHeight="1" x14ac:dyDescent="0.35"/>
    <row r="5" spans="1:11" ht="14.75" customHeight="1" x14ac:dyDescent="0.35">
      <c r="C5" s="854" t="s">
        <v>106</v>
      </c>
      <c r="D5" s="854"/>
      <c r="E5" s="854"/>
      <c r="F5" s="854"/>
      <c r="G5" s="854"/>
      <c r="H5" s="854"/>
    </row>
    <row r="6" spans="1:11" ht="14.75" customHeight="1" x14ac:dyDescent="0.35">
      <c r="B6" s="855" t="s">
        <v>1086</v>
      </c>
      <c r="C6" s="856">
        <v>2016</v>
      </c>
      <c r="D6" s="856">
        <v>2017</v>
      </c>
      <c r="E6" s="856">
        <f>D6+1</f>
        <v>2018</v>
      </c>
      <c r="F6" s="856">
        <f>E6+1</f>
        <v>2019</v>
      </c>
      <c r="G6" s="856">
        <f>F6+1</f>
        <v>2020</v>
      </c>
      <c r="H6" s="856">
        <f>G6+1</f>
        <v>2021</v>
      </c>
    </row>
    <row r="7" spans="1:11" ht="14.75" customHeight="1" x14ac:dyDescent="0.35">
      <c r="B7" s="941" t="s">
        <v>1085</v>
      </c>
      <c r="C7" s="857">
        <f ca="1">C8+C9</f>
        <v>7463.669127837511</v>
      </c>
      <c r="D7" s="857">
        <f t="shared" ref="D7:H7" ca="1" si="0">D8+D9</f>
        <v>7407.055910107757</v>
      </c>
      <c r="E7" s="857">
        <f t="shared" ca="1" si="0"/>
        <v>7280.6623725011887</v>
      </c>
      <c r="F7" s="857">
        <f t="shared" ca="1" si="0"/>
        <v>7140.9458188232611</v>
      </c>
      <c r="G7" s="857">
        <f t="shared" ca="1" si="0"/>
        <v>6955.9124972070713</v>
      </c>
      <c r="H7" s="857">
        <f t="shared" ca="1" si="0"/>
        <v>6769.6425913963285</v>
      </c>
    </row>
    <row r="8" spans="1:11" ht="14.75" customHeight="1" x14ac:dyDescent="0.35">
      <c r="B8" s="851" t="s">
        <v>458</v>
      </c>
      <c r="C8" s="857">
        <f ca="1">'LBO Model'!K51</f>
        <v>3000.0012372076799</v>
      </c>
      <c r="D8" s="857">
        <f ca="1">'LBO Model'!L51</f>
        <v>2969.8470493288687</v>
      </c>
      <c r="E8" s="857">
        <f ca="1">'LBO Model'!M51</f>
        <v>2823.1651153292887</v>
      </c>
      <c r="F8" s="857">
        <f ca="1">'LBO Model'!N51</f>
        <v>2625.7117596236785</v>
      </c>
      <c r="G8" s="857">
        <f ca="1">'LBO Model'!O51</f>
        <v>2350.5455590304505</v>
      </c>
      <c r="H8" s="857">
        <f ca="1">'LBO Model'!P51</f>
        <v>2035.0408181427313</v>
      </c>
      <c r="J8" s="858" t="s">
        <v>1016</v>
      </c>
      <c r="K8" s="851" t="s">
        <v>1017</v>
      </c>
    </row>
    <row r="9" spans="1:11" ht="14.75" customHeight="1" x14ac:dyDescent="0.35">
      <c r="B9" s="851" t="s">
        <v>467</v>
      </c>
      <c r="C9" s="857">
        <f ca="1">'LBO Model'!H287</f>
        <v>4463.6678906296384</v>
      </c>
      <c r="D9" s="857">
        <f ca="1">'LBO Model'!I287</f>
        <v>4437.2088607786218</v>
      </c>
      <c r="E9" s="857">
        <f ca="1">'LBO Model'!J287</f>
        <v>4457.4972571714125</v>
      </c>
      <c r="F9" s="857">
        <f ca="1">'LBO Model'!K287</f>
        <v>4515.2340592012124</v>
      </c>
      <c r="G9" s="857">
        <f ca="1">'LBO Model'!L287</f>
        <v>4605.3669381785785</v>
      </c>
      <c r="H9" s="857">
        <f ca="1">'LBO Model'!M287</f>
        <v>4734.6017732567198</v>
      </c>
    </row>
    <row r="10" spans="1:11" ht="14.75" customHeight="1" x14ac:dyDescent="0.35"/>
    <row r="11" spans="1:11" ht="14.75" customHeight="1" x14ac:dyDescent="0.35">
      <c r="B11" s="855" t="s">
        <v>344</v>
      </c>
      <c r="C11" s="855"/>
    </row>
    <row r="12" spans="1:11" ht="14.75" customHeight="1" x14ac:dyDescent="0.35">
      <c r="B12" s="941" t="s">
        <v>1087</v>
      </c>
      <c r="C12" s="859">
        <f t="shared" ref="C12:H12" ca="1" si="1">C8/C7</f>
        <v>0.40194724415347793</v>
      </c>
      <c r="D12" s="859">
        <f t="shared" ca="1" si="1"/>
        <v>0.40094837751611673</v>
      </c>
      <c r="E12" s="859">
        <f t="shared" ca="1" si="1"/>
        <v>0.38776212532424059</v>
      </c>
      <c r="F12" s="859">
        <f t="shared" ca="1" si="1"/>
        <v>0.36769803696065056</v>
      </c>
      <c r="G12" s="859">
        <f t="shared" ca="1" si="1"/>
        <v>0.33792051869172279</v>
      </c>
      <c r="H12" s="859">
        <f t="shared" ca="1" si="1"/>
        <v>0.30061274146571704</v>
      </c>
      <c r="J12" s="858" t="s">
        <v>1016</v>
      </c>
      <c r="K12" s="851" t="s">
        <v>1018</v>
      </c>
    </row>
    <row r="13" spans="1:11" ht="14.75" customHeight="1" x14ac:dyDescent="0.35">
      <c r="B13" s="941" t="s">
        <v>1084</v>
      </c>
      <c r="C13" s="860">
        <f t="shared" ref="C13" ca="1" si="2">C8/C19</f>
        <v>7.4406637992204141</v>
      </c>
      <c r="D13" s="860">
        <f ca="1">D8/D19</f>
        <v>6.735874459806916</v>
      </c>
      <c r="E13" s="860">
        <f t="shared" ref="E13:H13" ca="1" si="3">E8/E19</f>
        <v>5.7686250824055705</v>
      </c>
      <c r="F13" s="860">
        <f t="shared" ca="1" si="3"/>
        <v>4.6795789692099019</v>
      </c>
      <c r="G13" s="860">
        <f t="shared" ca="1" si="3"/>
        <v>3.7215730826954547</v>
      </c>
      <c r="H13" s="860">
        <f t="shared" ca="1" si="3"/>
        <v>2.9403855196398343</v>
      </c>
    </row>
    <row r="14" spans="1:11" ht="13.75" customHeight="1" x14ac:dyDescent="0.35">
      <c r="B14" s="959" t="s">
        <v>1100</v>
      </c>
      <c r="C14" s="860">
        <f>+C19/C39</f>
        <v>45.383836109860439</v>
      </c>
      <c r="D14" s="860">
        <f ca="1">+D19/D39</f>
        <v>2.5318942197055621</v>
      </c>
      <c r="E14" s="860">
        <f ca="1">+E19/E39</f>
        <v>2.8643194985937157</v>
      </c>
      <c r="F14" s="860">
        <f ca="1">+F19/F39</f>
        <v>3.4113061483332299</v>
      </c>
      <c r="G14" s="860">
        <f ca="1">+G19/G39</f>
        <v>4.0559280135626183</v>
      </c>
      <c r="H14" s="860">
        <f ca="1">+H19/H39</f>
        <v>4.8743614376430617</v>
      </c>
    </row>
    <row r="15" spans="1:11" ht="13.75" customHeight="1" x14ac:dyDescent="0.35">
      <c r="B15" s="959"/>
      <c r="C15" s="860"/>
      <c r="D15" s="860"/>
      <c r="E15" s="860"/>
      <c r="F15" s="860"/>
      <c r="G15" s="860"/>
      <c r="H15" s="860"/>
    </row>
    <row r="16" spans="1:11" ht="13.75" customHeight="1" x14ac:dyDescent="0.35"/>
    <row r="17" spans="2:14" ht="14.75" customHeight="1" thickBot="1" x14ac:dyDescent="0.4">
      <c r="B17" s="852" t="s">
        <v>1019</v>
      </c>
      <c r="C17" s="852"/>
      <c r="D17" s="853"/>
      <c r="E17" s="853"/>
      <c r="F17" s="853"/>
      <c r="G17" s="853"/>
      <c r="H17" s="853"/>
    </row>
    <row r="18" spans="2:14" ht="6.65" customHeight="1" x14ac:dyDescent="0.35"/>
    <row r="19" spans="2:14" ht="14.75" customHeight="1" thickBot="1" x14ac:dyDescent="0.4">
      <c r="B19" s="941" t="s">
        <v>111</v>
      </c>
      <c r="C19" s="857">
        <f>'LBO Model'!K43</f>
        <v>403.19000000000017</v>
      </c>
      <c r="D19" s="857">
        <f ca="1">'LBO Model'!L43</f>
        <v>440.89999999999992</v>
      </c>
      <c r="E19" s="857">
        <f ca="1">'LBO Model'!M43</f>
        <v>489.40000000000043</v>
      </c>
      <c r="F19" s="857">
        <f ca="1">'LBO Model'!N43</f>
        <v>561.10000000000059</v>
      </c>
      <c r="G19" s="857">
        <f ca="1">'LBO Model'!O43</f>
        <v>631.60000000000036</v>
      </c>
      <c r="H19" s="857">
        <f ca="1">'LBO Model'!P43</f>
        <v>692.1000000000007</v>
      </c>
      <c r="J19" s="858" t="s">
        <v>1016</v>
      </c>
      <c r="K19" s="941" t="s">
        <v>1080</v>
      </c>
    </row>
    <row r="20" spans="2:14" ht="14.75" customHeight="1" x14ac:dyDescent="0.35">
      <c r="B20" s="941" t="s">
        <v>1079</v>
      </c>
      <c r="C20" s="857">
        <f>'LBO Model'!K47</f>
        <v>213.02500000000001</v>
      </c>
      <c r="D20" s="857">
        <f ca="1">'LBO Model'!L47</f>
        <v>198.50686785037226</v>
      </c>
      <c r="E20" s="857">
        <f ca="1">'LBO Model'!M47</f>
        <v>311.75704487019266</v>
      </c>
      <c r="F20" s="857">
        <f ca="1">'LBO Model'!N47</f>
        <v>356.15009104913759</v>
      </c>
      <c r="G20" s="857">
        <f ca="1">'LBO Model'!O47</f>
        <v>425.10316877047893</v>
      </c>
      <c r="H20" s="857">
        <f ca="1">'LBO Model'!P47</f>
        <v>451.70685352504285</v>
      </c>
      <c r="J20" s="858" t="s">
        <v>1016</v>
      </c>
      <c r="K20" s="851" t="s">
        <v>1020</v>
      </c>
      <c r="M20" s="947" t="s">
        <v>1094</v>
      </c>
      <c r="N20" s="948" t="s">
        <v>1095</v>
      </c>
    </row>
    <row r="21" spans="2:14" ht="4.5" customHeight="1" x14ac:dyDescent="0.35">
      <c r="D21" s="857"/>
      <c r="E21" s="857"/>
      <c r="F21" s="857"/>
      <c r="G21" s="857"/>
      <c r="H21" s="857"/>
      <c r="J21" s="858"/>
      <c r="N21" s="949"/>
    </row>
    <row r="22" spans="2:14" ht="14.75" customHeight="1" x14ac:dyDescent="0.35">
      <c r="B22" s="851" t="s">
        <v>1021</v>
      </c>
      <c r="C22" s="860">
        <f ca="1">'LBO Model'!F34</f>
        <v>18.500000000000256</v>
      </c>
      <c r="D22" s="942" t="s">
        <v>1082</v>
      </c>
      <c r="H22" s="860">
        <f ca="1">'LBO Model'!B364</f>
        <v>21.000000000000256</v>
      </c>
      <c r="J22" s="858" t="s">
        <v>1016</v>
      </c>
      <c r="K22" s="959" t="s">
        <v>1093</v>
      </c>
      <c r="M22" s="952">
        <f ca="1">'LBO Model'!B362</f>
        <v>19.000000000000256</v>
      </c>
      <c r="N22" s="953">
        <f ca="1">'LBO Model'!B364</f>
        <v>21.000000000000256</v>
      </c>
    </row>
    <row r="23" spans="2:14" ht="14.75" customHeight="1" thickBot="1" x14ac:dyDescent="0.4">
      <c r="B23" s="941" t="s">
        <v>1081</v>
      </c>
      <c r="C23" s="857">
        <f ca="1">-'LBO Model'!K362</f>
        <v>4534.1932261296397</v>
      </c>
      <c r="E23" s="857"/>
      <c r="F23" s="857"/>
      <c r="G23" s="857"/>
      <c r="H23" s="857">
        <f ca="1">'LBO Model'!P364</f>
        <v>12520.400731856153</v>
      </c>
      <c r="M23" s="954">
        <f ca="1">'LBO Model'!P362</f>
        <v>11136.200731856165</v>
      </c>
      <c r="N23" s="955">
        <f ca="1">'LBO Model'!P364</f>
        <v>12520.400731856153</v>
      </c>
    </row>
    <row r="24" spans="2:14" ht="14.75" customHeight="1" x14ac:dyDescent="0.35">
      <c r="H24" s="857"/>
    </row>
    <row r="25" spans="2:14" ht="14.75" customHeight="1" x14ac:dyDescent="0.35"/>
    <row r="26" spans="2:14" ht="13.75" customHeight="1" thickBot="1" x14ac:dyDescent="0.4">
      <c r="B26" s="852" t="s">
        <v>1022</v>
      </c>
      <c r="C26" s="852"/>
      <c r="D26" s="853"/>
      <c r="E26" s="853"/>
      <c r="F26" s="853"/>
      <c r="G26" s="853"/>
      <c r="H26" s="853"/>
    </row>
    <row r="27" spans="2:14" ht="4.5" customHeight="1" x14ac:dyDescent="0.35"/>
    <row r="28" spans="2:14" ht="13.75" customHeight="1" x14ac:dyDescent="0.35">
      <c r="C28" s="854" t="s">
        <v>106</v>
      </c>
      <c r="D28" s="854"/>
      <c r="E28" s="854"/>
      <c r="F28" s="854"/>
      <c r="G28" s="854"/>
      <c r="H28" s="854"/>
    </row>
    <row r="29" spans="2:14" ht="13.75" customHeight="1" x14ac:dyDescent="0.35">
      <c r="C29" s="856">
        <v>0</v>
      </c>
      <c r="D29" s="856">
        <f>C29+1</f>
        <v>1</v>
      </c>
      <c r="E29" s="856">
        <f>D29+1</f>
        <v>2</v>
      </c>
      <c r="F29" s="856">
        <f>E29+1</f>
        <v>3</v>
      </c>
      <c r="G29" s="856">
        <f>F29+1</f>
        <v>4</v>
      </c>
      <c r="H29" s="856">
        <f>G29+1</f>
        <v>5</v>
      </c>
    </row>
    <row r="30" spans="2:14" ht="13.75" customHeight="1" x14ac:dyDescent="0.35">
      <c r="B30" s="855" t="s">
        <v>1023</v>
      </c>
      <c r="C30" s="855"/>
    </row>
    <row r="31" spans="2:14" ht="13.75" customHeight="1" x14ac:dyDescent="0.35">
      <c r="B31" s="851" t="s">
        <v>404</v>
      </c>
      <c r="C31" s="857">
        <f ca="1">-C23</f>
        <v>-4534.1932261296397</v>
      </c>
      <c r="D31" s="857"/>
    </row>
    <row r="32" spans="2:14" ht="13.75" customHeight="1" x14ac:dyDescent="0.35">
      <c r="B32" s="851" t="s">
        <v>1024</v>
      </c>
      <c r="C32" s="856"/>
      <c r="D32" s="856"/>
      <c r="E32" s="856"/>
      <c r="F32" s="856"/>
      <c r="G32" s="856"/>
      <c r="H32" s="861">
        <f ca="1">H23</f>
        <v>12520.400731856153</v>
      </c>
    </row>
    <row r="33" spans="2:11" ht="13.75" customHeight="1" x14ac:dyDescent="0.35">
      <c r="B33" s="862" t="s">
        <v>1025</v>
      </c>
      <c r="C33" s="863">
        <f t="shared" ref="C33:H33" ca="1" si="4">SUM(C31:C32)</f>
        <v>-4534.1932261296397</v>
      </c>
      <c r="D33" s="863">
        <f t="shared" si="4"/>
        <v>0</v>
      </c>
      <c r="E33" s="863">
        <f t="shared" si="4"/>
        <v>0</v>
      </c>
      <c r="F33" s="863">
        <f t="shared" si="4"/>
        <v>0</v>
      </c>
      <c r="G33" s="863">
        <f t="shared" si="4"/>
        <v>0</v>
      </c>
      <c r="H33" s="863">
        <f t="shared" ca="1" si="4"/>
        <v>12520.400731856153</v>
      </c>
    </row>
    <row r="34" spans="2:11" ht="13.75" customHeight="1" x14ac:dyDescent="0.35">
      <c r="B34" s="864" t="s">
        <v>1026</v>
      </c>
      <c r="C34" s="865">
        <f ca="1">IRR(C33:H33,0.2)</f>
        <v>0.22524698102151364</v>
      </c>
      <c r="J34" s="858" t="s">
        <v>1016</v>
      </c>
      <c r="K34" s="851" t="s">
        <v>1027</v>
      </c>
    </row>
    <row r="36" spans="2:11" ht="14.75" customHeight="1" x14ac:dyDescent="0.35"/>
    <row r="37" spans="2:11" ht="14.75" customHeight="1" x14ac:dyDescent="0.35"/>
    <row r="38" spans="2:11" ht="14.75" customHeight="1" x14ac:dyDescent="0.35"/>
    <row r="39" spans="2:11" ht="14.75" customHeight="1" x14ac:dyDescent="0.35">
      <c r="B39" s="959" t="s">
        <v>418</v>
      </c>
      <c r="C39" s="960">
        <f>+'LBO Model'!K49</f>
        <v>8.8840000000000003</v>
      </c>
      <c r="D39" s="960">
        <f ca="1">+'LBO Model'!L49</f>
        <v>174.13839668673876</v>
      </c>
      <c r="E39" s="960">
        <f ca="1">+'LBO Model'!M49</f>
        <v>170.86082758578993</v>
      </c>
      <c r="F39" s="960">
        <f ca="1">+'LBO Model'!N49</f>
        <v>164.48245205870492</v>
      </c>
      <c r="G39" s="960">
        <f ca="1">+'LBO Model'!O49</f>
        <v>155.72268489242822</v>
      </c>
      <c r="H39" s="960">
        <f ca="1">+'LBO Model'!P49</f>
        <v>141.98782935250091</v>
      </c>
    </row>
    <row r="40" spans="2:11" ht="14.75" customHeight="1" x14ac:dyDescent="0.3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AC96-3E74-4AC4-AE86-B3E41A4A6CAE}">
  <dimension ref="A1:N40"/>
  <sheetViews>
    <sheetView showGridLines="0" topLeftCell="A18" workbookViewId="0">
      <selection activeCell="H22" sqref="H22"/>
    </sheetView>
  </sheetViews>
  <sheetFormatPr baseColWidth="10" defaultColWidth="10.83203125" defaultRowHeight="14.5" x14ac:dyDescent="0.35"/>
  <cols>
    <col min="1" max="1" width="2.83203125" style="851" customWidth="1"/>
    <col min="2" max="2" width="18.4140625" style="851" customWidth="1"/>
    <col min="3" max="3" width="7.4140625" style="851" customWidth="1"/>
    <col min="4" max="8" width="7.1640625" style="851" customWidth="1"/>
    <col min="9" max="9" width="1.1640625" style="851" customWidth="1"/>
    <col min="10" max="10" width="3.83203125" style="851" customWidth="1"/>
    <col min="11" max="12" width="10.83203125" style="851"/>
    <col min="13" max="14" width="12.5" style="851" customWidth="1"/>
    <col min="15" max="16384" width="10.83203125" style="851"/>
  </cols>
  <sheetData>
    <row r="1" spans="1:11" ht="16" thickBot="1" x14ac:dyDescent="0.4">
      <c r="A1" s="849" t="s">
        <v>1088</v>
      </c>
      <c r="B1" s="850"/>
      <c r="C1" s="850"/>
      <c r="D1" s="850"/>
      <c r="E1" s="850"/>
      <c r="F1" s="850"/>
      <c r="G1" s="850"/>
      <c r="H1" s="850"/>
    </row>
    <row r="3" spans="1:11" ht="14.75" customHeight="1" thickBot="1" x14ac:dyDescent="0.4">
      <c r="B3" s="852" t="s">
        <v>1015</v>
      </c>
      <c r="C3" s="852"/>
      <c r="D3" s="853"/>
      <c r="E3" s="853"/>
      <c r="F3" s="853"/>
      <c r="G3" s="853"/>
      <c r="H3" s="853"/>
    </row>
    <row r="4" spans="1:11" ht="4.5" customHeight="1" x14ac:dyDescent="0.35"/>
    <row r="5" spans="1:11" ht="14.75" customHeight="1" x14ac:dyDescent="0.35">
      <c r="C5" s="854" t="s">
        <v>106</v>
      </c>
      <c r="D5" s="854"/>
      <c r="E5" s="854"/>
      <c r="F5" s="854"/>
      <c r="G5" s="854"/>
      <c r="H5" s="854"/>
    </row>
    <row r="6" spans="1:11" ht="14.75" customHeight="1" x14ac:dyDescent="0.35">
      <c r="B6" s="855" t="s">
        <v>1086</v>
      </c>
      <c r="C6" s="856">
        <v>2016</v>
      </c>
      <c r="D6" s="856">
        <v>2017</v>
      </c>
      <c r="E6" s="856">
        <f>D6+1</f>
        <v>2018</v>
      </c>
      <c r="F6" s="856">
        <f>E6+1</f>
        <v>2019</v>
      </c>
      <c r="G6" s="856">
        <f>F6+1</f>
        <v>2020</v>
      </c>
      <c r="H6" s="856">
        <f>G6+1</f>
        <v>2021</v>
      </c>
    </row>
    <row r="7" spans="1:11" ht="14.75" customHeight="1" x14ac:dyDescent="0.35">
      <c r="B7" s="941" t="s">
        <v>1085</v>
      </c>
      <c r="C7" s="944">
        <v>5919.0797262765846</v>
      </c>
      <c r="D7" s="944">
        <v>5882.5530496160172</v>
      </c>
      <c r="E7" s="944">
        <v>5792.6076522635067</v>
      </c>
      <c r="F7" s="944">
        <v>5684.3980218157631</v>
      </c>
      <c r="G7" s="944">
        <v>5528.7119017162386</v>
      </c>
      <c r="H7" s="944">
        <v>5371.7891974216</v>
      </c>
    </row>
    <row r="8" spans="1:11" ht="14.75" customHeight="1" x14ac:dyDescent="0.35">
      <c r="B8" s="851" t="s">
        <v>458</v>
      </c>
      <c r="C8" s="944">
        <v>2999.9993563513985</v>
      </c>
      <c r="D8" s="944">
        <v>2961.494697995015</v>
      </c>
      <c r="E8" s="944">
        <v>2839.3808726682819</v>
      </c>
      <c r="F8" s="944">
        <v>2657.0918653793956</v>
      </c>
      <c r="G8" s="944">
        <v>2393.0877353389742</v>
      </c>
      <c r="H8" s="944">
        <v>2089.4817042395557</v>
      </c>
      <c r="J8" s="858" t="s">
        <v>1016</v>
      </c>
      <c r="K8" s="851" t="s">
        <v>1017</v>
      </c>
    </row>
    <row r="9" spans="1:11" ht="14.75" customHeight="1" x14ac:dyDescent="0.35">
      <c r="B9" s="851" t="s">
        <v>467</v>
      </c>
      <c r="C9" s="944">
        <v>2919.0803699310841</v>
      </c>
      <c r="D9" s="944">
        <v>2921.0583516284246</v>
      </c>
      <c r="E9" s="944">
        <v>2953.2267796044084</v>
      </c>
      <c r="F9" s="944">
        <v>3027.3061564475452</v>
      </c>
      <c r="G9" s="944">
        <v>3135.6241663906712</v>
      </c>
      <c r="H9" s="944">
        <v>3282.3074931985984</v>
      </c>
    </row>
    <row r="10" spans="1:11" ht="14.75" customHeight="1" x14ac:dyDescent="0.35"/>
    <row r="11" spans="1:11" ht="14.75" customHeight="1" x14ac:dyDescent="0.35">
      <c r="B11" s="855" t="s">
        <v>344</v>
      </c>
      <c r="C11" s="855"/>
    </row>
    <row r="12" spans="1:11" ht="14.75" customHeight="1" x14ac:dyDescent="0.35">
      <c r="B12" s="941" t="s">
        <v>1087</v>
      </c>
      <c r="C12" s="859">
        <f t="shared" ref="C12:H12" si="0">C8/C7</f>
        <v>0.5068354364333858</v>
      </c>
      <c r="D12" s="859">
        <f t="shared" si="0"/>
        <v>0.50343697252136577</v>
      </c>
      <c r="E12" s="859">
        <f t="shared" si="0"/>
        <v>0.49017317296792434</v>
      </c>
      <c r="F12" s="859">
        <f t="shared" si="0"/>
        <v>0.46743592816370777</v>
      </c>
      <c r="G12" s="859">
        <f t="shared" si="0"/>
        <v>0.43284724866855606</v>
      </c>
      <c r="H12" s="859">
        <f t="shared" si="0"/>
        <v>0.38897313864112243</v>
      </c>
      <c r="J12" s="858" t="s">
        <v>1016</v>
      </c>
      <c r="K12" s="851" t="s">
        <v>1018</v>
      </c>
    </row>
    <row r="13" spans="1:11" ht="14.75" customHeight="1" x14ac:dyDescent="0.35">
      <c r="B13" s="941" t="s">
        <v>1084</v>
      </c>
      <c r="C13" s="860">
        <f t="shared" ref="C13" si="1">C8/C19</f>
        <v>7.4406591342825896</v>
      </c>
      <c r="D13" s="860">
        <f ca="1">D8/D19</f>
        <v>6.7169305919596631</v>
      </c>
      <c r="E13" s="860">
        <f t="shared" ref="E13:H13" ca="1" si="2">E8/E19</f>
        <v>5.8017590369192469</v>
      </c>
      <c r="F13" s="860">
        <f t="shared" ca="1" si="2"/>
        <v>4.7355050176071876</v>
      </c>
      <c r="G13" s="860">
        <f t="shared" ca="1" si="2"/>
        <v>3.7889292833105968</v>
      </c>
      <c r="H13" s="860">
        <f t="shared" ca="1" si="2"/>
        <v>3.019045953243106</v>
      </c>
    </row>
    <row r="14" spans="1:11" ht="13.75" customHeight="1" x14ac:dyDescent="0.35">
      <c r="B14" s="959" t="s">
        <v>1100</v>
      </c>
      <c r="C14" s="860">
        <f>+C19/C39</f>
        <v>45.383836109860439</v>
      </c>
      <c r="D14" s="860">
        <f ca="1">+D19/D39</f>
        <v>2.5318942197055621</v>
      </c>
      <c r="E14" s="860">
        <f ca="1">+E19/E39</f>
        <v>2.8643194985937157</v>
      </c>
      <c r="F14" s="860">
        <f ca="1">+F19/F39</f>
        <v>3.4113061483332299</v>
      </c>
      <c r="G14" s="860">
        <f ca="1">+G19/G39</f>
        <v>4.0559280135626183</v>
      </c>
      <c r="H14" s="860">
        <f ca="1">+H19/H39</f>
        <v>4.8743614376430617</v>
      </c>
    </row>
    <row r="15" spans="1:11" ht="13.75" customHeight="1" x14ac:dyDescent="0.35">
      <c r="B15" s="959"/>
      <c r="C15" s="860"/>
      <c r="D15" s="860"/>
      <c r="E15" s="860"/>
      <c r="F15" s="860"/>
      <c r="G15" s="860"/>
      <c r="H15" s="860"/>
    </row>
    <row r="16" spans="1:11" ht="13.75" customHeight="1" x14ac:dyDescent="0.35"/>
    <row r="17" spans="2:14" ht="14.75" customHeight="1" thickBot="1" x14ac:dyDescent="0.4">
      <c r="B17" s="852" t="s">
        <v>1019</v>
      </c>
      <c r="C17" s="852"/>
      <c r="D17" s="853"/>
      <c r="E17" s="853"/>
      <c r="F17" s="853"/>
      <c r="G17" s="853"/>
      <c r="H17" s="853"/>
    </row>
    <row r="18" spans="2:14" ht="6.65" customHeight="1" x14ac:dyDescent="0.35"/>
    <row r="19" spans="2:14" ht="14.75" customHeight="1" thickBot="1" x14ac:dyDescent="0.4">
      <c r="B19" s="941" t="s">
        <v>111</v>
      </c>
      <c r="C19" s="857">
        <f>'LBO Model'!K43</f>
        <v>403.19000000000017</v>
      </c>
      <c r="D19" s="857">
        <f ca="1">'LBO Model'!L43</f>
        <v>440.89999999999992</v>
      </c>
      <c r="E19" s="857">
        <f ca="1">'LBO Model'!M43</f>
        <v>489.40000000000043</v>
      </c>
      <c r="F19" s="857">
        <f ca="1">'LBO Model'!N43</f>
        <v>561.10000000000059</v>
      </c>
      <c r="G19" s="857">
        <f ca="1">'LBO Model'!O43</f>
        <v>631.60000000000036</v>
      </c>
      <c r="H19" s="857">
        <f ca="1">'LBO Model'!P43</f>
        <v>692.1000000000007</v>
      </c>
      <c r="J19" s="858" t="s">
        <v>1016</v>
      </c>
      <c r="K19" s="941" t="s">
        <v>1080</v>
      </c>
    </row>
    <row r="20" spans="2:14" ht="14.75" customHeight="1" x14ac:dyDescent="0.35">
      <c r="B20" s="941" t="s">
        <v>1079</v>
      </c>
      <c r="C20" s="857">
        <f>'LBO Model'!K47</f>
        <v>213.02500000000001</v>
      </c>
      <c r="D20" s="857">
        <f ca="1">'LBO Model'!L47</f>
        <v>198.50686785037226</v>
      </c>
      <c r="E20" s="857">
        <f ca="1">'LBO Model'!M47</f>
        <v>311.75704487019266</v>
      </c>
      <c r="F20" s="857">
        <f ca="1">'LBO Model'!N47</f>
        <v>356.15009104913759</v>
      </c>
      <c r="G20" s="857">
        <f ca="1">'LBO Model'!O47</f>
        <v>425.10316877047893</v>
      </c>
      <c r="H20" s="857">
        <f ca="1">'LBO Model'!P47</f>
        <v>451.70685352504285</v>
      </c>
      <c r="J20" s="858" t="s">
        <v>1016</v>
      </c>
      <c r="K20" s="851" t="s">
        <v>1020</v>
      </c>
      <c r="M20" s="947" t="s">
        <v>1094</v>
      </c>
      <c r="N20" s="948" t="s">
        <v>1095</v>
      </c>
    </row>
    <row r="21" spans="2:14" ht="4.5" customHeight="1" x14ac:dyDescent="0.35">
      <c r="D21" s="857"/>
      <c r="E21" s="857"/>
      <c r="F21" s="857"/>
      <c r="G21" s="857"/>
      <c r="H21" s="857"/>
      <c r="J21" s="858"/>
      <c r="N21" s="949"/>
    </row>
    <row r="22" spans="2:14" ht="14.75" customHeight="1" x14ac:dyDescent="0.35">
      <c r="B22" s="851" t="s">
        <v>1021</v>
      </c>
      <c r="C22" s="860">
        <f ca="1">'LBO Model'!F34</f>
        <v>18.500000000000256</v>
      </c>
      <c r="D22" s="942" t="s">
        <v>1082</v>
      </c>
      <c r="H22" s="945">
        <v>17.169078203252134</v>
      </c>
      <c r="J22" s="858" t="s">
        <v>1016</v>
      </c>
      <c r="K22" s="943" t="s">
        <v>1093</v>
      </c>
      <c r="M22" s="945">
        <f ca="1">'LBO Model'!B362</f>
        <v>19.000000000000256</v>
      </c>
      <c r="N22" s="950">
        <f ca="1">'LBO Model'!B364</f>
        <v>21.000000000000256</v>
      </c>
    </row>
    <row r="23" spans="2:14" ht="14.75" customHeight="1" thickBot="1" x14ac:dyDescent="0.4">
      <c r="B23" s="941" t="s">
        <v>1081</v>
      </c>
      <c r="C23" s="857">
        <f ca="1">-'LBO Model'!K362</f>
        <v>4534.1932261296397</v>
      </c>
      <c r="E23" s="857"/>
      <c r="F23" s="857"/>
      <c r="G23" s="857"/>
      <c r="H23" s="946">
        <v>9814.5788702375612</v>
      </c>
      <c r="M23" s="946">
        <f ca="1">'LBO Model'!P362</f>
        <v>11136.200731856165</v>
      </c>
      <c r="N23" s="951">
        <f ca="1">'LBO Model'!P364</f>
        <v>12520.400731856153</v>
      </c>
    </row>
    <row r="24" spans="2:14" ht="14.75" customHeight="1" x14ac:dyDescent="0.35"/>
    <row r="25" spans="2:14" ht="14.75" customHeight="1" x14ac:dyDescent="0.35"/>
    <row r="26" spans="2:14" ht="13.75" customHeight="1" thickBot="1" x14ac:dyDescent="0.4">
      <c r="B26" s="852" t="s">
        <v>1022</v>
      </c>
      <c r="C26" s="852"/>
      <c r="D26" s="853"/>
      <c r="E26" s="853"/>
      <c r="F26" s="853"/>
      <c r="G26" s="853"/>
      <c r="H26" s="853"/>
    </row>
    <row r="27" spans="2:14" ht="4.5" customHeight="1" x14ac:dyDescent="0.35"/>
    <row r="28" spans="2:14" ht="13.75" customHeight="1" x14ac:dyDescent="0.35">
      <c r="C28" s="854" t="s">
        <v>106</v>
      </c>
      <c r="D28" s="854"/>
      <c r="E28" s="854"/>
      <c r="F28" s="854"/>
      <c r="G28" s="854"/>
      <c r="H28" s="854"/>
    </row>
    <row r="29" spans="2:14" ht="13.75" customHeight="1" x14ac:dyDescent="0.35">
      <c r="C29" s="856">
        <v>0</v>
      </c>
      <c r="D29" s="856">
        <f>C29+1</f>
        <v>1</v>
      </c>
      <c r="E29" s="856">
        <f>D29+1</f>
        <v>2</v>
      </c>
      <c r="F29" s="856">
        <f>E29+1</f>
        <v>3</v>
      </c>
      <c r="G29" s="856">
        <f>F29+1</f>
        <v>4</v>
      </c>
      <c r="H29" s="856">
        <f>G29+1</f>
        <v>5</v>
      </c>
    </row>
    <row r="30" spans="2:14" ht="13.75" customHeight="1" x14ac:dyDescent="0.35">
      <c r="B30" s="855" t="s">
        <v>1023</v>
      </c>
      <c r="C30" s="855"/>
    </row>
    <row r="31" spans="2:14" ht="13.75" customHeight="1" x14ac:dyDescent="0.35">
      <c r="B31" s="851" t="s">
        <v>404</v>
      </c>
      <c r="C31" s="857">
        <f ca="1">-C23</f>
        <v>-4534.1932261296397</v>
      </c>
      <c r="D31" s="857"/>
    </row>
    <row r="32" spans="2:14" ht="13.75" customHeight="1" x14ac:dyDescent="0.35">
      <c r="B32" s="851" t="s">
        <v>1024</v>
      </c>
      <c r="C32" s="856"/>
      <c r="D32" s="856"/>
      <c r="E32" s="856"/>
      <c r="F32" s="856"/>
      <c r="G32" s="856"/>
      <c r="H32" s="861">
        <f>H23</f>
        <v>9814.5788702375612</v>
      </c>
    </row>
    <row r="33" spans="2:11" ht="13.75" customHeight="1" x14ac:dyDescent="0.35">
      <c r="B33" s="862" t="s">
        <v>1025</v>
      </c>
      <c r="C33" s="863">
        <f t="shared" ref="C33:H33" ca="1" si="3">SUM(C31:C32)</f>
        <v>-4534.1932261296397</v>
      </c>
      <c r="D33" s="863">
        <f t="shared" si="3"/>
        <v>0</v>
      </c>
      <c r="E33" s="863">
        <f t="shared" si="3"/>
        <v>0</v>
      </c>
      <c r="F33" s="863">
        <f t="shared" si="3"/>
        <v>0</v>
      </c>
      <c r="G33" s="863">
        <f t="shared" si="3"/>
        <v>0</v>
      </c>
      <c r="H33" s="863">
        <f t="shared" si="3"/>
        <v>9814.5788702375612</v>
      </c>
    </row>
    <row r="34" spans="2:11" ht="13.75" customHeight="1" x14ac:dyDescent="0.35">
      <c r="B34" s="864" t="s">
        <v>1026</v>
      </c>
      <c r="C34" s="865">
        <f ca="1">IRR(C33:H33,0.2)</f>
        <v>0.16700933258619277</v>
      </c>
      <c r="J34" s="858" t="s">
        <v>1016</v>
      </c>
      <c r="K34" s="851" t="s">
        <v>1027</v>
      </c>
    </row>
    <row r="36" spans="2:11" ht="14.75" customHeight="1" x14ac:dyDescent="0.35"/>
    <row r="37" spans="2:11" ht="14.75" customHeight="1" x14ac:dyDescent="0.35">
      <c r="B37" s="943" t="s">
        <v>1092</v>
      </c>
    </row>
    <row r="38" spans="2:11" ht="14.75" customHeight="1" x14ac:dyDescent="0.35"/>
    <row r="39" spans="2:11" ht="14.75" customHeight="1" x14ac:dyDescent="0.35">
      <c r="B39" s="959" t="s">
        <v>418</v>
      </c>
      <c r="C39" s="960">
        <f>+'LBO Model'!K49</f>
        <v>8.8840000000000003</v>
      </c>
      <c r="D39" s="960">
        <f ca="1">+'LBO Model'!L49</f>
        <v>174.13839668673876</v>
      </c>
      <c r="E39" s="960">
        <f ca="1">+'LBO Model'!M49</f>
        <v>170.86082758578993</v>
      </c>
      <c r="F39" s="960">
        <f ca="1">+'LBO Model'!N49</f>
        <v>164.48245205870492</v>
      </c>
      <c r="G39" s="960">
        <f ca="1">+'LBO Model'!O49</f>
        <v>155.72268489242822</v>
      </c>
      <c r="H39" s="960">
        <f ca="1">+'LBO Model'!P49</f>
        <v>141.98782935250091</v>
      </c>
    </row>
    <row r="40" spans="2:11" ht="14.75" customHeight="1" x14ac:dyDescent="0.3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4"/>
  <sheetViews>
    <sheetView showGridLines="0" zoomScaleNormal="100" workbookViewId="0">
      <selection activeCell="H34" sqref="H34"/>
    </sheetView>
  </sheetViews>
  <sheetFormatPr baseColWidth="10" defaultColWidth="9" defaultRowHeight="13" x14ac:dyDescent="0.3"/>
  <cols>
    <col min="1" max="5" width="9" style="327"/>
    <col min="6" max="6" width="9.5" style="327" bestFit="1" customWidth="1"/>
    <col min="7" max="7" width="9" style="327"/>
    <col min="8" max="8" width="9.5" style="327" bestFit="1" customWidth="1"/>
    <col min="9" max="16384" width="9" style="327"/>
  </cols>
  <sheetData>
    <row r="2" spans="2:8" x14ac:dyDescent="0.3">
      <c r="B2" s="327" t="s">
        <v>378</v>
      </c>
    </row>
    <row r="3" spans="2:8" ht="13.5" thickBot="1" x14ac:dyDescent="0.35">
      <c r="B3" s="328"/>
      <c r="C3" s="328"/>
      <c r="D3" s="328"/>
      <c r="E3" s="328"/>
      <c r="F3" s="328"/>
      <c r="G3" s="328"/>
      <c r="H3" s="328"/>
    </row>
    <row r="4" spans="2:8" x14ac:dyDescent="0.3">
      <c r="B4" s="327" t="s">
        <v>379</v>
      </c>
    </row>
    <row r="5" spans="2:8" x14ac:dyDescent="0.3">
      <c r="F5" s="329" t="s">
        <v>374</v>
      </c>
      <c r="G5" s="329"/>
      <c r="H5" s="329"/>
    </row>
    <row r="6" spans="2:8" x14ac:dyDescent="0.3">
      <c r="B6" s="330"/>
      <c r="C6" s="330"/>
      <c r="D6" s="330"/>
      <c r="E6" s="330"/>
      <c r="F6" s="331">
        <v>42367</v>
      </c>
      <c r="G6" s="332"/>
      <c r="H6" s="331">
        <v>42731</v>
      </c>
    </row>
    <row r="7" spans="2:8" s="334" customFormat="1" x14ac:dyDescent="0.3">
      <c r="B7" s="333" t="s">
        <v>218</v>
      </c>
    </row>
    <row r="8" spans="2:8" x14ac:dyDescent="0.3">
      <c r="B8" s="327" t="s">
        <v>70</v>
      </c>
      <c r="F8" s="335">
        <v>241.886</v>
      </c>
      <c r="G8" s="336"/>
      <c r="H8" s="335">
        <v>105.529</v>
      </c>
    </row>
    <row r="9" spans="2:8" x14ac:dyDescent="0.3">
      <c r="B9" s="327" t="s">
        <v>71</v>
      </c>
      <c r="F9" s="337">
        <v>38.210999999999999</v>
      </c>
      <c r="H9" s="337">
        <v>53.518999999999998</v>
      </c>
    </row>
    <row r="10" spans="2:8" x14ac:dyDescent="0.3">
      <c r="B10" s="327" t="s">
        <v>72</v>
      </c>
      <c r="F10" s="337">
        <v>77.575000000000003</v>
      </c>
      <c r="H10" s="337">
        <v>59.404000000000003</v>
      </c>
    </row>
    <row r="11" spans="2:8" x14ac:dyDescent="0.3">
      <c r="B11" s="327" t="s">
        <v>40</v>
      </c>
      <c r="F11" s="337">
        <v>22.481999999999999</v>
      </c>
      <c r="H11" s="337">
        <v>23.774999999999999</v>
      </c>
    </row>
    <row r="12" spans="2:8" x14ac:dyDescent="0.3">
      <c r="B12" s="327" t="s">
        <v>41</v>
      </c>
      <c r="F12" s="337">
        <v>59.457000000000001</v>
      </c>
      <c r="H12" s="337">
        <v>69.194000000000003</v>
      </c>
    </row>
    <row r="13" spans="2:8" x14ac:dyDescent="0.3">
      <c r="B13" s="327" t="s">
        <v>36</v>
      </c>
      <c r="F13" s="337">
        <v>0</v>
      </c>
      <c r="H13" s="337">
        <v>0</v>
      </c>
    </row>
    <row r="14" spans="2:8" x14ac:dyDescent="0.3">
      <c r="B14" s="327" t="s">
        <v>73</v>
      </c>
      <c r="F14" s="337">
        <v>28.699000000000002</v>
      </c>
      <c r="H14" s="337">
        <v>0</v>
      </c>
    </row>
    <row r="15" spans="2:8" x14ac:dyDescent="0.3">
      <c r="B15" s="338" t="s">
        <v>74</v>
      </c>
      <c r="C15" s="338"/>
      <c r="D15" s="338"/>
      <c r="E15" s="338"/>
      <c r="F15" s="339">
        <f>SUM(F8:F14)</f>
        <v>468.31</v>
      </c>
      <c r="G15" s="339"/>
      <c r="H15" s="339">
        <f>SUM(H8:H14)</f>
        <v>311.42099999999999</v>
      </c>
    </row>
    <row r="17" spans="2:8" x14ac:dyDescent="0.3">
      <c r="B17" s="327" t="s">
        <v>75</v>
      </c>
      <c r="F17" s="337">
        <v>776.24800000000005</v>
      </c>
      <c r="G17" s="337"/>
      <c r="H17" s="337">
        <v>802.75900000000001</v>
      </c>
    </row>
    <row r="19" spans="2:8" x14ac:dyDescent="0.3">
      <c r="B19" s="327" t="s">
        <v>76</v>
      </c>
    </row>
    <row r="20" spans="2:8" x14ac:dyDescent="0.3">
      <c r="B20" s="327" t="s">
        <v>77</v>
      </c>
      <c r="F20" s="337">
        <v>121.791</v>
      </c>
      <c r="G20" s="337"/>
      <c r="H20" s="337">
        <v>122.377</v>
      </c>
    </row>
    <row r="21" spans="2:8" x14ac:dyDescent="0.3">
      <c r="B21" s="327" t="s">
        <v>78</v>
      </c>
      <c r="F21" s="337">
        <v>63.877000000000002</v>
      </c>
      <c r="G21" s="337"/>
      <c r="H21" s="337">
        <v>54.819000000000003</v>
      </c>
    </row>
    <row r="22" spans="2:8" x14ac:dyDescent="0.3">
      <c r="B22" s="327" t="s">
        <v>42</v>
      </c>
      <c r="F22" s="337">
        <v>10.613</v>
      </c>
      <c r="G22" s="337"/>
      <c r="H22" s="337">
        <v>10.234999999999999</v>
      </c>
    </row>
    <row r="23" spans="2:8" x14ac:dyDescent="0.3">
      <c r="B23" s="338" t="s">
        <v>79</v>
      </c>
      <c r="C23" s="338"/>
      <c r="D23" s="338"/>
      <c r="E23" s="338"/>
      <c r="F23" s="339">
        <f>SUM(F20:F22)</f>
        <v>196.28100000000001</v>
      </c>
      <c r="G23" s="339"/>
      <c r="H23" s="339">
        <f>SUM(H20:H22)</f>
        <v>187.43099999999998</v>
      </c>
    </row>
    <row r="25" spans="2:8" s="334" customFormat="1" x14ac:dyDescent="0.3">
      <c r="B25" s="334" t="s">
        <v>80</v>
      </c>
      <c r="F25" s="340">
        <f>SUM(F15,F17,F23)</f>
        <v>1440.8389999999999</v>
      </c>
      <c r="G25" s="340"/>
      <c r="H25" s="340">
        <f>SUM(H15,H17,H23)</f>
        <v>1301.6110000000001</v>
      </c>
    </row>
    <row r="27" spans="2:8" s="334" customFormat="1" x14ac:dyDescent="0.3">
      <c r="B27" s="334" t="s">
        <v>380</v>
      </c>
    </row>
    <row r="28" spans="2:8" x14ac:dyDescent="0.3">
      <c r="B28" s="327" t="s">
        <v>43</v>
      </c>
      <c r="F28" s="337">
        <v>19.805</v>
      </c>
      <c r="G28" s="337"/>
      <c r="H28" s="337">
        <v>22.454999999999998</v>
      </c>
    </row>
    <row r="29" spans="2:8" x14ac:dyDescent="0.3">
      <c r="B29" s="327" t="s">
        <v>44</v>
      </c>
      <c r="F29" s="337">
        <v>359.464</v>
      </c>
      <c r="G29" s="337"/>
      <c r="H29" s="337">
        <v>408.637</v>
      </c>
    </row>
    <row r="30" spans="2:8" x14ac:dyDescent="0.3">
      <c r="B30" s="327" t="s">
        <v>82</v>
      </c>
      <c r="F30" s="337">
        <v>17.228999999999999</v>
      </c>
      <c r="G30" s="337"/>
      <c r="H30" s="337">
        <v>17.228999999999999</v>
      </c>
    </row>
    <row r="31" spans="2:8" x14ac:dyDescent="0.3">
      <c r="B31" s="327" t="s">
        <v>83</v>
      </c>
      <c r="F31" s="337">
        <v>2.9449999999999998</v>
      </c>
      <c r="G31" s="337"/>
      <c r="H31" s="337">
        <v>0</v>
      </c>
    </row>
    <row r="32" spans="2:8" x14ac:dyDescent="0.3">
      <c r="B32" s="338" t="s">
        <v>84</v>
      </c>
      <c r="C32" s="338"/>
      <c r="D32" s="338"/>
      <c r="E32" s="338"/>
      <c r="F32" s="339">
        <f>SUM(F28:F31)</f>
        <v>399.44299999999998</v>
      </c>
      <c r="G32" s="339"/>
      <c r="H32" s="339">
        <f>SUM(H28:H31)</f>
        <v>448.32099999999997</v>
      </c>
    </row>
    <row r="34" spans="2:8" x14ac:dyDescent="0.3">
      <c r="B34" s="327" t="s">
        <v>85</v>
      </c>
      <c r="F34" s="337">
        <v>388.971</v>
      </c>
      <c r="G34" s="337"/>
      <c r="H34" s="337">
        <v>410.59399999999999</v>
      </c>
    </row>
    <row r="35" spans="2:8" x14ac:dyDescent="0.3">
      <c r="B35" s="327" t="s">
        <v>45</v>
      </c>
      <c r="F35" s="337">
        <v>62.61</v>
      </c>
      <c r="G35" s="337"/>
      <c r="H35" s="337">
        <v>63.369</v>
      </c>
    </row>
    <row r="36" spans="2:8" x14ac:dyDescent="0.3">
      <c r="B36" s="327" t="s">
        <v>36</v>
      </c>
      <c r="F36" s="337">
        <v>35.968000000000004</v>
      </c>
      <c r="G36" s="337"/>
      <c r="H36" s="337">
        <v>32.301000000000002</v>
      </c>
    </row>
    <row r="37" spans="2:8" x14ac:dyDescent="0.3">
      <c r="B37" s="327" t="s">
        <v>46</v>
      </c>
      <c r="F37" s="337">
        <v>52.566000000000003</v>
      </c>
      <c r="G37" s="337"/>
      <c r="H37" s="337">
        <v>54.636000000000003</v>
      </c>
    </row>
    <row r="39" spans="2:8" x14ac:dyDescent="0.3">
      <c r="B39" s="334" t="s">
        <v>86</v>
      </c>
      <c r="C39" s="334"/>
      <c r="D39" s="334"/>
      <c r="E39" s="334"/>
      <c r="F39" s="340">
        <f>SUM(F32,F34:F37)</f>
        <v>939.55799999999999</v>
      </c>
      <c r="G39" s="340"/>
      <c r="H39" s="340">
        <f>SUM(H32,H34:H37)</f>
        <v>1009.221</v>
      </c>
    </row>
    <row r="41" spans="2:8" x14ac:dyDescent="0.3">
      <c r="B41" s="327" t="s">
        <v>382</v>
      </c>
    </row>
    <row r="42" spans="2:8" x14ac:dyDescent="0.3">
      <c r="B42" s="327" t="s">
        <v>88</v>
      </c>
      <c r="F42" s="337">
        <v>3.9809999999999999</v>
      </c>
      <c r="G42" s="337"/>
      <c r="H42" s="337">
        <v>3.6030000000000002</v>
      </c>
    </row>
    <row r="43" spans="2:8" x14ac:dyDescent="0.3">
      <c r="F43" s="337"/>
      <c r="G43" s="337"/>
      <c r="H43" s="337"/>
    </row>
    <row r="44" spans="2:8" x14ac:dyDescent="0.3">
      <c r="B44" s="327" t="s">
        <v>97</v>
      </c>
      <c r="F44" s="337">
        <v>3.0000000000000001E-3</v>
      </c>
      <c r="G44" s="337"/>
      <c r="H44" s="337">
        <v>3.0000000000000001E-3</v>
      </c>
    </row>
    <row r="45" spans="2:8" x14ac:dyDescent="0.3">
      <c r="B45" s="327" t="s">
        <v>381</v>
      </c>
      <c r="F45" s="337">
        <v>-1111.586</v>
      </c>
      <c r="G45" s="337"/>
      <c r="H45" s="337">
        <v>-1488.779</v>
      </c>
    </row>
    <row r="46" spans="2:8" x14ac:dyDescent="0.3">
      <c r="B46" s="327" t="s">
        <v>191</v>
      </c>
      <c r="F46" s="337">
        <v>0</v>
      </c>
      <c r="G46" s="337"/>
      <c r="H46" s="337">
        <v>0</v>
      </c>
    </row>
    <row r="47" spans="2:8" x14ac:dyDescent="0.3">
      <c r="B47" s="327" t="s">
        <v>92</v>
      </c>
      <c r="F47" s="337">
        <v>235.393</v>
      </c>
      <c r="G47" s="337"/>
      <c r="H47" s="337">
        <v>257.59399999999999</v>
      </c>
    </row>
    <row r="48" spans="2:8" x14ac:dyDescent="0.3">
      <c r="B48" s="327" t="s">
        <v>93</v>
      </c>
      <c r="F48" s="337">
        <v>-5.0289999999999999</v>
      </c>
      <c r="G48" s="337"/>
      <c r="H48" s="337">
        <v>-4.1239999999999997</v>
      </c>
    </row>
    <row r="49" spans="2:8" x14ac:dyDescent="0.3">
      <c r="B49" s="327" t="s">
        <v>94</v>
      </c>
      <c r="F49" s="337">
        <v>1378.519</v>
      </c>
      <c r="G49" s="337"/>
      <c r="H49" s="337">
        <v>1524.0930000000001</v>
      </c>
    </row>
    <row r="50" spans="2:8" x14ac:dyDescent="0.3">
      <c r="B50" s="338" t="s">
        <v>95</v>
      </c>
      <c r="C50" s="338"/>
      <c r="D50" s="338"/>
      <c r="E50" s="338"/>
      <c r="F50" s="341">
        <f>SUM(F44:F49)</f>
        <v>497.29999999999995</v>
      </c>
      <c r="G50" s="342"/>
      <c r="H50" s="341">
        <f>SUM(H44:H49)</f>
        <v>288.78700000000003</v>
      </c>
    </row>
    <row r="52" spans="2:8" s="334" customFormat="1" ht="13.5" thickBot="1" x14ac:dyDescent="0.35">
      <c r="B52" s="343" t="s">
        <v>96</v>
      </c>
      <c r="C52" s="343"/>
      <c r="D52" s="343"/>
      <c r="E52" s="343"/>
      <c r="F52" s="344">
        <f>F39+F42+F50</f>
        <v>1440.8389999999999</v>
      </c>
      <c r="G52" s="343"/>
      <c r="H52" s="344">
        <f>H39+H42+H50</f>
        <v>1301.6109999999999</v>
      </c>
    </row>
    <row r="54" spans="2:8" x14ac:dyDescent="0.3">
      <c r="B54" s="327" t="s">
        <v>452</v>
      </c>
      <c r="F54" s="288">
        <f>F25-F52</f>
        <v>0</v>
      </c>
      <c r="H54" s="288">
        <f>H25-H52</f>
        <v>0</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T156"/>
  <sheetViews>
    <sheetView showGridLines="0" topLeftCell="A10" zoomScaleNormal="100" workbookViewId="0">
      <selection activeCell="F10" sqref="F10"/>
    </sheetView>
  </sheetViews>
  <sheetFormatPr baseColWidth="10" defaultColWidth="9" defaultRowHeight="13" x14ac:dyDescent="0.3"/>
  <cols>
    <col min="1" max="1" width="9" style="246"/>
    <col min="2" max="16384" width="9" style="248"/>
  </cols>
  <sheetData>
    <row r="2" spans="1:7" x14ac:dyDescent="0.3">
      <c r="A2" s="246" t="s">
        <v>31</v>
      </c>
      <c r="B2" s="256" t="str">
        <f>"Transaction Summary ("&amp;'LBO Model'!J4&amp;")"</f>
        <v>Transaction Summary (High Bid)</v>
      </c>
      <c r="G2" s="558"/>
    </row>
    <row r="3" spans="1:7" ht="13.5" thickBot="1" x14ac:dyDescent="0.35">
      <c r="A3" s="248"/>
      <c r="B3" s="416" t="str">
        <f>'LBO Model'!$B$12</f>
        <v>($ in millions)</v>
      </c>
      <c r="C3" s="267"/>
      <c r="D3" s="267"/>
      <c r="E3" s="267"/>
      <c r="F3" s="267"/>
      <c r="G3" s="558"/>
    </row>
    <row r="4" spans="1:7" ht="14.5" x14ac:dyDescent="0.45">
      <c r="B4" s="549"/>
      <c r="C4" s="549"/>
      <c r="D4" s="549"/>
      <c r="E4" s="549"/>
      <c r="F4" s="577" t="s">
        <v>370</v>
      </c>
      <c r="G4" s="558"/>
    </row>
    <row r="5" spans="1:7" x14ac:dyDescent="0.3">
      <c r="B5" s="549" t="s">
        <v>834</v>
      </c>
      <c r="C5" s="549"/>
      <c r="D5" s="549"/>
      <c r="E5" s="549"/>
      <c r="F5" s="631">
        <f>'LBO Model'!F14</f>
        <v>242.30769230769229</v>
      </c>
      <c r="G5" s="558"/>
    </row>
    <row r="6" spans="1:7" x14ac:dyDescent="0.3">
      <c r="B6" s="549" t="s">
        <v>780</v>
      </c>
      <c r="C6" s="549"/>
      <c r="D6" s="549"/>
      <c r="E6" s="549"/>
      <c r="F6" s="616">
        <f ca="1">'LBO Model'!F15</f>
        <v>0.28021880196016624</v>
      </c>
      <c r="G6" s="558"/>
    </row>
    <row r="7" spans="1:7" x14ac:dyDescent="0.3">
      <c r="B7" s="497" t="s">
        <v>779</v>
      </c>
      <c r="C7" s="497"/>
      <c r="D7" s="497"/>
      <c r="E7" s="497"/>
      <c r="F7" s="632">
        <f ca="1">'LBO Model'!F16</f>
        <v>310.20686355188644</v>
      </c>
      <c r="G7" s="558"/>
    </row>
    <row r="8" spans="1:7" x14ac:dyDescent="0.3">
      <c r="B8" s="549"/>
      <c r="C8" s="549"/>
      <c r="D8" s="549"/>
      <c r="E8" s="549"/>
      <c r="F8" s="582"/>
      <c r="G8" s="558"/>
    </row>
    <row r="9" spans="1:7" x14ac:dyDescent="0.3">
      <c r="B9" s="549" t="s">
        <v>503</v>
      </c>
      <c r="C9" s="549"/>
      <c r="D9" s="549"/>
      <c r="E9" s="549"/>
      <c r="F9" s="582">
        <f>'LBO Model'!F18</f>
        <v>22.723279999999999</v>
      </c>
      <c r="G9" s="558"/>
    </row>
    <row r="10" spans="1:7" x14ac:dyDescent="0.3">
      <c r="B10" s="549" t="s">
        <v>841</v>
      </c>
      <c r="C10" s="549"/>
      <c r="D10" s="549"/>
      <c r="E10" s="549"/>
      <c r="F10" s="582">
        <f ca="1">'LBO Model'!F19</f>
        <v>2.5000000000000001E-2</v>
      </c>
      <c r="G10" s="558"/>
    </row>
    <row r="11" spans="1:7" x14ac:dyDescent="0.3">
      <c r="B11" s="304" t="s">
        <v>781</v>
      </c>
      <c r="C11" s="304"/>
      <c r="D11" s="304"/>
      <c r="E11" s="304"/>
      <c r="F11" s="633">
        <f ca="1">'LBO Model'!F20</f>
        <v>22.748279999999998</v>
      </c>
      <c r="G11" s="558"/>
    </row>
    <row r="12" spans="1:7" x14ac:dyDescent="0.3">
      <c r="B12" s="549" t="s">
        <v>782</v>
      </c>
      <c r="C12" s="549"/>
      <c r="D12" s="549"/>
      <c r="E12" s="549"/>
      <c r="F12" s="634">
        <f ca="1">'LBO Model'!F21</f>
        <v>310.20686355188644</v>
      </c>
      <c r="G12" s="558"/>
    </row>
    <row r="13" spans="1:7" x14ac:dyDescent="0.3">
      <c r="B13" s="549" t="s">
        <v>842</v>
      </c>
      <c r="C13" s="549"/>
      <c r="D13" s="549"/>
      <c r="E13" s="549"/>
      <c r="F13" s="582">
        <f ca="1">'LBO Model'!F22</f>
        <v>-4.1390399999999996</v>
      </c>
      <c r="G13" s="558"/>
    </row>
    <row r="14" spans="1:7" x14ac:dyDescent="0.3">
      <c r="B14" s="304" t="s">
        <v>369</v>
      </c>
      <c r="C14" s="304"/>
      <c r="D14" s="304"/>
      <c r="E14" s="304"/>
      <c r="F14" s="635">
        <f ca="1">'LBO Model'!F23</f>
        <v>7052.5335500001065</v>
      </c>
      <c r="G14" s="558"/>
    </row>
    <row r="15" spans="1:7" x14ac:dyDescent="0.3">
      <c r="B15" s="549" t="s">
        <v>783</v>
      </c>
      <c r="C15" s="549"/>
      <c r="D15" s="549"/>
      <c r="E15" s="549"/>
      <c r="F15" s="582">
        <f>'LBO Model'!F24</f>
        <v>427.82299999999998</v>
      </c>
      <c r="G15" s="558"/>
    </row>
    <row r="16" spans="1:7" x14ac:dyDescent="0.3">
      <c r="B16" s="549" t="s">
        <v>785</v>
      </c>
      <c r="C16" s="549"/>
      <c r="D16" s="549"/>
      <c r="E16" s="549"/>
      <c r="F16" s="582">
        <f>'LBO Model'!F25</f>
        <v>0</v>
      </c>
      <c r="G16" s="558"/>
    </row>
    <row r="17" spans="1:10" x14ac:dyDescent="0.3">
      <c r="B17" s="549" t="s">
        <v>786</v>
      </c>
      <c r="C17" s="549"/>
      <c r="D17" s="549"/>
      <c r="E17" s="549"/>
      <c r="F17" s="582">
        <f>'LBO Model'!F26</f>
        <v>-21.341550000000002</v>
      </c>
      <c r="G17" s="558"/>
    </row>
    <row r="18" spans="1:10" x14ac:dyDescent="0.3">
      <c r="B18" s="497" t="s">
        <v>833</v>
      </c>
      <c r="C18" s="497"/>
      <c r="D18" s="497"/>
      <c r="E18" s="497"/>
      <c r="F18" s="636">
        <f ca="1">'LBO Model'!F27</f>
        <v>7459.0150000001067</v>
      </c>
      <c r="G18" s="558"/>
    </row>
    <row r="19" spans="1:10" x14ac:dyDescent="0.3">
      <c r="B19" s="549"/>
      <c r="C19" s="549"/>
      <c r="D19" s="549"/>
      <c r="E19" s="549"/>
      <c r="F19" s="582"/>
      <c r="G19" s="558"/>
    </row>
    <row r="20" spans="1:10" x14ac:dyDescent="0.3">
      <c r="B20" s="549" t="s">
        <v>787</v>
      </c>
      <c r="C20" s="549"/>
      <c r="D20" s="549"/>
      <c r="E20" s="549"/>
      <c r="F20" s="582">
        <f ca="1">'LBO Model'!F29</f>
        <v>138.02536333717387</v>
      </c>
      <c r="G20" s="558"/>
    </row>
    <row r="21" spans="1:10" x14ac:dyDescent="0.3">
      <c r="B21" s="497" t="s">
        <v>827</v>
      </c>
      <c r="C21" s="254"/>
      <c r="D21" s="254"/>
      <c r="E21" s="254"/>
      <c r="F21" s="636">
        <f ca="1">'LBO Model'!F30</f>
        <v>7597.0403633372807</v>
      </c>
      <c r="G21" s="558"/>
    </row>
    <row r="22" spans="1:10" x14ac:dyDescent="0.3">
      <c r="B22" s="549"/>
      <c r="C22" s="549"/>
      <c r="D22" s="549"/>
      <c r="E22" s="549"/>
      <c r="F22" s="582"/>
      <c r="G22" s="558"/>
    </row>
    <row r="23" spans="1:10" x14ac:dyDescent="0.3">
      <c r="B23" s="549" t="s">
        <v>412</v>
      </c>
      <c r="C23" s="549"/>
      <c r="D23" s="549"/>
      <c r="E23" s="549"/>
      <c r="F23" s="634">
        <f>'LBO Model'!F32</f>
        <v>403.19000000000017</v>
      </c>
      <c r="G23" s="558"/>
    </row>
    <row r="24" spans="1:10" x14ac:dyDescent="0.3">
      <c r="B24" s="549"/>
      <c r="C24" s="549"/>
      <c r="D24" s="549"/>
      <c r="E24" s="549"/>
      <c r="F24" s="582"/>
      <c r="G24" s="558"/>
    </row>
    <row r="25" spans="1:10" x14ac:dyDescent="0.3">
      <c r="B25" s="549" t="s">
        <v>413</v>
      </c>
      <c r="C25" s="549"/>
      <c r="D25" s="549"/>
      <c r="E25" s="549"/>
      <c r="F25" s="637">
        <f ca="1">'LBO Model'!F34</f>
        <v>18.500000000000256</v>
      </c>
      <c r="G25" s="558"/>
    </row>
    <row r="26" spans="1:10" x14ac:dyDescent="0.3">
      <c r="B26" s="549"/>
      <c r="C26" s="549"/>
      <c r="D26" s="549"/>
      <c r="E26" s="549"/>
      <c r="F26" s="638"/>
      <c r="G26" s="558"/>
    </row>
    <row r="27" spans="1:10" ht="13.5" thickBot="1" x14ac:dyDescent="0.35">
      <c r="B27" s="267" t="s">
        <v>414</v>
      </c>
      <c r="C27" s="267"/>
      <c r="D27" s="267"/>
      <c r="E27" s="267"/>
      <c r="F27" s="639">
        <f ca="1">'LBO Model'!F35</f>
        <v>18.842333300273513</v>
      </c>
      <c r="G27" s="558"/>
    </row>
    <row r="28" spans="1:10" x14ac:dyDescent="0.3">
      <c r="G28" s="558"/>
    </row>
    <row r="29" spans="1:10" x14ac:dyDescent="0.3">
      <c r="A29" s="246" t="s">
        <v>31</v>
      </c>
      <c r="B29" s="276" t="str">
        <f>"Enterprise Value &amp; Leverage Summary ("&amp;'LBO Model'!J4&amp;")"</f>
        <v>Enterprise Value &amp; Leverage Summary (High Bid)</v>
      </c>
    </row>
    <row r="30" spans="1:10" x14ac:dyDescent="0.3">
      <c r="B30" s="248" t="str">
        <f>'LBO Model'!$B$12</f>
        <v>($ in millions)</v>
      </c>
    </row>
    <row r="31" spans="1:10" s="256" customFormat="1" x14ac:dyDescent="0.3">
      <c r="A31" s="249"/>
      <c r="I31" s="256" t="s">
        <v>517</v>
      </c>
    </row>
    <row r="32" spans="1:10" s="256" customFormat="1" ht="13.5" thickBot="1" x14ac:dyDescent="0.35">
      <c r="A32" s="249"/>
      <c r="B32" s="274"/>
      <c r="C32" s="274"/>
      <c r="D32" s="274"/>
      <c r="E32" s="274"/>
      <c r="F32" s="308" t="s">
        <v>205</v>
      </c>
      <c r="G32" s="274"/>
      <c r="H32" s="274"/>
      <c r="I32" s="308" t="s">
        <v>518</v>
      </c>
      <c r="J32" s="274"/>
    </row>
    <row r="33" spans="1:10" x14ac:dyDescent="0.3">
      <c r="B33" s="248" t="s">
        <v>519</v>
      </c>
      <c r="F33" s="286">
        <f ca="1">'LBO Model'!F23</f>
        <v>7052.5335500001065</v>
      </c>
    </row>
    <row r="34" spans="1:10" x14ac:dyDescent="0.3">
      <c r="B34" s="248" t="s">
        <v>520</v>
      </c>
      <c r="F34" s="248">
        <f>'LBO Model'!F24+'LBO Model'!F25</f>
        <v>427.82299999999998</v>
      </c>
    </row>
    <row r="35" spans="1:10" x14ac:dyDescent="0.3">
      <c r="B35" s="410" t="s">
        <v>521</v>
      </c>
      <c r="C35" s="410"/>
      <c r="D35" s="410"/>
      <c r="E35" s="410"/>
      <c r="F35" s="410">
        <f>'LBO Model'!F26</f>
        <v>-21.341550000000002</v>
      </c>
      <c r="G35" s="410"/>
      <c r="H35" s="410"/>
      <c r="I35" s="410"/>
      <c r="J35" s="410"/>
    </row>
    <row r="36" spans="1:10" x14ac:dyDescent="0.3">
      <c r="B36" s="248" t="s">
        <v>372</v>
      </c>
      <c r="F36" s="286">
        <f ca="1">'LBO Model'!F27</f>
        <v>7459.0150000001067</v>
      </c>
      <c r="I36" s="234">
        <f ca="1">F36/$F$40</f>
        <v>18.500000000000256</v>
      </c>
    </row>
    <row r="37" spans="1:10" x14ac:dyDescent="0.3">
      <c r="B37" s="258" t="s">
        <v>478</v>
      </c>
      <c r="C37" s="258"/>
      <c r="D37" s="258"/>
      <c r="E37" s="258"/>
      <c r="F37" s="258">
        <f ca="1">'LBO Model'!F29</f>
        <v>138.02536333717387</v>
      </c>
      <c r="G37" s="258"/>
      <c r="H37" s="258"/>
      <c r="I37" s="592"/>
      <c r="J37" s="258"/>
    </row>
    <row r="38" spans="1:10" s="256" customFormat="1" x14ac:dyDescent="0.3">
      <c r="A38" s="249"/>
      <c r="B38" s="256" t="s">
        <v>522</v>
      </c>
      <c r="F38" s="295">
        <f ca="1">'LBO Model'!F30</f>
        <v>7597.0403633372807</v>
      </c>
      <c r="I38" s="402">
        <f ca="1">F38/$F$40</f>
        <v>18.842333300273513</v>
      </c>
    </row>
    <row r="40" spans="1:10" x14ac:dyDescent="0.3">
      <c r="B40" s="248" t="s">
        <v>523</v>
      </c>
      <c r="F40" s="286">
        <f>'LBO Model'!K43</f>
        <v>403.19000000000017</v>
      </c>
    </row>
    <row r="42" spans="1:10" s="276" customFormat="1" x14ac:dyDescent="0.3">
      <c r="A42" s="418"/>
      <c r="B42" s="276" t="s">
        <v>524</v>
      </c>
      <c r="I42" s="256" t="s">
        <v>525</v>
      </c>
    </row>
    <row r="43" spans="1:10" x14ac:dyDescent="0.3">
      <c r="B43" s="248" t="s">
        <v>371</v>
      </c>
      <c r="F43" s="248">
        <f>'LBO Model'!E45</f>
        <v>0</v>
      </c>
      <c r="I43" s="234">
        <f t="shared" ref="I43:I49" si="0">F43/$F$40</f>
        <v>0</v>
      </c>
    </row>
    <row r="44" spans="1:10" x14ac:dyDescent="0.3">
      <c r="B44" s="248" t="s">
        <v>195</v>
      </c>
      <c r="F44" s="248">
        <f ca="1">'LBO Model'!E42</f>
        <v>750.00033463008185</v>
      </c>
      <c r="I44" s="234">
        <f t="shared" ca="1" si="0"/>
        <v>1.8601660126245232</v>
      </c>
    </row>
    <row r="45" spans="1:10" x14ac:dyDescent="0.3">
      <c r="B45" s="248" t="s">
        <v>196</v>
      </c>
      <c r="F45" s="248">
        <f ca="1">'LBO Model'!E43</f>
        <v>2250.0009025775685</v>
      </c>
      <c r="I45" s="234">
        <f t="shared" ca="1" si="0"/>
        <v>5.5804977865958172</v>
      </c>
    </row>
    <row r="46" spans="1:10" x14ac:dyDescent="0.3">
      <c r="B46" s="410" t="s">
        <v>197</v>
      </c>
      <c r="C46" s="410"/>
      <c r="D46" s="410"/>
      <c r="E46" s="410"/>
      <c r="F46" s="410">
        <f ca="1">'LBO Model'!K17</f>
        <v>0</v>
      </c>
      <c r="G46" s="410"/>
      <c r="H46" s="410"/>
      <c r="I46" s="593">
        <f t="shared" ca="1" si="0"/>
        <v>0</v>
      </c>
      <c r="J46" s="410"/>
    </row>
    <row r="47" spans="1:10" x14ac:dyDescent="0.3">
      <c r="B47" s="248" t="s">
        <v>142</v>
      </c>
      <c r="F47" s="248">
        <f ca="1">SUM(F43:F46)</f>
        <v>3000.0012372076503</v>
      </c>
      <c r="I47" s="234">
        <f t="shared" ca="1" si="0"/>
        <v>7.4406637992203404</v>
      </c>
    </row>
    <row r="48" spans="1:10" x14ac:dyDescent="0.3">
      <c r="B48" s="410" t="s">
        <v>521</v>
      </c>
      <c r="C48" s="410"/>
      <c r="D48" s="410"/>
      <c r="E48" s="410"/>
      <c r="F48" s="410">
        <f>'LBO Model'!F26</f>
        <v>-21.341550000000002</v>
      </c>
      <c r="G48" s="410"/>
      <c r="H48" s="410"/>
      <c r="I48" s="593">
        <f t="shared" si="0"/>
        <v>-5.2931744338897274E-2</v>
      </c>
      <c r="J48" s="410"/>
    </row>
    <row r="49" spans="1:11" s="256" customFormat="1" ht="13.5" thickBot="1" x14ac:dyDescent="0.35">
      <c r="A49" s="249"/>
      <c r="B49" s="411" t="s">
        <v>526</v>
      </c>
      <c r="C49" s="411"/>
      <c r="D49" s="411"/>
      <c r="E49" s="411"/>
      <c r="F49" s="444">
        <f ca="1">F47+F48</f>
        <v>2978.6596872076502</v>
      </c>
      <c r="G49" s="411"/>
      <c r="H49" s="411"/>
      <c r="I49" s="594">
        <f t="shared" ca="1" si="0"/>
        <v>7.3877320548814431</v>
      </c>
      <c r="J49" s="411"/>
    </row>
    <row r="51" spans="1:11" x14ac:dyDescent="0.3">
      <c r="A51" s="540" t="s">
        <v>31</v>
      </c>
      <c r="B51" s="627" t="str">
        <f>"Sources &amp; Uses ("&amp;'LBO Model'!J4&amp;")"</f>
        <v>Sources &amp; Uses (High Bid)</v>
      </c>
      <c r="C51" s="550"/>
      <c r="D51" s="550"/>
      <c r="E51" s="550"/>
      <c r="F51" s="550"/>
      <c r="G51" s="550"/>
      <c r="H51" s="550"/>
      <c r="I51" s="550"/>
      <c r="J51" s="550"/>
      <c r="K51" s="550"/>
    </row>
    <row r="52" spans="1:11" x14ac:dyDescent="0.3">
      <c r="A52" s="540"/>
      <c r="B52" s="629" t="str">
        <f>'LBO Model'!$B$12</f>
        <v>($ in millions)</v>
      </c>
      <c r="C52" s="550"/>
      <c r="D52" s="550"/>
      <c r="E52" s="550"/>
      <c r="F52" s="550"/>
      <c r="G52" s="550"/>
      <c r="H52" s="550"/>
      <c r="I52" s="550"/>
      <c r="J52" s="550"/>
      <c r="K52" s="550"/>
    </row>
    <row r="53" spans="1:11" ht="13.5" thickBot="1" x14ac:dyDescent="0.35">
      <c r="A53" s="540"/>
      <c r="B53" s="625" t="s">
        <v>389</v>
      </c>
      <c r="C53" s="625"/>
      <c r="D53" s="625"/>
      <c r="E53" s="625"/>
      <c r="F53" s="626"/>
      <c r="G53" s="625" t="s">
        <v>391</v>
      </c>
      <c r="H53" s="625"/>
      <c r="I53" s="625"/>
      <c r="J53" s="625"/>
      <c r="K53" s="625"/>
    </row>
    <row r="54" spans="1:11" ht="14.5" x14ac:dyDescent="0.45">
      <c r="A54" s="540"/>
      <c r="B54" s="249"/>
      <c r="C54" s="249"/>
      <c r="D54" s="249"/>
      <c r="E54" s="541" t="s">
        <v>370</v>
      </c>
      <c r="F54" s="542" t="s">
        <v>392</v>
      </c>
      <c r="G54" s="249"/>
      <c r="H54" s="249"/>
      <c r="I54" s="249"/>
      <c r="J54" s="249"/>
      <c r="K54" s="541" t="s">
        <v>370</v>
      </c>
    </row>
    <row r="55" spans="1:11" x14ac:dyDescent="0.3">
      <c r="A55" s="540"/>
      <c r="B55" s="248" t="s">
        <v>390</v>
      </c>
      <c r="E55" s="286">
        <f>'LBO Model'!K14</f>
        <v>84.187449999999998</v>
      </c>
      <c r="F55" s="228">
        <f ca="1">'LBO Model'!L14</f>
        <v>1.1050568343471383E-2</v>
      </c>
      <c r="G55" s="248" t="s">
        <v>395</v>
      </c>
      <c r="K55" s="286">
        <f ca="1">'LBO Model'!R14</f>
        <v>7048.9174184113099</v>
      </c>
    </row>
    <row r="56" spans="1:11" x14ac:dyDescent="0.3">
      <c r="A56" s="540"/>
      <c r="B56" s="248" t="s">
        <v>195</v>
      </c>
      <c r="E56" s="248">
        <f ca="1">'LBO Model'!K15</f>
        <v>750.00033463008185</v>
      </c>
      <c r="F56" s="228">
        <f ca="1">'LBO Model'!L15</f>
        <v>9.8446145541361885E-2</v>
      </c>
      <c r="G56" s="248" t="s">
        <v>396</v>
      </c>
      <c r="K56" s="248">
        <f ca="1">'LBO Model'!R15</f>
        <v>3.6161315887971615</v>
      </c>
    </row>
    <row r="57" spans="1:11" x14ac:dyDescent="0.3">
      <c r="A57" s="540"/>
      <c r="B57" s="248" t="s">
        <v>196</v>
      </c>
      <c r="E57" s="248">
        <f ca="1">'LBO Model'!K16</f>
        <v>2250.0009025775685</v>
      </c>
      <c r="F57" s="228">
        <f ca="1">'LBO Model'!L16</f>
        <v>0.29533842332563481</v>
      </c>
      <c r="G57" s="248" t="s">
        <v>661</v>
      </c>
      <c r="K57" s="248">
        <f>'LBO Model'!R16</f>
        <v>427.82299999999998</v>
      </c>
    </row>
    <row r="58" spans="1:11" x14ac:dyDescent="0.3">
      <c r="A58" s="540"/>
      <c r="B58" s="248" t="s">
        <v>197</v>
      </c>
      <c r="E58" s="248">
        <f ca="1">'LBO Model'!K17</f>
        <v>0</v>
      </c>
      <c r="F58" s="228">
        <f ca="1">'LBO Model'!L17</f>
        <v>0</v>
      </c>
      <c r="G58" s="248" t="s">
        <v>201</v>
      </c>
      <c r="K58" s="248">
        <f ca="1">'LBO Model'!R17</f>
        <v>67.500027837172794</v>
      </c>
    </row>
    <row r="59" spans="1:11" x14ac:dyDescent="0.3">
      <c r="A59" s="540"/>
      <c r="B59" s="248" t="s">
        <v>198</v>
      </c>
      <c r="E59" s="248">
        <f ca="1">'LBO Model'!K18</f>
        <v>4534.1932261296397</v>
      </c>
      <c r="F59" s="228">
        <f ca="1">'LBO Model'!L18</f>
        <v>0.59516486278953196</v>
      </c>
      <c r="G59" s="248" t="s">
        <v>397</v>
      </c>
      <c r="K59" s="248">
        <f ca="1">'LBO Model'!R18</f>
        <v>70.525335500001063</v>
      </c>
    </row>
    <row r="60" spans="1:11" ht="13.5" thickBot="1" x14ac:dyDescent="0.35">
      <c r="A60" s="540"/>
      <c r="B60" s="411" t="s">
        <v>199</v>
      </c>
      <c r="C60" s="624"/>
      <c r="D60" s="624"/>
      <c r="E60" s="444">
        <f ca="1">'LBO Model'!K24</f>
        <v>7618.3819133372854</v>
      </c>
      <c r="F60" s="628">
        <f ca="1">'LBO Model'!L24</f>
        <v>1</v>
      </c>
      <c r="G60" s="411" t="s">
        <v>202</v>
      </c>
      <c r="H60" s="624"/>
      <c r="I60" s="624"/>
      <c r="J60" s="624"/>
      <c r="K60" s="444">
        <f ca="1">'LBO Model'!R24</f>
        <v>7618.3819133372817</v>
      </c>
    </row>
    <row r="62" spans="1:11" ht="13.5" thickBot="1" x14ac:dyDescent="0.35">
      <c r="B62" s="413" t="str">
        <f>"Summary of Fees ("&amp;'LBO Model'!J4&amp;")"</f>
        <v>Summary of Fees (High Bid)</v>
      </c>
      <c r="C62" s="267"/>
      <c r="D62" s="267"/>
      <c r="E62" s="267"/>
    </row>
    <row r="63" spans="1:11" x14ac:dyDescent="0.3">
      <c r="B63" s="248" t="s">
        <v>201</v>
      </c>
      <c r="E63" s="286">
        <f ca="1">'LBO Model'!E65</f>
        <v>67.500027837172127</v>
      </c>
    </row>
    <row r="64" spans="1:11" x14ac:dyDescent="0.3">
      <c r="B64" s="549" t="s">
        <v>476</v>
      </c>
      <c r="E64" s="248">
        <f ca="1">'LBO Model'!E68</f>
        <v>35.262667750000531</v>
      </c>
    </row>
    <row r="65" spans="1:20" x14ac:dyDescent="0.3">
      <c r="B65" s="549" t="s">
        <v>410</v>
      </c>
      <c r="E65" s="248">
        <f ca="1">'LBO Model'!E69</f>
        <v>21.157600650000319</v>
      </c>
    </row>
    <row r="66" spans="1:20" x14ac:dyDescent="0.3">
      <c r="B66" s="549" t="s">
        <v>37</v>
      </c>
      <c r="E66" s="248">
        <f ca="1">'LBO Model'!E70</f>
        <v>14.105067100000213</v>
      </c>
    </row>
    <row r="67" spans="1:20" ht="13.5" thickBot="1" x14ac:dyDescent="0.35">
      <c r="B67" s="411" t="s">
        <v>142</v>
      </c>
      <c r="C67" s="624"/>
      <c r="D67" s="624"/>
      <c r="E67" s="444">
        <f ca="1">SUM(E63:E66)</f>
        <v>138.02536333717319</v>
      </c>
    </row>
    <row r="68" spans="1:20" x14ac:dyDescent="0.3">
      <c r="G68" s="558"/>
    </row>
    <row r="69" spans="1:20" s="276" customFormat="1" x14ac:dyDescent="0.3">
      <c r="A69" s="418" t="s">
        <v>31</v>
      </c>
      <c r="B69" s="630" t="str">
        <f>"Summary Financial Results ("&amp;'LBO Model'!E4&amp;")"</f>
        <v>Summary Financial Results (Base Case)</v>
      </c>
      <c r="C69" s="630"/>
      <c r="D69" s="630"/>
      <c r="E69" s="630"/>
      <c r="F69" s="630"/>
      <c r="G69" s="630"/>
      <c r="H69" s="630"/>
      <c r="I69" s="630"/>
      <c r="J69" s="630"/>
      <c r="K69" s="630"/>
      <c r="L69" s="630"/>
      <c r="M69" s="630"/>
      <c r="N69" s="630"/>
      <c r="O69" s="630"/>
      <c r="P69" s="630"/>
      <c r="Q69" s="630"/>
      <c r="R69" s="630"/>
      <c r="S69" s="248"/>
      <c r="T69" s="236"/>
    </row>
    <row r="70" spans="1:20" s="276" customFormat="1" ht="5.15" customHeight="1" thickBot="1" x14ac:dyDescent="0.35">
      <c r="A70" s="418"/>
      <c r="B70" s="630"/>
      <c r="C70" s="630"/>
      <c r="D70" s="630"/>
      <c r="E70" s="630"/>
      <c r="F70" s="630"/>
      <c r="G70" s="630"/>
      <c r="H70" s="630"/>
      <c r="I70" s="630"/>
      <c r="J70" s="630"/>
      <c r="K70" s="630"/>
      <c r="L70" s="630"/>
      <c r="M70" s="630"/>
      <c r="N70" s="630"/>
      <c r="O70" s="630"/>
      <c r="P70" s="630"/>
      <c r="Q70" s="630"/>
      <c r="R70" s="630"/>
      <c r="S70" s="248"/>
    </row>
    <row r="71" spans="1:20" x14ac:dyDescent="0.3">
      <c r="B71" s="596" t="str">
        <f>"For the FYE Ending "&amp;TEXT(I72, "MMM DD")</f>
        <v>For the FYE Ending dic 27</v>
      </c>
      <c r="C71" s="596"/>
      <c r="D71" s="596"/>
      <c r="E71" s="596"/>
      <c r="F71" s="597" t="s">
        <v>109</v>
      </c>
      <c r="G71" s="597"/>
      <c r="H71" s="277"/>
      <c r="I71" s="597" t="s">
        <v>364</v>
      </c>
      <c r="J71" s="597"/>
      <c r="K71" s="597"/>
      <c r="L71" s="597"/>
      <c r="M71" s="597"/>
      <c r="N71" s="597"/>
      <c r="O71" s="597"/>
      <c r="P71" s="598"/>
      <c r="Q71" s="598"/>
      <c r="R71" s="598"/>
    </row>
    <row r="72" spans="1:20" x14ac:dyDescent="0.3">
      <c r="B72" s="414" t="str">
        <f>'LBO Model'!$B$12</f>
        <v>($ in millions)</v>
      </c>
      <c r="C72" s="258"/>
      <c r="D72" s="258"/>
      <c r="E72" s="258"/>
      <c r="F72" s="231">
        <f>'LBO Model'!F143</f>
        <v>42003</v>
      </c>
      <c r="G72" s="231">
        <f>'LBO Model'!G143</f>
        <v>42367</v>
      </c>
      <c r="H72" s="232">
        <f>'LBO Model'!H143</f>
        <v>42731</v>
      </c>
      <c r="I72" s="231">
        <f t="shared" ref="I72:R72" si="1">DATE(YEAR(H72)+1,MONTH(H72),DAY(H72))</f>
        <v>43096</v>
      </c>
      <c r="J72" s="231">
        <f t="shared" si="1"/>
        <v>43461</v>
      </c>
      <c r="K72" s="231">
        <f t="shared" si="1"/>
        <v>43826</v>
      </c>
      <c r="L72" s="231">
        <f t="shared" si="1"/>
        <v>44192</v>
      </c>
      <c r="M72" s="231">
        <f t="shared" si="1"/>
        <v>44557</v>
      </c>
      <c r="N72" s="231">
        <f t="shared" si="1"/>
        <v>44922</v>
      </c>
      <c r="O72" s="231">
        <f t="shared" si="1"/>
        <v>45287</v>
      </c>
      <c r="P72" s="231">
        <f t="shared" si="1"/>
        <v>45653</v>
      </c>
      <c r="Q72" s="231">
        <f t="shared" si="1"/>
        <v>46018</v>
      </c>
      <c r="R72" s="231">
        <f t="shared" si="1"/>
        <v>46383</v>
      </c>
    </row>
    <row r="73" spans="1:20" x14ac:dyDescent="0.3">
      <c r="B73" s="248" t="s">
        <v>107</v>
      </c>
      <c r="F73" s="286">
        <f>'LBO Model'!F148</f>
        <v>2529.1950000000002</v>
      </c>
      <c r="G73" s="286">
        <f>'LBO Model'!G148</f>
        <v>2681.58</v>
      </c>
      <c r="H73" s="433">
        <f>'LBO Model'!H148</f>
        <v>2795.3650000000002</v>
      </c>
      <c r="I73" s="286">
        <f ca="1">'LBO Model'!I148</f>
        <v>2846.1157142857151</v>
      </c>
      <c r="J73" s="286">
        <f ca="1">'LBO Model'!J148</f>
        <v>3083.1444285714297</v>
      </c>
      <c r="K73" s="286">
        <f ca="1">'LBO Model'!K148</f>
        <v>3374.4200000000014</v>
      </c>
      <c r="L73" s="286">
        <f ca="1">'LBO Model'!L148</f>
        <v>3886.8910000000014</v>
      </c>
      <c r="M73" s="286">
        <f ca="1">'LBO Model'!M148</f>
        <v>4220.0080000000016</v>
      </c>
      <c r="N73" s="286">
        <f ca="1">'LBO Model'!N148</f>
        <v>4593.740977397968</v>
      </c>
      <c r="O73" s="286">
        <f ca="1">'LBO Model'!O148</f>
        <v>5013.7081816123136</v>
      </c>
      <c r="P73" s="286">
        <f ca="1">'LBO Model'!P148</f>
        <v>5486.405976275908</v>
      </c>
      <c r="Q73" s="286">
        <f ca="1">'LBO Model'!Q148</f>
        <v>6019.3584004222148</v>
      </c>
      <c r="R73" s="286">
        <f ca="1">'LBO Model'!R148</f>
        <v>6621.2942404644364</v>
      </c>
    </row>
    <row r="74" spans="1:20" s="236" customFormat="1" x14ac:dyDescent="0.3">
      <c r="A74" s="283"/>
      <c r="B74" s="284" t="s">
        <v>140</v>
      </c>
      <c r="G74" s="290">
        <f>G73/F73-1</f>
        <v>6.0250395876948915E-2</v>
      </c>
      <c r="H74" s="434">
        <f>H73/G73-1</f>
        <v>4.2432073628234201E-2</v>
      </c>
      <c r="I74" s="290">
        <f t="shared" ref="I74:R74" ca="1" si="2">I73/H73-1</f>
        <v>1.8155308621848887E-2</v>
      </c>
      <c r="J74" s="290">
        <f t="shared" ca="1" si="2"/>
        <v>8.3281474852192172E-2</v>
      </c>
      <c r="K74" s="290">
        <f t="shared" ca="1" si="2"/>
        <v>9.4473540950377632E-2</v>
      </c>
      <c r="L74" s="290">
        <f t="shared" ca="1" si="2"/>
        <v>0.15186935828972081</v>
      </c>
      <c r="M74" s="290">
        <f t="shared" ca="1" si="2"/>
        <v>8.5702686285774377E-2</v>
      </c>
      <c r="N74" s="290">
        <f t="shared" ca="1" si="2"/>
        <v>8.8562149028619475E-2</v>
      </c>
      <c r="O74" s="290">
        <f t="shared" ca="1" si="2"/>
        <v>9.1421611771464573E-2</v>
      </c>
      <c r="P74" s="290">
        <f t="shared" ca="1" si="2"/>
        <v>9.4281074514309671E-2</v>
      </c>
      <c r="Q74" s="290">
        <f t="shared" ca="1" si="2"/>
        <v>9.7140537257154769E-2</v>
      </c>
      <c r="R74" s="290">
        <f t="shared" ca="1" si="2"/>
        <v>0.10000000000000009</v>
      </c>
    </row>
    <row r="75" spans="1:20" x14ac:dyDescent="0.3">
      <c r="H75" s="230"/>
    </row>
    <row r="76" spans="1:20" x14ac:dyDescent="0.3">
      <c r="B76" s="248" t="s">
        <v>527</v>
      </c>
      <c r="F76" s="248">
        <f>'LBO Model'!F157+'LBO Model'!F160+'LBO Model'!F161</f>
        <v>2129.1430000000005</v>
      </c>
      <c r="G76" s="248">
        <f>'LBO Model'!G157+'LBO Model'!G160+'LBO Model'!G161</f>
        <v>2287.48</v>
      </c>
      <c r="H76" s="230">
        <f>'LBO Model'!H157+'LBO Model'!H160+'LBO Model'!H161</f>
        <v>2392.1750000000002</v>
      </c>
      <c r="I76" s="248">
        <f ca="1">'LBO Model'!I157+'LBO Model'!I160+'LBO Model'!I161</f>
        <v>2405.2157142857154</v>
      </c>
      <c r="J76" s="248">
        <f ca="1">'LBO Model'!J157+'LBO Model'!J160+'LBO Model'!J161</f>
        <v>2593.7444285714291</v>
      </c>
      <c r="K76" s="248">
        <f ca="1">'LBO Model'!K157+'LBO Model'!K160+'LBO Model'!K161</f>
        <v>2813.3200000000011</v>
      </c>
      <c r="L76" s="248">
        <f ca="1">'LBO Model'!L157+'LBO Model'!L160+'LBO Model'!L161</f>
        <v>3255.2910000000011</v>
      </c>
      <c r="M76" s="248">
        <f ca="1">'LBO Model'!M157+'LBO Model'!M160+'LBO Model'!M161</f>
        <v>3527.9080000000008</v>
      </c>
      <c r="N76" s="248">
        <f ca="1">'LBO Model'!N157+'LBO Model'!N160+'LBO Model'!N161</f>
        <v>3840.3471140552601</v>
      </c>
      <c r="O76" s="248">
        <f ca="1">'LBO Model'!O157+'LBO Model'!O160+'LBO Model'!O161</f>
        <v>4191.4378369840842</v>
      </c>
      <c r="P76" s="248">
        <f ca="1">'LBO Model'!P157+'LBO Model'!P160+'LBO Model'!P161</f>
        <v>4586.6111000148776</v>
      </c>
      <c r="Q76" s="248">
        <f ca="1">'LBO Model'!Q157+'LBO Model'!Q160+'LBO Model'!Q161</f>
        <v>5032.1569664599538</v>
      </c>
      <c r="R76" s="248">
        <f ca="1">'LBO Model'!R157+'LBO Model'!R160+'LBO Model'!R161</f>
        <v>5535.372663105948</v>
      </c>
    </row>
    <row r="77" spans="1:20" s="236" customFormat="1" x14ac:dyDescent="0.3">
      <c r="A77" s="283"/>
      <c r="B77" s="284" t="s">
        <v>140</v>
      </c>
      <c r="F77" s="290"/>
      <c r="G77" s="290">
        <f>G76/F76-1</f>
        <v>7.4366540904016176E-2</v>
      </c>
      <c r="H77" s="434">
        <f>H76/G76-1</f>
        <v>4.5768706174480256E-2</v>
      </c>
      <c r="I77" s="290">
        <f t="shared" ref="I77:R77" ca="1" si="3">I76/H76-1</f>
        <v>5.4514048034592921E-3</v>
      </c>
      <c r="J77" s="290">
        <f t="shared" ca="1" si="3"/>
        <v>7.8383287272718372E-2</v>
      </c>
      <c r="K77" s="290">
        <f t="shared" ca="1" si="3"/>
        <v>8.4655823839016042E-2</v>
      </c>
      <c r="L77" s="290">
        <f t="shared" ca="1" si="3"/>
        <v>0.1570994412295792</v>
      </c>
      <c r="M77" s="290">
        <f t="shared" ca="1" si="3"/>
        <v>8.3745815658262002E-2</v>
      </c>
      <c r="N77" s="290">
        <f t="shared" ca="1" si="3"/>
        <v>8.8562149028619475E-2</v>
      </c>
      <c r="O77" s="290">
        <f t="shared" ca="1" si="3"/>
        <v>9.1421611771464573E-2</v>
      </c>
      <c r="P77" s="290">
        <f t="shared" ca="1" si="3"/>
        <v>9.4281074514309671E-2</v>
      </c>
      <c r="Q77" s="290">
        <f t="shared" ca="1" si="3"/>
        <v>9.7140537257154991E-2</v>
      </c>
      <c r="R77" s="290">
        <f t="shared" ca="1" si="3"/>
        <v>9.9999999999999867E-2</v>
      </c>
    </row>
    <row r="78" spans="1:20" s="236" customFormat="1" x14ac:dyDescent="0.3">
      <c r="A78" s="283"/>
      <c r="B78" s="284" t="s">
        <v>365</v>
      </c>
      <c r="F78" s="290">
        <f>F76/F73</f>
        <v>0.84182635186294463</v>
      </c>
      <c r="G78" s="290">
        <f>G76/G73</f>
        <v>0.85303440508953676</v>
      </c>
      <c r="H78" s="434">
        <f>H76/H73</f>
        <v>0.8557648106776754</v>
      </c>
      <c r="I78" s="290">
        <f t="shared" ref="I78:R78" ca="1" si="4">I76/I73</f>
        <v>0.8450871137153847</v>
      </c>
      <c r="J78" s="290">
        <f t="shared" ca="1" si="4"/>
        <v>0.84126595061044118</v>
      </c>
      <c r="K78" s="290">
        <f t="shared" ca="1" si="4"/>
        <v>0.83371957254876394</v>
      </c>
      <c r="L78" s="290">
        <f t="shared" ca="1" si="4"/>
        <v>0.83750509082966307</v>
      </c>
      <c r="M78" s="290">
        <f t="shared" ca="1" si="4"/>
        <v>0.83599557157237603</v>
      </c>
      <c r="N78" s="290">
        <f t="shared" ca="1" si="4"/>
        <v>0.83599557157237614</v>
      </c>
      <c r="O78" s="290">
        <f t="shared" ca="1" si="4"/>
        <v>0.83599557157237603</v>
      </c>
      <c r="P78" s="290">
        <f t="shared" ca="1" si="4"/>
        <v>0.83599557157237603</v>
      </c>
      <c r="Q78" s="290">
        <f t="shared" ca="1" si="4"/>
        <v>0.83599557157237625</v>
      </c>
      <c r="R78" s="290">
        <f t="shared" ca="1" si="4"/>
        <v>0.83599557157237603</v>
      </c>
    </row>
    <row r="79" spans="1:20" x14ac:dyDescent="0.3">
      <c r="H79" s="230"/>
    </row>
    <row r="80" spans="1:20" x14ac:dyDescent="0.3">
      <c r="B80" s="248" t="s">
        <v>111</v>
      </c>
      <c r="F80" s="248">
        <f>'LBO Model'!F162</f>
        <v>400.05199999999974</v>
      </c>
      <c r="G80" s="248">
        <f>'LBO Model'!G162</f>
        <v>394.09999999999985</v>
      </c>
      <c r="H80" s="230">
        <f>'LBO Model'!H162</f>
        <v>403.19000000000017</v>
      </c>
      <c r="I80" s="248">
        <f ca="1">'LBO Model'!I162</f>
        <v>440.89999999999992</v>
      </c>
      <c r="J80" s="248">
        <f ca="1">'LBO Model'!J162</f>
        <v>489.40000000000043</v>
      </c>
      <c r="K80" s="248">
        <f ca="1">'LBO Model'!K162</f>
        <v>561.10000000000059</v>
      </c>
      <c r="L80" s="248">
        <f ca="1">'LBO Model'!L162</f>
        <v>631.60000000000036</v>
      </c>
      <c r="M80" s="248">
        <f ca="1">'LBO Model'!M162</f>
        <v>692.1000000000007</v>
      </c>
      <c r="N80" s="248">
        <f ca="1">'LBO Model'!N162</f>
        <v>753.3938633427083</v>
      </c>
      <c r="O80" s="248">
        <f ca="1">'LBO Model'!O162</f>
        <v>822.27034462822928</v>
      </c>
      <c r="P80" s="248">
        <f ca="1">'LBO Model'!P162</f>
        <v>899.79487626102991</v>
      </c>
      <c r="Q80" s="248">
        <f ca="1">'LBO Model'!Q162</f>
        <v>987.2014339622616</v>
      </c>
      <c r="R80" s="248">
        <f ca="1">'LBO Model'!R162</f>
        <v>1085.9215773584885</v>
      </c>
    </row>
    <row r="81" spans="1:18" s="236" customFormat="1" x14ac:dyDescent="0.3">
      <c r="A81" s="283"/>
      <c r="B81" s="284" t="s">
        <v>140</v>
      </c>
      <c r="F81" s="290"/>
      <c r="G81" s="290">
        <f>G80/F80-1</f>
        <v>-1.4878065851439026E-2</v>
      </c>
      <c r="H81" s="434">
        <f>H80/G80-1</f>
        <v>2.3065211875159308E-2</v>
      </c>
      <c r="I81" s="290">
        <f t="shared" ref="I81:R81" ca="1" si="5">I80/H80-1</f>
        <v>9.3529105384557498E-2</v>
      </c>
      <c r="J81" s="290">
        <f t="shared" ca="1" si="5"/>
        <v>0.11000226808800306</v>
      </c>
      <c r="K81" s="290">
        <f t="shared" ca="1" si="5"/>
        <v>0.14650592562321219</v>
      </c>
      <c r="L81" s="290">
        <f t="shared" ca="1" si="5"/>
        <v>0.1256460523970766</v>
      </c>
      <c r="M81" s="290">
        <f t="shared" ca="1" si="5"/>
        <v>9.5788473717543177E-2</v>
      </c>
      <c r="N81" s="290">
        <f t="shared" ca="1" si="5"/>
        <v>8.8562149028619475E-2</v>
      </c>
      <c r="O81" s="290">
        <f t="shared" ca="1" si="5"/>
        <v>9.1421611771464573E-2</v>
      </c>
      <c r="P81" s="290">
        <f t="shared" ca="1" si="5"/>
        <v>9.4281074514309005E-2</v>
      </c>
      <c r="Q81" s="290">
        <f t="shared" ca="1" si="5"/>
        <v>9.7140537257154991E-2</v>
      </c>
      <c r="R81" s="290">
        <f t="shared" ca="1" si="5"/>
        <v>0.10000000000000075</v>
      </c>
    </row>
    <row r="82" spans="1:18" s="236" customFormat="1" x14ac:dyDescent="0.3">
      <c r="A82" s="283"/>
      <c r="B82" s="284" t="s">
        <v>365</v>
      </c>
      <c r="F82" s="290">
        <f>F80/F73</f>
        <v>0.15817364813705534</v>
      </c>
      <c r="G82" s="290">
        <f>G80/G73</f>
        <v>0.14696559491046318</v>
      </c>
      <c r="H82" s="434">
        <f>H80/H73</f>
        <v>0.14423518932232468</v>
      </c>
      <c r="I82" s="290">
        <f t="shared" ref="I82:R82" ca="1" si="6">I80/I73</f>
        <v>0.15491288628461541</v>
      </c>
      <c r="J82" s="290">
        <f t="shared" ca="1" si="6"/>
        <v>0.15873404938955882</v>
      </c>
      <c r="K82" s="290">
        <f t="shared" ca="1" si="6"/>
        <v>0.16628042745123617</v>
      </c>
      <c r="L82" s="290">
        <f t="shared" ca="1" si="6"/>
        <v>0.16249490917033693</v>
      </c>
      <c r="M82" s="290">
        <f t="shared" ca="1" si="6"/>
        <v>0.16400442842762394</v>
      </c>
      <c r="N82" s="290">
        <f t="shared" ca="1" si="6"/>
        <v>0.16400442842762394</v>
      </c>
      <c r="O82" s="290">
        <f t="shared" ca="1" si="6"/>
        <v>0.16400442842762394</v>
      </c>
      <c r="P82" s="290">
        <f t="shared" ca="1" si="6"/>
        <v>0.16400442842762386</v>
      </c>
      <c r="Q82" s="290">
        <f t="shared" ca="1" si="6"/>
        <v>0.16400442842762386</v>
      </c>
      <c r="R82" s="290">
        <f t="shared" ca="1" si="6"/>
        <v>0.16400442842762397</v>
      </c>
    </row>
    <row r="83" spans="1:18" x14ac:dyDescent="0.3">
      <c r="H83" s="230"/>
    </row>
    <row r="84" spans="1:18" x14ac:dyDescent="0.3">
      <c r="B84" s="248" t="s">
        <v>528</v>
      </c>
      <c r="F84" s="248">
        <f>'LBO Model'!F164+'LBO Model'!F165</f>
        <v>124.10899999999999</v>
      </c>
      <c r="G84" s="248">
        <f>'LBO Model'!G164+'LBO Model'!G165</f>
        <v>135.398</v>
      </c>
      <c r="H84" s="230">
        <f>'LBO Model'!H164+'LBO Model'!H165</f>
        <v>154.35499999999999</v>
      </c>
      <c r="I84" s="248">
        <f ca="1">'LBO Model'!I164+'LBO Model'!I165</f>
        <v>293.22063316428773</v>
      </c>
      <c r="J84" s="248">
        <f ca="1">'LBO Model'!J164+'LBO Model'!J165</f>
        <v>298.25077602143068</v>
      </c>
      <c r="K84" s="248">
        <f ca="1">'LBO Model'!K164+'LBO Model'!K165</f>
        <v>311.11434745000201</v>
      </c>
      <c r="L84" s="248">
        <f ca="1">'LBO Model'!L164+'LBO Model'!L165</f>
        <v>337.21134745000211</v>
      </c>
      <c r="M84" s="248">
        <f ca="1">'LBO Model'!M164+'LBO Model'!M165</f>
        <v>351.2893474500022</v>
      </c>
      <c r="N84" s="248">
        <f ca="1">'LBO Model'!N164+'LBO Model'!N165</f>
        <v>370.81313888980844</v>
      </c>
      <c r="O84" s="248">
        <f ca="1">'LBO Model'!O164+'LBO Model'!O165</f>
        <v>392.75220395098017</v>
      </c>
      <c r="P84" s="248">
        <f ca="1">'LBO Model'!P164+'LBO Model'!P165</f>
        <v>417.44591233422807</v>
      </c>
      <c r="Q84" s="248">
        <f ca="1">'LBO Model'!Q164+'LBO Model'!Q165</f>
        <v>445.28731945012123</v>
      </c>
      <c r="R84" s="248">
        <f ca="1">'LBO Model'!R164+'LBO Model'!R165</f>
        <v>476.73241665013313</v>
      </c>
    </row>
    <row r="85" spans="1:18" x14ac:dyDescent="0.3">
      <c r="B85" s="248" t="s">
        <v>112</v>
      </c>
      <c r="F85" s="248">
        <f>'LBO Model'!F166</f>
        <v>275.94299999999976</v>
      </c>
      <c r="G85" s="248">
        <f>'LBO Model'!G166</f>
        <v>258.70199999999988</v>
      </c>
      <c r="H85" s="230">
        <f>'LBO Model'!H166</f>
        <v>248.83500000000018</v>
      </c>
      <c r="I85" s="248">
        <f ca="1">'LBO Model'!I166</f>
        <v>147.67936683571222</v>
      </c>
      <c r="J85" s="248">
        <f ca="1">'LBO Model'!J166</f>
        <v>191.14922397856978</v>
      </c>
      <c r="K85" s="248">
        <f ca="1">'LBO Model'!K166</f>
        <v>249.9856525499986</v>
      </c>
      <c r="L85" s="248">
        <f ca="1">'LBO Model'!L166</f>
        <v>294.38865254999826</v>
      </c>
      <c r="M85" s="248">
        <f ca="1">'LBO Model'!M166</f>
        <v>340.81065254999851</v>
      </c>
      <c r="N85" s="248">
        <f ca="1">'LBO Model'!N166</f>
        <v>382.58072445289986</v>
      </c>
      <c r="O85" s="248">
        <f ca="1">'LBO Model'!O166</f>
        <v>429.51814067724922</v>
      </c>
      <c r="P85" s="248">
        <f ca="1">'LBO Model'!P166</f>
        <v>482.34896392680184</v>
      </c>
      <c r="Q85" s="248">
        <f ca="1">'LBO Model'!Q166</f>
        <v>541.91411451214049</v>
      </c>
      <c r="R85" s="248">
        <f ca="1">'LBO Model'!R166</f>
        <v>609.18916070835553</v>
      </c>
    </row>
    <row r="86" spans="1:18" s="236" customFormat="1" x14ac:dyDescent="0.3">
      <c r="A86" s="283"/>
      <c r="B86" s="284" t="s">
        <v>140</v>
      </c>
      <c r="G86" s="290">
        <f>G85/F85-1</f>
        <v>-6.2480294843499928E-2</v>
      </c>
      <c r="H86" s="434">
        <f>H85/G85-1</f>
        <v>-3.8140408655517599E-2</v>
      </c>
      <c r="I86" s="290">
        <f t="shared" ref="I86:R86" ca="1" si="7">I85/H85-1</f>
        <v>-0.40651690141775831</v>
      </c>
      <c r="J86" s="290">
        <f t="shared" ca="1" si="7"/>
        <v>0.29435294905628995</v>
      </c>
      <c r="K86" s="290">
        <f t="shared" ca="1" si="7"/>
        <v>0.30780364861970422</v>
      </c>
      <c r="L86" s="290">
        <f t="shared" ca="1" si="7"/>
        <v>0.1776221937021718</v>
      </c>
      <c r="M86" s="290">
        <f t="shared" ca="1" si="7"/>
        <v>0.15768950194884312</v>
      </c>
      <c r="N86" s="290">
        <f t="shared" ca="1" si="7"/>
        <v>0.12256093402706503</v>
      </c>
      <c r="O86" s="290">
        <f t="shared" ca="1" si="7"/>
        <v>0.12268630703094385</v>
      </c>
      <c r="P86" s="290">
        <f t="shared" ca="1" si="7"/>
        <v>0.12300021406837636</v>
      </c>
      <c r="Q86" s="290">
        <f t="shared" ca="1" si="7"/>
        <v>0.12348974506013</v>
      </c>
      <c r="R86" s="290">
        <f t="shared" ca="1" si="7"/>
        <v>0.12414337326640701</v>
      </c>
    </row>
    <row r="87" spans="1:18" s="236" customFormat="1" x14ac:dyDescent="0.3">
      <c r="A87" s="283"/>
      <c r="B87" s="284" t="s">
        <v>365</v>
      </c>
      <c r="F87" s="290">
        <f>F85/F73</f>
        <v>0.10910309406747987</v>
      </c>
      <c r="G87" s="290">
        <f>G85/G73</f>
        <v>9.6473720716890754E-2</v>
      </c>
      <c r="H87" s="434">
        <f>H85/H73</f>
        <v>8.9016997780254153E-2</v>
      </c>
      <c r="I87" s="290">
        <f t="shared" ref="I87:R87" ca="1" si="8">I85/I73</f>
        <v>5.1888040283975263E-2</v>
      </c>
      <c r="J87" s="290">
        <f t="shared" ca="1" si="8"/>
        <v>6.1998141315468144E-2</v>
      </c>
      <c r="K87" s="290">
        <f t="shared" ca="1" si="8"/>
        <v>7.4082554201906847E-2</v>
      </c>
      <c r="L87" s="290">
        <f t="shared" ca="1" si="8"/>
        <v>7.573884952009155E-2</v>
      </c>
      <c r="M87" s="290">
        <f t="shared" ca="1" si="8"/>
        <v>8.0760665039023238E-2</v>
      </c>
      <c r="N87" s="290">
        <f t="shared" ca="1" si="8"/>
        <v>8.3283042369011628E-2</v>
      </c>
      <c r="O87" s="290">
        <f t="shared" ca="1" si="8"/>
        <v>8.5668755563496776E-2</v>
      </c>
      <c r="P87" s="290">
        <f t="shared" ca="1" si="8"/>
        <v>8.7917111131140396E-2</v>
      </c>
      <c r="Q87" s="290">
        <f t="shared" ca="1" si="8"/>
        <v>9.0028550962197085E-2</v>
      </c>
      <c r="R87" s="290">
        <f t="shared" ca="1" si="8"/>
        <v>9.2004544517209866E-2</v>
      </c>
    </row>
    <row r="88" spans="1:18" x14ac:dyDescent="0.3">
      <c r="H88" s="230"/>
    </row>
    <row r="89" spans="1:18" x14ac:dyDescent="0.3">
      <c r="B89" s="248" t="s">
        <v>276</v>
      </c>
      <c r="F89" s="248">
        <f>'LBO Model'!F201</f>
        <v>224.21700000000001</v>
      </c>
      <c r="G89" s="248">
        <f>'LBO Model'!G201</f>
        <v>223.93199999999999</v>
      </c>
      <c r="H89" s="230">
        <f>'LBO Model'!H201</f>
        <v>200.06299999999999</v>
      </c>
      <c r="I89" s="248">
        <f ca="1">'LBO Model'!I201</f>
        <v>210.89375000000007</v>
      </c>
      <c r="J89" s="248">
        <f ca="1">'LBO Model'!J201</f>
        <v>199.77150000000009</v>
      </c>
      <c r="K89" s="248">
        <f ca="1">'LBO Model'!K201</f>
        <v>195.88400000000007</v>
      </c>
      <c r="L89" s="248">
        <f ca="1">'LBO Model'!L201</f>
        <v>196.36400000000006</v>
      </c>
      <c r="M89" s="248">
        <f ca="1">'LBO Model'!M201</f>
        <v>192.70400000000009</v>
      </c>
      <c r="N89" s="248">
        <f ca="1">'LBO Model'!N201</f>
        <v>215.59113045806779</v>
      </c>
      <c r="O89" s="248">
        <f ca="1">'LBO Model'!O201</f>
        <v>241.65382067709243</v>
      </c>
      <c r="P89" s="248">
        <f ca="1">'LBO Model'!P201</f>
        <v>271.38917195612709</v>
      </c>
      <c r="Q89" s="248">
        <f ca="1">'LBO Model'!Q201</f>
        <v>305.37934937383739</v>
      </c>
      <c r="R89" s="248">
        <f ca="1">'LBO Model'!R201</f>
        <v>344.3073005041507</v>
      </c>
    </row>
    <row r="90" spans="1:18" s="236" customFormat="1" ht="13.5" thickBot="1" x14ac:dyDescent="0.35">
      <c r="A90" s="283"/>
      <c r="B90" s="415" t="s">
        <v>365</v>
      </c>
      <c r="C90" s="416"/>
      <c r="D90" s="416"/>
      <c r="E90" s="416"/>
      <c r="F90" s="417">
        <f>F89/F73</f>
        <v>8.8651527462295321E-2</v>
      </c>
      <c r="G90" s="417">
        <f>G89/G73</f>
        <v>8.3507484393529188E-2</v>
      </c>
      <c r="H90" s="435">
        <f>H89/H73</f>
        <v>7.1569544585411912E-2</v>
      </c>
      <c r="I90" s="417">
        <f t="shared" ref="I90:R90" ca="1" si="9">I89/I73</f>
        <v>7.409879680627382E-2</v>
      </c>
      <c r="J90" s="417">
        <f t="shared" ca="1" si="9"/>
        <v>6.4794726496988628E-2</v>
      </c>
      <c r="K90" s="417">
        <f t="shared" ca="1" si="9"/>
        <v>5.804967964865073E-2</v>
      </c>
      <c r="L90" s="417">
        <f t="shared" ca="1" si="9"/>
        <v>5.0519554060044387E-2</v>
      </c>
      <c r="M90" s="417">
        <f t="shared" ca="1" si="9"/>
        <v>4.566436840878027E-2</v>
      </c>
      <c r="N90" s="417">
        <f t="shared" ca="1" si="9"/>
        <v>4.6931494727024216E-2</v>
      </c>
      <c r="O90" s="417">
        <f t="shared" ca="1" si="9"/>
        <v>4.8198621045268161E-2</v>
      </c>
      <c r="P90" s="417">
        <f t="shared" ca="1" si="9"/>
        <v>4.9465747363512114E-2</v>
      </c>
      <c r="Q90" s="417">
        <f t="shared" ca="1" si="9"/>
        <v>5.0732873681756052E-2</v>
      </c>
      <c r="R90" s="417">
        <f t="shared" ca="1" si="9"/>
        <v>5.2000000000000005E-2</v>
      </c>
    </row>
    <row r="92" spans="1:18" s="256" customFormat="1" ht="13.5" thickBot="1" x14ac:dyDescent="0.35">
      <c r="A92" s="246" t="s">
        <v>31</v>
      </c>
      <c r="B92" s="413" t="str">
        <f>"Returns Summary ("&amp;'LBO Model'!E4&amp;")"</f>
        <v>Returns Summary (Base Case)</v>
      </c>
      <c r="C92" s="274"/>
      <c r="D92" s="274"/>
      <c r="E92" s="274"/>
      <c r="F92" s="274"/>
      <c r="G92" s="274"/>
      <c r="H92" s="274"/>
      <c r="I92" s="274"/>
      <c r="J92" s="274"/>
      <c r="K92" s="274"/>
    </row>
    <row r="93" spans="1:18" x14ac:dyDescent="0.3">
      <c r="B93" s="236"/>
      <c r="E93" s="249" t="s">
        <v>109</v>
      </c>
      <c r="F93" s="268" t="s">
        <v>364</v>
      </c>
      <c r="G93" s="268"/>
      <c r="H93" s="268"/>
      <c r="I93" s="268"/>
      <c r="J93" s="268"/>
      <c r="K93" s="249" t="s">
        <v>145</v>
      </c>
    </row>
    <row r="94" spans="1:18" ht="14.5" x14ac:dyDescent="0.45">
      <c r="E94" s="404">
        <f>'LBO Model'!K39</f>
        <v>42731</v>
      </c>
      <c r="F94" s="405">
        <f>DATE(YEAR(E94)+1,MONTH(E94),DAY(E94))</f>
        <v>43096</v>
      </c>
      <c r="G94" s="405">
        <f>DATE(YEAR(F94)+1,MONTH(F94),DAY(F94))</f>
        <v>43461</v>
      </c>
      <c r="H94" s="405">
        <f>DATE(YEAR(G94)+1,MONTH(G94),DAY(G94))</f>
        <v>43826</v>
      </c>
      <c r="I94" s="405">
        <f>DATE(YEAR(H94)+1,MONTH(H94),DAY(H94))</f>
        <v>44192</v>
      </c>
      <c r="J94" s="405">
        <f>DATE(YEAR(I94)+1,MONTH(I94),DAY(I94))</f>
        <v>44557</v>
      </c>
      <c r="K94" s="406" t="s">
        <v>729</v>
      </c>
    </row>
    <row r="95" spans="1:18" x14ac:dyDescent="0.3">
      <c r="B95" s="248" t="s">
        <v>111</v>
      </c>
      <c r="E95" s="286">
        <f>'LBO Model'!K43</f>
        <v>403.19000000000017</v>
      </c>
      <c r="F95" s="286">
        <f ca="1">'LBO Model'!L43</f>
        <v>440.89999999999992</v>
      </c>
      <c r="G95" s="286">
        <f ca="1">'LBO Model'!M43</f>
        <v>489.40000000000043</v>
      </c>
      <c r="H95" s="286">
        <f ca="1">'LBO Model'!N43</f>
        <v>561.10000000000059</v>
      </c>
      <c r="I95" s="286">
        <f ca="1">'LBO Model'!O43</f>
        <v>631.60000000000036</v>
      </c>
      <c r="J95" s="286">
        <f ca="1">'LBO Model'!P43</f>
        <v>692.1000000000007</v>
      </c>
      <c r="K95" s="229">
        <f ca="1">'LBO Model'!Q43</f>
        <v>0.11411961247036118</v>
      </c>
    </row>
    <row r="96" spans="1:18" x14ac:dyDescent="0.3">
      <c r="B96" s="279" t="s">
        <v>140</v>
      </c>
      <c r="E96" s="233">
        <f>'LBO Model'!K44</f>
        <v>4.2432073628234201E-2</v>
      </c>
      <c r="F96" s="233">
        <f ca="1">'LBO Model'!L44</f>
        <v>1.8155308621848887E-2</v>
      </c>
      <c r="G96" s="233">
        <f ca="1">'LBO Model'!M44</f>
        <v>8.3281474852192172E-2</v>
      </c>
      <c r="H96" s="233">
        <f ca="1">'LBO Model'!N44</f>
        <v>9.4473540950377632E-2</v>
      </c>
      <c r="I96" s="233">
        <f ca="1">'LBO Model'!O44</f>
        <v>0.15186935828972081</v>
      </c>
      <c r="J96" s="233">
        <f ca="1">'LBO Model'!P44</f>
        <v>8.5702686285774377E-2</v>
      </c>
      <c r="K96" s="233"/>
    </row>
    <row r="97" spans="1:11" x14ac:dyDescent="0.3">
      <c r="B97" s="279" t="s">
        <v>365</v>
      </c>
      <c r="E97" s="233">
        <f>'LBO Model'!K45</f>
        <v>0.14423518932232468</v>
      </c>
      <c r="F97" s="233">
        <f ca="1">'LBO Model'!L45</f>
        <v>0.15491288628461541</v>
      </c>
      <c r="G97" s="233">
        <f ca="1">'LBO Model'!M45</f>
        <v>0.15873404938955882</v>
      </c>
      <c r="H97" s="233">
        <f ca="1">'LBO Model'!N45</f>
        <v>0.16628042745123617</v>
      </c>
      <c r="I97" s="233">
        <f ca="1">'LBO Model'!O45</f>
        <v>0.16249490917033693</v>
      </c>
      <c r="J97" s="233">
        <f ca="1">'LBO Model'!P45</f>
        <v>0.16400442842762394</v>
      </c>
      <c r="K97" s="233"/>
    </row>
    <row r="99" spans="1:11" x14ac:dyDescent="0.3">
      <c r="B99" s="248" t="s">
        <v>276</v>
      </c>
      <c r="E99" s="248">
        <f t="shared" ref="E99:J99" si="10">H89</f>
        <v>200.06299999999999</v>
      </c>
      <c r="F99" s="248">
        <f t="shared" ca="1" si="10"/>
        <v>210.89375000000007</v>
      </c>
      <c r="G99" s="248">
        <f t="shared" ca="1" si="10"/>
        <v>199.77150000000009</v>
      </c>
      <c r="H99" s="248">
        <f t="shared" ca="1" si="10"/>
        <v>195.88400000000007</v>
      </c>
      <c r="I99" s="248">
        <f t="shared" ca="1" si="10"/>
        <v>196.36400000000006</v>
      </c>
      <c r="J99" s="248">
        <f t="shared" ca="1" si="10"/>
        <v>192.70400000000009</v>
      </c>
    </row>
    <row r="101" spans="1:11" x14ac:dyDescent="0.3">
      <c r="B101" s="248" t="s">
        <v>419</v>
      </c>
      <c r="E101" s="248">
        <f>'LBO Model'!K49</f>
        <v>8.8840000000000003</v>
      </c>
      <c r="F101" s="248">
        <f ca="1">'LBO Model'!L49</f>
        <v>174.13839668673876</v>
      </c>
      <c r="G101" s="248">
        <f ca="1">'LBO Model'!M49</f>
        <v>170.86082758578993</v>
      </c>
      <c r="H101" s="248">
        <f ca="1">'LBO Model'!N49</f>
        <v>164.48245205870492</v>
      </c>
      <c r="I101" s="248">
        <f ca="1">'LBO Model'!O49</f>
        <v>155.72268489242822</v>
      </c>
      <c r="J101" s="248">
        <f ca="1">'LBO Model'!P49</f>
        <v>141.98782935250091</v>
      </c>
    </row>
    <row r="103" spans="1:11" x14ac:dyDescent="0.3">
      <c r="B103" s="248" t="s">
        <v>314</v>
      </c>
      <c r="E103" s="563">
        <f ca="1">'LBO Model'!K51</f>
        <v>3000.0012372076799</v>
      </c>
      <c r="F103" s="563">
        <f ca="1">'LBO Model'!L51</f>
        <v>2969.8470493288687</v>
      </c>
      <c r="G103" s="563">
        <f ca="1">'LBO Model'!M51</f>
        <v>2823.1651153292887</v>
      </c>
      <c r="H103" s="563">
        <f ca="1">'LBO Model'!N51</f>
        <v>2625.7117596236785</v>
      </c>
      <c r="I103" s="563">
        <f ca="1">'LBO Model'!O51</f>
        <v>2350.5455590304505</v>
      </c>
      <c r="J103" s="563">
        <f ca="1">'LBO Model'!P51</f>
        <v>2035.0408181427313</v>
      </c>
    </row>
    <row r="104" spans="1:11" x14ac:dyDescent="0.3">
      <c r="B104" s="410" t="s">
        <v>384</v>
      </c>
      <c r="C104" s="410"/>
      <c r="D104" s="410"/>
      <c r="E104" s="410">
        <f>'LBO Model'!K52</f>
        <v>21.341549999999998</v>
      </c>
      <c r="F104" s="410">
        <f ca="1">'LBO Model'!L52</f>
        <v>21.341550000000002</v>
      </c>
      <c r="G104" s="410">
        <f ca="1">'LBO Model'!M52</f>
        <v>21.341550000000002</v>
      </c>
      <c r="H104" s="410">
        <f ca="1">'LBO Model'!N52</f>
        <v>21.341550000000002</v>
      </c>
      <c r="I104" s="410">
        <f ca="1">'LBO Model'!O52</f>
        <v>21.341550000000002</v>
      </c>
      <c r="J104" s="410">
        <f ca="1">'LBO Model'!P52</f>
        <v>21.341550000000002</v>
      </c>
      <c r="K104" s="410"/>
    </row>
    <row r="105" spans="1:11" x14ac:dyDescent="0.3">
      <c r="B105" s="248" t="s">
        <v>316</v>
      </c>
      <c r="E105" s="286">
        <f ca="1">'LBO Model'!K53</f>
        <v>2978.6596872076798</v>
      </c>
      <c r="F105" s="286">
        <f ca="1">'LBO Model'!L53</f>
        <v>2948.5054993288686</v>
      </c>
      <c r="G105" s="286">
        <f ca="1">'LBO Model'!M53</f>
        <v>2801.8235653292886</v>
      </c>
      <c r="H105" s="286">
        <f ca="1">'LBO Model'!N53</f>
        <v>2604.3702096236784</v>
      </c>
      <c r="I105" s="286">
        <f ca="1">'LBO Model'!O53</f>
        <v>2329.2040090304504</v>
      </c>
      <c r="J105" s="286">
        <f ca="1">'LBO Model'!P53</f>
        <v>2013.6992681427312</v>
      </c>
    </row>
    <row r="107" spans="1:11" x14ac:dyDescent="0.3">
      <c r="B107" s="248" t="s">
        <v>331</v>
      </c>
      <c r="E107" s="234">
        <f ca="1">'LBO Model'!K55</f>
        <v>7.4406637992207996</v>
      </c>
      <c r="F107" s="234">
        <f ca="1">'LBO Model'!L55</f>
        <v>6.7358744598074587</v>
      </c>
      <c r="G107" s="234">
        <f ca="1">'LBO Model'!M55</f>
        <v>5.7686250824065741</v>
      </c>
      <c r="H107" s="234">
        <f ca="1">'LBO Model'!N55</f>
        <v>4.6795789692060827</v>
      </c>
      <c r="I107" s="234">
        <f ca="1">'LBO Model'!O55</f>
        <v>3.721573082691457</v>
      </c>
      <c r="J107" s="234">
        <f ca="1">'LBO Model'!P55</f>
        <v>2.9403855196341673</v>
      </c>
      <c r="K107" s="234"/>
    </row>
    <row r="108" spans="1:11" x14ac:dyDescent="0.3">
      <c r="B108" s="248" t="s">
        <v>332</v>
      </c>
      <c r="E108" s="234" t="e">
        <f>'LBO Model'!#REF!</f>
        <v>#REF!</v>
      </c>
      <c r="F108" s="234" t="e">
        <f>'LBO Model'!#REF!</f>
        <v>#REF!</v>
      </c>
      <c r="G108" s="234" t="e">
        <f>'LBO Model'!#REF!</f>
        <v>#REF!</v>
      </c>
      <c r="H108" s="234" t="e">
        <f>'LBO Model'!#REF!</f>
        <v>#REF!</v>
      </c>
      <c r="I108" s="234" t="e">
        <f>'LBO Model'!#REF!</f>
        <v>#REF!</v>
      </c>
      <c r="J108" s="234" t="e">
        <f>'LBO Model'!#REF!</f>
        <v>#REF!</v>
      </c>
      <c r="K108" s="234"/>
    </row>
    <row r="109" spans="1:11" x14ac:dyDescent="0.3">
      <c r="B109" s="248" t="s">
        <v>429</v>
      </c>
      <c r="F109" s="234">
        <f ca="1">'LBO Model'!L56</f>
        <v>2.6089849392258198</v>
      </c>
      <c r="G109" s="234">
        <f ca="1">'LBO Model'!M56</f>
        <v>2.9532567636775298</v>
      </c>
      <c r="H109" s="234">
        <f ca="1">'LBO Model'!N56</f>
        <v>3.5214674804811685</v>
      </c>
      <c r="I109" s="234">
        <f ca="1">'LBO Model'!O56</f>
        <v>4.1945257212638714</v>
      </c>
      <c r="J109" s="234">
        <f ca="1">'LBO Model'!P56</f>
        <v>5.0576444630384314</v>
      </c>
      <c r="K109" s="234"/>
    </row>
    <row r="110" spans="1:11" ht="13.5" thickBot="1" x14ac:dyDescent="0.35">
      <c r="B110" s="267" t="s">
        <v>430</v>
      </c>
      <c r="C110" s="267"/>
      <c r="D110" s="267"/>
      <c r="E110" s="267"/>
      <c r="F110" s="289">
        <f ca="1">'LBO Model'!L57</f>
        <v>1.3610406944382136</v>
      </c>
      <c r="G110" s="289">
        <f ca="1">'LBO Model'!M57</f>
        <v>1.7477468871654633</v>
      </c>
      <c r="H110" s="289">
        <f ca="1">'LBO Model'!N57</f>
        <v>2.2920981417775992</v>
      </c>
      <c r="I110" s="289">
        <f ca="1">'LBO Model'!O57</f>
        <v>2.8904505966117839</v>
      </c>
      <c r="J110" s="289">
        <f ca="1">'LBO Model'!P57</f>
        <v>3.6494255371529274</v>
      </c>
      <c r="K110" s="289"/>
    </row>
    <row r="112" spans="1:11" s="256" customFormat="1" x14ac:dyDescent="0.3">
      <c r="A112" s="249" t="s">
        <v>31</v>
      </c>
      <c r="B112" s="276" t="str">
        <f>"Returns ("&amp;'LBO Model'!E4&amp;")"</f>
        <v>Returns (Base Case)</v>
      </c>
    </row>
    <row r="113" spans="1:15" x14ac:dyDescent="0.3">
      <c r="B113" s="248" t="s">
        <v>829</v>
      </c>
    </row>
    <row r="115" spans="1:15" s="246" customFormat="1" x14ac:dyDescent="0.3">
      <c r="B115" s="249" t="s">
        <v>111</v>
      </c>
      <c r="C115" s="249"/>
      <c r="D115" s="249"/>
      <c r="E115" s="249"/>
      <c r="F115" s="249"/>
      <c r="G115" s="249"/>
      <c r="H115" s="249" t="s">
        <v>368</v>
      </c>
      <c r="I115" s="249"/>
      <c r="J115" s="249" t="s">
        <v>475</v>
      </c>
    </row>
    <row r="116" spans="1:15" s="246" customFormat="1" ht="13.5" thickBot="1" x14ac:dyDescent="0.35">
      <c r="B116" s="308" t="s">
        <v>401</v>
      </c>
      <c r="C116" s="308"/>
      <c r="D116" s="308" t="s">
        <v>368</v>
      </c>
      <c r="E116" s="308"/>
      <c r="F116" s="308" t="s">
        <v>475</v>
      </c>
      <c r="G116" s="308"/>
      <c r="H116" s="308" t="s">
        <v>474</v>
      </c>
      <c r="I116" s="308"/>
      <c r="J116" s="308" t="s">
        <v>474</v>
      </c>
    </row>
    <row r="117" spans="1:15" x14ac:dyDescent="0.3">
      <c r="B117" s="234">
        <f ca="1">'LBO Model'!I64</f>
        <v>15.000000000000256</v>
      </c>
      <c r="D117" s="233">
        <f ca="1">'LBO Model'!K64</f>
        <v>0.13037426417379641</v>
      </c>
      <c r="F117" s="286">
        <f ca="1">'LBO Model'!M64</f>
        <v>3833.6075057273556</v>
      </c>
      <c r="H117" s="233">
        <f ca="1">'LBO Model'!O64</f>
        <v>0.13143214568205303</v>
      </c>
      <c r="J117" s="286">
        <f ca="1">'LBO Model'!Q64</f>
        <v>3854.7651063773556</v>
      </c>
    </row>
    <row r="118" spans="1:15" x14ac:dyDescent="0.3">
      <c r="B118" s="234">
        <f ca="1">'LBO Model'!I65</f>
        <v>16.000000000000256</v>
      </c>
      <c r="D118" s="233">
        <f ca="1">'LBO Model'!K65</f>
        <v>0.14848329615143044</v>
      </c>
      <c r="F118" s="286">
        <f ca="1">'LBO Model'!M65</f>
        <v>4525.7075057273196</v>
      </c>
      <c r="H118" s="233">
        <f ca="1">'LBO Model'!O65</f>
        <v>0.14955812532973253</v>
      </c>
      <c r="J118" s="286">
        <f ca="1">'LBO Model'!Q65</f>
        <v>4546.8651063773195</v>
      </c>
    </row>
    <row r="119" spans="1:15" x14ac:dyDescent="0.3">
      <c r="B119" s="234">
        <f ca="1">'LBO Model'!I66</f>
        <v>17.000000000000256</v>
      </c>
      <c r="D119" s="233">
        <f ca="1">'LBO Model'!K66</f>
        <v>0.16551734310325164</v>
      </c>
      <c r="F119" s="286">
        <f ca="1">'LBO Model'!M66</f>
        <v>5217.8075057272872</v>
      </c>
      <c r="H119" s="233">
        <f ca="1">'LBO Model'!O66</f>
        <v>0.16660811390698729</v>
      </c>
      <c r="J119" s="286">
        <f ca="1">'LBO Model'!Q66</f>
        <v>5238.9651063772872</v>
      </c>
    </row>
    <row r="120" spans="1:15" x14ac:dyDescent="0.3">
      <c r="B120" s="420">
        <f ca="1">'LBO Model'!I67</f>
        <v>18.000000000000256</v>
      </c>
      <c r="C120" s="376"/>
      <c r="D120" s="377">
        <f ca="1">'LBO Model'!K67</f>
        <v>0.18161013019423894</v>
      </c>
      <c r="E120" s="376"/>
      <c r="F120" s="378">
        <f ca="1">'LBO Model'!M67</f>
        <v>5909.907505727253</v>
      </c>
      <c r="G120" s="376"/>
      <c r="H120" s="377">
        <f ca="1">'LBO Model'!O67</f>
        <v>0.18271596172837704</v>
      </c>
      <c r="I120" s="376"/>
      <c r="J120" s="379">
        <f ca="1">'LBO Model'!Q67</f>
        <v>5931.065106377253</v>
      </c>
    </row>
    <row r="121" spans="1:15" x14ac:dyDescent="0.3">
      <c r="B121" s="234">
        <f ca="1">'LBO Model'!I68</f>
        <v>19.000000000000256</v>
      </c>
      <c r="D121" s="233">
        <f ca="1">'LBO Model'!K68</f>
        <v>0.1968711684895191</v>
      </c>
      <c r="F121" s="286">
        <f ca="1">'LBO Model'!M68</f>
        <v>6602.007505727217</v>
      </c>
      <c r="H121" s="233">
        <f ca="1">'LBO Model'!O68</f>
        <v>0.19799128234653088</v>
      </c>
      <c r="J121" s="286">
        <f ca="1">'LBO Model'!Q68</f>
        <v>6623.1651063772169</v>
      </c>
    </row>
    <row r="122" spans="1:15" x14ac:dyDescent="0.3">
      <c r="B122" s="234">
        <f ca="1">'LBO Model'!I69</f>
        <v>20.000000000000256</v>
      </c>
      <c r="D122" s="233">
        <f ca="1">'LBO Model'!K69</f>
        <v>0.21139134601742998</v>
      </c>
      <c r="F122" s="286">
        <f ca="1">'LBO Model'!M69</f>
        <v>7294.1075057271828</v>
      </c>
      <c r="H122" s="233">
        <f ca="1">'LBO Model'!O69</f>
        <v>0.21252504884916459</v>
      </c>
      <c r="J122" s="286">
        <f ca="1">'LBO Model'!Q69</f>
        <v>7315.2651063771827</v>
      </c>
    </row>
    <row r="123" spans="1:15" ht="13.5" thickBot="1" x14ac:dyDescent="0.35">
      <c r="B123" s="289">
        <f ca="1">'LBO Model'!I70</f>
        <v>21.000000000000256</v>
      </c>
      <c r="C123" s="267"/>
      <c r="D123" s="238">
        <f ca="1">'LBO Model'!K70</f>
        <v>0.22524698102150631</v>
      </c>
      <c r="E123" s="267"/>
      <c r="F123" s="427">
        <f ca="1">'LBO Model'!M70</f>
        <v>7986.2075057271486</v>
      </c>
      <c r="G123" s="267"/>
      <c r="H123" s="238">
        <f ca="1">'LBO Model'!O70</f>
        <v>0.22639365090363889</v>
      </c>
      <c r="I123" s="267"/>
      <c r="J123" s="427">
        <f ca="1">'LBO Model'!Q70</f>
        <v>8007.3651063771485</v>
      </c>
    </row>
    <row r="124" spans="1:15" x14ac:dyDescent="0.3">
      <c r="B124" s="234"/>
      <c r="D124" s="233"/>
      <c r="F124" s="286"/>
      <c r="H124" s="233"/>
      <c r="J124" s="286"/>
    </row>
    <row r="125" spans="1:15" x14ac:dyDescent="0.3">
      <c r="A125" s="246" t="s">
        <v>31</v>
      </c>
      <c r="B125" s="402" t="str">
        <f>"Purchase Price Sensitivity ("&amp;'LBO Model'!E4&amp;")"</f>
        <v>Purchase Price Sensitivity (Base Case)</v>
      </c>
      <c r="D125" s="233"/>
      <c r="F125" s="286"/>
      <c r="H125" s="233"/>
      <c r="J125" s="286"/>
    </row>
    <row r="126" spans="1:15" x14ac:dyDescent="0.3">
      <c r="B126" s="234" t="s">
        <v>829</v>
      </c>
      <c r="D126" s="233"/>
      <c r="F126" s="286"/>
      <c r="H126" s="233"/>
      <c r="J126" s="286"/>
    </row>
    <row r="128" spans="1:15" s="249" customFormat="1" x14ac:dyDescent="0.3">
      <c r="B128" s="249" t="s">
        <v>529</v>
      </c>
      <c r="C128" s="250" t="s">
        <v>529</v>
      </c>
      <c r="D128" s="249" t="s">
        <v>111</v>
      </c>
      <c r="J128" s="249" t="s">
        <v>368</v>
      </c>
      <c r="L128" s="249" t="s">
        <v>475</v>
      </c>
      <c r="M128" s="248"/>
      <c r="N128" s="248"/>
      <c r="O128" s="248"/>
    </row>
    <row r="129" spans="1:15" s="249" customFormat="1" ht="13.5" thickBot="1" x14ac:dyDescent="0.35">
      <c r="B129" s="308" t="s">
        <v>531</v>
      </c>
      <c r="C129" s="428" t="s">
        <v>479</v>
      </c>
      <c r="D129" s="429" t="s">
        <v>401</v>
      </c>
      <c r="E129" s="308"/>
      <c r="F129" s="308" t="s">
        <v>368</v>
      </c>
      <c r="G129" s="308"/>
      <c r="H129" s="308" t="s">
        <v>475</v>
      </c>
      <c r="I129" s="308"/>
      <c r="J129" s="308" t="s">
        <v>532</v>
      </c>
      <c r="K129" s="308"/>
      <c r="L129" s="308" t="s">
        <v>533</v>
      </c>
      <c r="M129" s="248"/>
      <c r="N129" s="248"/>
      <c r="O129" s="248"/>
    </row>
    <row r="130" spans="1:15" s="246" customFormat="1" x14ac:dyDescent="0.3">
      <c r="B130" s="426">
        <f ca="1">'LBO Model'!B384</f>
        <v>0.12021880196016622</v>
      </c>
      <c r="C130" s="287">
        <f>'LBO Model'!C384</f>
        <v>271.43763278265567</v>
      </c>
      <c r="D130" s="618">
        <f>'LBO Model'!D384</f>
        <v>15.812611133899718</v>
      </c>
      <c r="F130" s="422">
        <f>'LBO Model'!E384</f>
        <v>0.18473767892736401</v>
      </c>
      <c r="H130" s="431">
        <f>'LBO Model'!F384</f>
        <v>5335.1178913889507</v>
      </c>
      <c r="J130" s="422">
        <f>'LBO Model'!G384</f>
        <v>0.18583754307369424</v>
      </c>
      <c r="L130" s="431">
        <f>'LBO Model'!H384</f>
        <v>5353.6296920881814</v>
      </c>
      <c r="M130" s="248"/>
      <c r="N130" s="248"/>
      <c r="O130" s="248"/>
    </row>
    <row r="131" spans="1:15" x14ac:dyDescent="0.3">
      <c r="B131" s="229">
        <f ca="1">'LBO Model'!B385</f>
        <v>0.17021880196016623</v>
      </c>
      <c r="C131" s="287">
        <f>'LBO Model'!C385</f>
        <v>283.55301739804025</v>
      </c>
      <c r="D131" s="618">
        <f>'LBO Model'!D385</f>
        <v>16.496170154556136</v>
      </c>
      <c r="F131" s="422">
        <f>'LBO Model'!E385</f>
        <v>0.18367400029373898</v>
      </c>
      <c r="H131" s="431">
        <f>'LBO Model'!F385</f>
        <v>5514.5866911295625</v>
      </c>
      <c r="J131" s="422">
        <f>'LBO Model'!G385</f>
        <v>0.18477589907493425</v>
      </c>
      <c r="L131" s="431">
        <f>'LBO Model'!H385</f>
        <v>5533.9253043134086</v>
      </c>
    </row>
    <row r="132" spans="1:15" x14ac:dyDescent="0.3">
      <c r="B132" s="229">
        <f ca="1">'LBO Model'!B386</f>
        <v>0.22021880196016624</v>
      </c>
      <c r="C132" s="287">
        <f>'LBO Model'!C386</f>
        <v>295.6684020134249</v>
      </c>
      <c r="D132" s="618">
        <f>'LBO Model'!D386</f>
        <v>17.179729175212554</v>
      </c>
      <c r="F132" s="422">
        <f>'LBO Model'!E386</f>
        <v>0.18269545144701374</v>
      </c>
      <c r="H132" s="431">
        <f>'LBO Model'!F386</f>
        <v>5694.3292693134326</v>
      </c>
      <c r="J132" s="422">
        <f>'LBO Model'!G386</f>
        <v>0.18379922593898312</v>
      </c>
      <c r="L132" s="431">
        <f>'LBO Model'!H386</f>
        <v>5714.4946949818941</v>
      </c>
    </row>
    <row r="133" spans="1:15" x14ac:dyDescent="0.3">
      <c r="B133" s="436">
        <f ca="1">'LBO Model'!B387</f>
        <v>0.27021880196016623</v>
      </c>
      <c r="C133" s="379">
        <f>'LBO Model'!C387</f>
        <v>307.78378662880948</v>
      </c>
      <c r="D133" s="619">
        <f>'LBO Model'!D387</f>
        <v>17.863288195868972</v>
      </c>
      <c r="E133" s="376"/>
      <c r="F133" s="438">
        <f>'LBO Model'!E387</f>
        <v>0.18178617632369556</v>
      </c>
      <c r="G133" s="376"/>
      <c r="H133" s="440">
        <f>'LBO Model'!F387</f>
        <v>5874.0484728598758</v>
      </c>
      <c r="I133" s="376"/>
      <c r="J133" s="438">
        <f>'LBO Model'!G387</f>
        <v>0.18289167988743485</v>
      </c>
      <c r="K133" s="376"/>
      <c r="L133" s="443">
        <f>'LBO Model'!H387</f>
        <v>5895.0407110129527</v>
      </c>
    </row>
    <row r="134" spans="1:15" x14ac:dyDescent="0.3">
      <c r="B134" s="229">
        <f ca="1">'LBO Model'!B388</f>
        <v>0.32021880196016622</v>
      </c>
      <c r="C134" s="287">
        <f>'LBO Model'!C388</f>
        <v>319.89917124419406</v>
      </c>
      <c r="D134" s="618">
        <f>'LBO Model'!D388</f>
        <v>18.546847216525389</v>
      </c>
      <c r="F134" s="422">
        <f>'LBO Model'!E388</f>
        <v>0.1809301832080363</v>
      </c>
      <c r="H134" s="431">
        <f>'LBO Model'!F388</f>
        <v>6053.3436371582802</v>
      </c>
      <c r="J134" s="422">
        <f>'LBO Model'!G388</f>
        <v>0.18203727734954023</v>
      </c>
      <c r="L134" s="431">
        <f>'LBO Model'!H388</f>
        <v>6075.1626877959725</v>
      </c>
    </row>
    <row r="135" spans="1:15" x14ac:dyDescent="0.3">
      <c r="B135" s="229">
        <f ca="1">'LBO Model'!B389</f>
        <v>0.37021880196016621</v>
      </c>
      <c r="C135" s="287">
        <f>'LBO Model'!C389</f>
        <v>332.01455585957871</v>
      </c>
      <c r="D135" s="618">
        <f>'LBO Model'!D389</f>
        <v>19.230406237181807</v>
      </c>
      <c r="F135" s="422">
        <f>'LBO Model'!E389</f>
        <v>0.18013115195854124</v>
      </c>
      <c r="H135" s="431">
        <f>'LBO Model'!F389</f>
        <v>6232.6388014566801</v>
      </c>
      <c r="J135" s="422">
        <f>'LBO Model'!G389</f>
        <v>0.18123972148727702</v>
      </c>
      <c r="L135" s="431">
        <f>'LBO Model'!H389</f>
        <v>6255.2846645789878</v>
      </c>
    </row>
    <row r="136" spans="1:15" ht="13.5" thickBot="1" x14ac:dyDescent="0.35">
      <c r="B136" s="309">
        <f ca="1">'LBO Model'!B390</f>
        <v>0.4202188019601662</v>
      </c>
      <c r="C136" s="430">
        <f>'LBO Model'!C390</f>
        <v>344.12994047496335</v>
      </c>
      <c r="D136" s="620">
        <f>'LBO Model'!D390</f>
        <v>19.913965257838228</v>
      </c>
      <c r="E136" s="267"/>
      <c r="F136" s="425">
        <f>'LBO Model'!E390</f>
        <v>0.17937467072376895</v>
      </c>
      <c r="G136" s="267"/>
      <c r="H136" s="432">
        <f>'LBO Model'!F390</f>
        <v>6411.5030432388858</v>
      </c>
      <c r="I136" s="267"/>
      <c r="J136" s="425">
        <f>'LBO Model'!G390</f>
        <v>0.18048460409914099</v>
      </c>
      <c r="K136" s="267"/>
      <c r="L136" s="432">
        <f>'LBO Model'!H390</f>
        <v>6434.9757188458088</v>
      </c>
    </row>
    <row r="137" spans="1:15" x14ac:dyDescent="0.3">
      <c r="B137" s="554" t="s">
        <v>851</v>
      </c>
      <c r="C137" s="246"/>
      <c r="D137" s="246"/>
      <c r="E137" s="246"/>
      <c r="F137" s="246"/>
      <c r="G137" s="246"/>
      <c r="H137" s="246"/>
      <c r="I137" s="246"/>
    </row>
    <row r="138" spans="1:15" x14ac:dyDescent="0.3">
      <c r="B138" s="246"/>
      <c r="C138" s="246"/>
      <c r="D138" s="246"/>
      <c r="E138" s="246"/>
      <c r="F138" s="246"/>
      <c r="G138" s="246"/>
      <c r="H138" s="246"/>
      <c r="I138" s="246"/>
    </row>
    <row r="139" spans="1:15" x14ac:dyDescent="0.3">
      <c r="A139" s="246" t="s">
        <v>31</v>
      </c>
      <c r="B139" s="256" t="str">
        <f>"Equity % Sensitivity ("&amp;'LBO Model'!E4&amp;")"</f>
        <v>Equity % Sensitivity (Base Case)</v>
      </c>
    </row>
    <row r="140" spans="1:15" x14ac:dyDescent="0.3">
      <c r="B140" s="248" t="s">
        <v>829</v>
      </c>
    </row>
    <row r="141" spans="1:15" x14ac:dyDescent="0.3">
      <c r="B141" s="256"/>
    </row>
    <row r="142" spans="1:15" x14ac:dyDescent="0.3">
      <c r="B142" s="249" t="s">
        <v>535</v>
      </c>
      <c r="C142" s="250" t="s">
        <v>467</v>
      </c>
      <c r="D142" s="249" t="s">
        <v>111</v>
      </c>
      <c r="E142" s="249"/>
      <c r="F142" s="249"/>
      <c r="G142" s="249"/>
      <c r="H142" s="249"/>
      <c r="I142" s="249"/>
      <c r="J142" s="249" t="s">
        <v>368</v>
      </c>
      <c r="K142" s="249"/>
      <c r="L142" s="249" t="s">
        <v>475</v>
      </c>
    </row>
    <row r="143" spans="1:15" ht="13.5" thickBot="1" x14ac:dyDescent="0.35">
      <c r="B143" s="308" t="s">
        <v>530</v>
      </c>
      <c r="C143" s="428" t="s">
        <v>205</v>
      </c>
      <c r="D143" s="429" t="s">
        <v>401</v>
      </c>
      <c r="E143" s="308"/>
      <c r="F143" s="308" t="s">
        <v>368</v>
      </c>
      <c r="G143" s="308"/>
      <c r="H143" s="308" t="s">
        <v>475</v>
      </c>
      <c r="I143" s="308"/>
      <c r="J143" s="308" t="s">
        <v>532</v>
      </c>
      <c r="K143" s="308"/>
      <c r="L143" s="308" t="s">
        <v>533</v>
      </c>
    </row>
    <row r="144" spans="1:15" x14ac:dyDescent="0.3">
      <c r="B144" s="426">
        <f ca="1">'LBO Model'!B397</f>
        <v>0.29516486278953191</v>
      </c>
      <c r="C144" s="287">
        <f>'LBO Model'!C397</f>
        <v>2264.1018259121702</v>
      </c>
      <c r="D144" s="618">
        <f>'LBO Model'!D397</f>
        <v>18.000000000000256</v>
      </c>
      <c r="E144" s="246"/>
      <c r="F144" s="422">
        <f>'LBO Model'!E397</f>
        <v>0.27903123325938789</v>
      </c>
      <c r="G144" s="246"/>
      <c r="H144" s="431">
        <f>'LBO Model'!F397</f>
        <v>5485.8982041001054</v>
      </c>
      <c r="I144" s="246"/>
      <c r="J144" s="422">
        <f>'LBO Model'!G397</f>
        <v>0.28143518952962299</v>
      </c>
      <c r="K144" s="246"/>
      <c r="L144" s="431">
        <f>'LBO Model'!F397</f>
        <v>5485.8982041001054</v>
      </c>
    </row>
    <row r="145" spans="2:17" x14ac:dyDescent="0.3">
      <c r="B145" s="229">
        <f ca="1">'LBO Model'!B398</f>
        <v>0.39516486278953189</v>
      </c>
      <c r="C145" s="287">
        <f>'LBO Model'!C398</f>
        <v>3024.2510755497442</v>
      </c>
      <c r="D145" s="618">
        <f>'LBO Model'!D398</f>
        <v>18.000000000000256</v>
      </c>
      <c r="F145" s="422">
        <f>'LBO Model'!E398</f>
        <v>0.23536386833118125</v>
      </c>
      <c r="H145" s="431">
        <f>'LBO Model'!F398</f>
        <v>5677.2127478181355</v>
      </c>
      <c r="J145" s="422">
        <f>'LBO Model'!G398</f>
        <v>0.2370996775969266</v>
      </c>
      <c r="L145" s="431">
        <f>'LBO Model'!F398</f>
        <v>5677.2127478181355</v>
      </c>
    </row>
    <row r="146" spans="2:17" x14ac:dyDescent="0.3">
      <c r="B146" s="229">
        <f ca="1">'LBO Model'!B399</f>
        <v>0.49516486278953187</v>
      </c>
      <c r="C146" s="287">
        <f>'LBO Model'!C399</f>
        <v>3780.9403524511863</v>
      </c>
      <c r="D146" s="618">
        <f>'LBO Model'!D399</f>
        <v>18.000000000000256</v>
      </c>
      <c r="F146" s="422">
        <f>'LBO Model'!E399</f>
        <v>0.2042256356483351</v>
      </c>
      <c r="H146" s="431">
        <f>'LBO Model'!F399</f>
        <v>5794.068129820178</v>
      </c>
      <c r="J146" s="422">
        <f>'LBO Model'!G399</f>
        <v>0.20557791417359378</v>
      </c>
      <c r="L146" s="431">
        <f>'LBO Model'!F399</f>
        <v>5794.068129820178</v>
      </c>
    </row>
    <row r="147" spans="2:17" x14ac:dyDescent="0.3">
      <c r="B147" s="436">
        <f ca="1">'LBO Model'!B400</f>
        <v>0.59516486278953185</v>
      </c>
      <c r="C147" s="379">
        <f>'LBO Model'!C400</f>
        <v>4534.1932261297225</v>
      </c>
      <c r="D147" s="619">
        <f>'LBO Model'!D400</f>
        <v>18.000000000000256</v>
      </c>
      <c r="E147" s="376"/>
      <c r="F147" s="438">
        <f>'LBO Model'!E400</f>
        <v>0.18161013019443945</v>
      </c>
      <c r="G147" s="376"/>
      <c r="H147" s="440">
        <f>'LBO Model'!F400</f>
        <v>5909.9075057369046</v>
      </c>
      <c r="I147" s="376"/>
      <c r="J147" s="438">
        <f>'LBO Model'!G400</f>
        <v>0.18271596172857749</v>
      </c>
      <c r="K147" s="376"/>
      <c r="L147" s="443">
        <f>'LBO Model'!F400</f>
        <v>5909.9075057369046</v>
      </c>
    </row>
    <row r="148" spans="2:17" x14ac:dyDescent="0.3">
      <c r="B148" s="229">
        <f ca="1">'LBO Model'!B401</f>
        <v>0.69516486278953182</v>
      </c>
      <c r="C148" s="287">
        <f>'LBO Model'!C401</f>
        <v>5284.033052501406</v>
      </c>
      <c r="D148" s="618">
        <f>'LBO Model'!D401</f>
        <v>18.000000000000256</v>
      </c>
      <c r="F148" s="422">
        <f>'LBO Model'!E401</f>
        <v>0.16501484975286351</v>
      </c>
      <c r="H148" s="431">
        <f>'LBO Model'!F401</f>
        <v>6056.2222259627715</v>
      </c>
      <c r="J148" s="422">
        <f>'LBO Model'!G401</f>
        <v>0.16595005627510862</v>
      </c>
      <c r="L148" s="431">
        <f>'LBO Model'!F401</f>
        <v>6056.2222259627715</v>
      </c>
    </row>
    <row r="149" spans="2:17" x14ac:dyDescent="0.3">
      <c r="B149" s="229">
        <f ca="1">'LBO Model'!B402</f>
        <v>0.7951648627895318</v>
      </c>
      <c r="C149" s="287">
        <f>'LBO Model'!C402</f>
        <v>6030.4829763034495</v>
      </c>
      <c r="D149" s="618">
        <f>'LBO Model'!D402</f>
        <v>18.000000000000256</v>
      </c>
      <c r="F149" s="422">
        <f>'LBO Model'!E402</f>
        <v>0.1525585371260296</v>
      </c>
      <c r="H149" s="431">
        <f>'LBO Model'!F402</f>
        <v>6234.5029870373319</v>
      </c>
      <c r="J149" s="422">
        <f>'LBO Model'!G402</f>
        <v>0.15336898095272242</v>
      </c>
      <c r="L149" s="431">
        <f>'LBO Model'!F402</f>
        <v>6234.5029870373319</v>
      </c>
    </row>
    <row r="150" spans="2:17" ht="13.5" thickBot="1" x14ac:dyDescent="0.35">
      <c r="B150" s="309">
        <f ca="1">'LBO Model'!B403</f>
        <v>0.89516486278953178</v>
      </c>
      <c r="C150" s="430">
        <f>'LBO Model'!C403</f>
        <v>6773.5659334791999</v>
      </c>
      <c r="D150" s="620">
        <f>'LBO Model'!D403</f>
        <v>18.000000000000256</v>
      </c>
      <c r="E150" s="267"/>
      <c r="F150" s="425">
        <f>'LBO Model'!E403</f>
        <v>0.14225940713117269</v>
      </c>
      <c r="G150" s="267"/>
      <c r="H150" s="432">
        <f>'LBO Model'!F403</f>
        <v>6398.1112869610879</v>
      </c>
      <c r="I150" s="267"/>
      <c r="J150" s="425">
        <f>'LBO Model'!G403</f>
        <v>0.14297432939398463</v>
      </c>
      <c r="K150" s="267"/>
      <c r="L150" s="432">
        <f>'LBO Model'!F403</f>
        <v>6398.1112869610879</v>
      </c>
    </row>
    <row r="151" spans="2:17" x14ac:dyDescent="0.3">
      <c r="B151" s="554" t="s">
        <v>852</v>
      </c>
    </row>
    <row r="153" spans="2:17" x14ac:dyDescent="0.3">
      <c r="B153" s="256"/>
    </row>
    <row r="154" spans="2:17" x14ac:dyDescent="0.3">
      <c r="E154" s="268"/>
      <c r="F154" s="268"/>
      <c r="H154" s="268"/>
      <c r="I154" s="268"/>
    </row>
    <row r="155" spans="2:17" x14ac:dyDescent="0.3">
      <c r="D155" s="246"/>
      <c r="E155" s="246"/>
      <c r="F155" s="246"/>
      <c r="H155" s="246"/>
      <c r="I155" s="246"/>
      <c r="K155" s="246"/>
      <c r="L155" s="246"/>
      <c r="N155" s="246"/>
      <c r="O155" s="246"/>
      <c r="P155" s="246"/>
      <c r="Q155" s="246"/>
    </row>
    <row r="156" spans="2:17" x14ac:dyDescent="0.3">
      <c r="D156" s="246"/>
      <c r="E156" s="246"/>
      <c r="F156" s="246"/>
      <c r="H156" s="246"/>
      <c r="I156" s="246"/>
      <c r="K156" s="246"/>
      <c r="L156" s="246"/>
      <c r="N156" s="246"/>
      <c r="O156" s="246"/>
      <c r="P156" s="246"/>
      <c r="Q156" s="246"/>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829A-86EC-4353-8C8B-5C6686DADF2C}">
  <dimension ref="A1:JA27"/>
  <sheetViews>
    <sheetView showGridLines="0" topLeftCell="A9" zoomScale="94" zoomScaleNormal="94" workbookViewId="0">
      <selection activeCell="H29" sqref="H29"/>
    </sheetView>
  </sheetViews>
  <sheetFormatPr baseColWidth="10" defaultColWidth="8.25" defaultRowHeight="13" x14ac:dyDescent="0.3"/>
  <cols>
    <col min="1" max="1" width="11" style="662" customWidth="1"/>
    <col min="2" max="2" width="0.58203125" style="662" customWidth="1"/>
    <col min="3" max="3" width="25.4140625" style="662" customWidth="1"/>
    <col min="4" max="4" width="0.6640625" style="662" customWidth="1"/>
    <col min="5" max="5" width="13.58203125" style="662" customWidth="1"/>
    <col min="6" max="7" width="0.6640625" style="662" customWidth="1"/>
    <col min="8" max="8" width="13.58203125" style="662" customWidth="1"/>
    <col min="9" max="9" width="0.83203125" style="662" customWidth="1"/>
    <col min="10" max="10" width="13.58203125" style="662" customWidth="1"/>
    <col min="11" max="11" width="0.83203125" style="662" customWidth="1"/>
    <col min="12" max="12" width="13.58203125" style="662" customWidth="1"/>
    <col min="13" max="13" width="0.6640625" style="662" customWidth="1"/>
    <col min="14" max="14" width="38.08203125" style="662" customWidth="1"/>
    <col min="15" max="15" width="2.83203125" style="662" customWidth="1"/>
    <col min="16" max="261" width="8.25" style="662"/>
    <col min="262" max="16384" width="8.25" style="663"/>
  </cols>
  <sheetData>
    <row r="1" spans="1:261" ht="21.5" thickBot="1" x14ac:dyDescent="0.55000000000000004">
      <c r="A1" s="660" t="s">
        <v>907</v>
      </c>
      <c r="B1" s="661"/>
      <c r="C1" s="661"/>
      <c r="D1" s="661"/>
      <c r="E1" s="661"/>
      <c r="F1" s="661"/>
      <c r="G1" s="661"/>
      <c r="H1" s="661"/>
      <c r="I1" s="661"/>
      <c r="J1" s="661"/>
      <c r="K1" s="661"/>
      <c r="L1" s="661"/>
      <c r="M1" s="661"/>
      <c r="N1" s="661"/>
    </row>
    <row r="2" spans="1:261" ht="13.5" thickTop="1" x14ac:dyDescent="0.3"/>
    <row r="3" spans="1:261" ht="46.5" x14ac:dyDescent="0.35">
      <c r="A3" s="665"/>
      <c r="B3" s="665"/>
      <c r="C3" s="665"/>
      <c r="D3" s="665"/>
      <c r="E3" s="666" t="s">
        <v>934</v>
      </c>
      <c r="F3" s="667"/>
      <c r="G3" s="665"/>
      <c r="H3" s="666" t="s">
        <v>937</v>
      </c>
      <c r="I3" s="665"/>
      <c r="J3" s="666" t="s">
        <v>938</v>
      </c>
      <c r="K3" s="665"/>
      <c r="L3" s="666" t="s">
        <v>1013</v>
      </c>
      <c r="M3" s="665"/>
      <c r="N3" s="668" t="s">
        <v>908</v>
      </c>
      <c r="O3" s="665"/>
      <c r="P3" s="665"/>
      <c r="Q3" s="665"/>
      <c r="R3" s="665"/>
      <c r="S3" s="665"/>
      <c r="T3" s="665"/>
      <c r="U3" s="665"/>
      <c r="V3" s="665"/>
      <c r="W3" s="665"/>
      <c r="X3" s="665"/>
      <c r="Y3" s="665"/>
      <c r="Z3" s="665"/>
      <c r="AA3" s="665"/>
      <c r="AB3" s="665"/>
      <c r="AC3" s="665"/>
      <c r="AD3" s="665"/>
      <c r="AE3" s="665"/>
      <c r="AF3" s="665"/>
      <c r="AG3" s="665"/>
      <c r="AH3" s="665"/>
      <c r="AI3" s="665"/>
      <c r="AJ3" s="665"/>
      <c r="AK3" s="665"/>
      <c r="AL3" s="665"/>
      <c r="AM3" s="665"/>
      <c r="AN3" s="665"/>
      <c r="AO3" s="665"/>
      <c r="AP3" s="665"/>
      <c r="AQ3" s="665"/>
      <c r="AR3" s="665"/>
      <c r="AS3" s="665"/>
      <c r="AT3" s="665"/>
      <c r="AU3" s="665"/>
      <c r="AV3" s="665"/>
      <c r="AW3" s="665"/>
      <c r="AX3" s="665"/>
      <c r="AY3" s="665"/>
      <c r="AZ3" s="665"/>
      <c r="BA3" s="665"/>
      <c r="BB3" s="665"/>
      <c r="BC3" s="665"/>
      <c r="BD3" s="665"/>
      <c r="BE3" s="665"/>
      <c r="BF3" s="665"/>
      <c r="BG3" s="665"/>
      <c r="BH3" s="665"/>
      <c r="BI3" s="665"/>
      <c r="BJ3" s="665"/>
      <c r="BK3" s="665"/>
      <c r="BL3" s="665"/>
      <c r="BM3" s="665"/>
      <c r="BN3" s="665"/>
      <c r="BO3" s="665"/>
      <c r="BP3" s="665"/>
      <c r="BQ3" s="665"/>
      <c r="BR3" s="665"/>
      <c r="BS3" s="665"/>
      <c r="BT3" s="665"/>
      <c r="BU3" s="665"/>
      <c r="BV3" s="665"/>
      <c r="BW3" s="665"/>
      <c r="BX3" s="665"/>
      <c r="BY3" s="665"/>
      <c r="BZ3" s="665"/>
      <c r="CA3" s="665"/>
      <c r="CB3" s="665"/>
      <c r="CC3" s="665"/>
      <c r="CD3" s="665"/>
      <c r="CE3" s="665"/>
      <c r="CF3" s="665"/>
      <c r="CG3" s="665"/>
      <c r="CH3" s="665"/>
      <c r="CI3" s="665"/>
      <c r="CJ3" s="665"/>
      <c r="CK3" s="665"/>
      <c r="CL3" s="665"/>
      <c r="CM3" s="665"/>
      <c r="CN3" s="665"/>
      <c r="CO3" s="665"/>
      <c r="CP3" s="665"/>
      <c r="CQ3" s="665"/>
      <c r="CR3" s="665"/>
      <c r="CS3" s="665"/>
      <c r="CT3" s="665"/>
      <c r="CU3" s="665"/>
      <c r="CV3" s="665"/>
      <c r="CW3" s="665"/>
      <c r="CX3" s="665"/>
      <c r="CY3" s="665"/>
      <c r="CZ3" s="665"/>
      <c r="DA3" s="665"/>
      <c r="DB3" s="665"/>
      <c r="DC3" s="665"/>
      <c r="DD3" s="665"/>
      <c r="DE3" s="665"/>
      <c r="DF3" s="665"/>
      <c r="DG3" s="665"/>
      <c r="DH3" s="665"/>
      <c r="DI3" s="665"/>
      <c r="DJ3" s="665"/>
      <c r="DK3" s="665"/>
      <c r="DL3" s="665"/>
      <c r="DM3" s="665"/>
      <c r="DN3" s="665"/>
      <c r="DO3" s="665"/>
      <c r="DP3" s="665"/>
      <c r="DQ3" s="665"/>
      <c r="DR3" s="665"/>
      <c r="DS3" s="665"/>
      <c r="DT3" s="665"/>
      <c r="DU3" s="665"/>
      <c r="DV3" s="665"/>
      <c r="DW3" s="665"/>
      <c r="DX3" s="665"/>
      <c r="DY3" s="665"/>
      <c r="DZ3" s="665"/>
      <c r="EA3" s="665"/>
      <c r="EB3" s="665"/>
      <c r="EC3" s="665"/>
      <c r="ED3" s="665"/>
      <c r="EE3" s="665"/>
      <c r="EF3" s="665"/>
      <c r="EG3" s="665"/>
      <c r="EH3" s="665"/>
      <c r="EI3" s="665"/>
      <c r="EJ3" s="665"/>
      <c r="EK3" s="665"/>
      <c r="EL3" s="665"/>
      <c r="EM3" s="665"/>
      <c r="EN3" s="665"/>
      <c r="EO3" s="665"/>
      <c r="EP3" s="665"/>
      <c r="EQ3" s="665"/>
      <c r="ER3" s="665"/>
      <c r="ES3" s="665"/>
      <c r="ET3" s="665"/>
      <c r="EU3" s="665"/>
      <c r="EV3" s="665"/>
      <c r="EW3" s="665"/>
      <c r="EX3" s="665"/>
      <c r="EY3" s="665"/>
      <c r="EZ3" s="665"/>
      <c r="FA3" s="665"/>
      <c r="FB3" s="665"/>
      <c r="FC3" s="665"/>
      <c r="FD3" s="665"/>
      <c r="FE3" s="665"/>
      <c r="FF3" s="665"/>
      <c r="FG3" s="665"/>
      <c r="FH3" s="665"/>
      <c r="FI3" s="665"/>
      <c r="FJ3" s="665"/>
      <c r="FK3" s="665"/>
      <c r="FL3" s="665"/>
      <c r="FM3" s="665"/>
      <c r="FN3" s="665"/>
      <c r="FO3" s="665"/>
      <c r="FP3" s="665"/>
      <c r="FQ3" s="665"/>
      <c r="FR3" s="665"/>
      <c r="FS3" s="665"/>
      <c r="FT3" s="665"/>
      <c r="FU3" s="665"/>
      <c r="FV3" s="665"/>
      <c r="FW3" s="665"/>
      <c r="FX3" s="665"/>
      <c r="FY3" s="665"/>
      <c r="FZ3" s="665"/>
      <c r="GA3" s="665"/>
      <c r="GB3" s="665"/>
      <c r="GC3" s="665"/>
      <c r="GD3" s="665"/>
      <c r="GE3" s="665"/>
      <c r="GF3" s="665"/>
      <c r="GG3" s="665"/>
      <c r="GH3" s="665"/>
      <c r="GI3" s="665"/>
      <c r="GJ3" s="665"/>
      <c r="GK3" s="665"/>
      <c r="GL3" s="665"/>
      <c r="GM3" s="665"/>
      <c r="GN3" s="665"/>
      <c r="GO3" s="665"/>
      <c r="GP3" s="665"/>
      <c r="GQ3" s="665"/>
      <c r="GR3" s="665"/>
      <c r="GS3" s="665"/>
      <c r="GT3" s="665"/>
      <c r="GU3" s="665"/>
      <c r="GV3" s="665"/>
      <c r="GW3" s="665"/>
      <c r="GX3" s="665"/>
      <c r="GY3" s="665"/>
      <c r="GZ3" s="665"/>
      <c r="HA3" s="665"/>
      <c r="HB3" s="665"/>
      <c r="HC3" s="665"/>
      <c r="HD3" s="665"/>
      <c r="HE3" s="665"/>
      <c r="HF3" s="665"/>
      <c r="HG3" s="665"/>
      <c r="HH3" s="665"/>
      <c r="HI3" s="665"/>
      <c r="HJ3" s="665"/>
      <c r="HK3" s="665"/>
      <c r="HL3" s="665"/>
      <c r="HM3" s="665"/>
      <c r="HN3" s="665"/>
      <c r="HO3" s="665"/>
      <c r="HP3" s="665"/>
      <c r="HQ3" s="665"/>
      <c r="HR3" s="665"/>
      <c r="HS3" s="665"/>
      <c r="HT3" s="665"/>
      <c r="HU3" s="665"/>
      <c r="HV3" s="665"/>
      <c r="HW3" s="665"/>
      <c r="HX3" s="665"/>
      <c r="HY3" s="665"/>
      <c r="HZ3" s="665"/>
      <c r="IA3" s="665"/>
      <c r="IB3" s="665"/>
      <c r="IC3" s="665"/>
      <c r="ID3" s="665"/>
      <c r="IE3" s="665"/>
      <c r="IF3" s="665"/>
      <c r="IG3" s="665"/>
      <c r="IH3" s="665"/>
      <c r="II3" s="665"/>
      <c r="IJ3" s="665"/>
      <c r="IK3" s="665"/>
      <c r="IL3" s="665"/>
      <c r="IM3" s="665"/>
      <c r="IN3" s="665"/>
      <c r="IO3" s="665"/>
      <c r="IP3" s="665"/>
      <c r="IQ3" s="665"/>
      <c r="IR3" s="665"/>
      <c r="IS3" s="665"/>
      <c r="IT3" s="665"/>
      <c r="IU3" s="665"/>
      <c r="IV3" s="665"/>
      <c r="IW3" s="665"/>
      <c r="IX3" s="665"/>
      <c r="IY3" s="665"/>
      <c r="IZ3" s="665"/>
      <c r="JA3" s="665"/>
    </row>
    <row r="4" spans="1:261" x14ac:dyDescent="0.25">
      <c r="A4" s="669"/>
      <c r="B4" s="669"/>
      <c r="C4" s="669"/>
      <c r="D4" s="669"/>
      <c r="E4" s="669"/>
      <c r="F4" s="670"/>
      <c r="G4" s="669"/>
      <c r="H4" s="669"/>
      <c r="I4" s="669"/>
      <c r="J4" s="669"/>
      <c r="K4" s="669"/>
      <c r="L4" s="669"/>
      <c r="M4" s="669"/>
      <c r="N4" s="669"/>
      <c r="O4" s="669"/>
      <c r="P4" s="669"/>
      <c r="Q4" s="669"/>
      <c r="R4" s="669"/>
      <c r="S4" s="669"/>
      <c r="T4" s="669"/>
      <c r="U4" s="669"/>
      <c r="V4" s="669"/>
      <c r="W4" s="669"/>
      <c r="X4" s="669"/>
      <c r="Y4" s="669"/>
      <c r="Z4" s="669"/>
      <c r="AA4" s="669"/>
      <c r="AB4" s="669"/>
      <c r="AC4" s="669"/>
      <c r="AD4" s="669"/>
      <c r="AE4" s="669"/>
      <c r="AF4" s="669"/>
      <c r="AG4" s="669"/>
      <c r="AH4" s="669"/>
      <c r="AI4" s="669"/>
      <c r="AJ4" s="669"/>
      <c r="AK4" s="669"/>
      <c r="AL4" s="669"/>
      <c r="AM4" s="669"/>
      <c r="AN4" s="669"/>
      <c r="AO4" s="669"/>
      <c r="AP4" s="669"/>
      <c r="AQ4" s="669"/>
      <c r="AR4" s="669"/>
      <c r="AS4" s="669"/>
      <c r="AT4" s="669"/>
      <c r="AU4" s="669"/>
      <c r="AV4" s="669"/>
      <c r="AW4" s="669"/>
      <c r="AX4" s="669"/>
      <c r="AY4" s="669"/>
      <c r="AZ4" s="669"/>
      <c r="BA4" s="669"/>
      <c r="BB4" s="669"/>
      <c r="BC4" s="669"/>
      <c r="BD4" s="669"/>
      <c r="BE4" s="669"/>
      <c r="BF4" s="669"/>
      <c r="BG4" s="669"/>
      <c r="BH4" s="669"/>
      <c r="BI4" s="669"/>
      <c r="BJ4" s="669"/>
      <c r="BK4" s="669"/>
      <c r="BL4" s="669"/>
      <c r="BM4" s="669"/>
      <c r="BN4" s="669"/>
      <c r="BO4" s="669"/>
      <c r="BP4" s="669"/>
      <c r="BQ4" s="669"/>
      <c r="BR4" s="669"/>
      <c r="BS4" s="669"/>
      <c r="BT4" s="669"/>
      <c r="BU4" s="669"/>
      <c r="BV4" s="669"/>
      <c r="BW4" s="669"/>
      <c r="BX4" s="669"/>
      <c r="BY4" s="669"/>
      <c r="BZ4" s="669"/>
      <c r="CA4" s="669"/>
      <c r="CB4" s="669"/>
      <c r="CC4" s="669"/>
      <c r="CD4" s="669"/>
      <c r="CE4" s="669"/>
      <c r="CF4" s="669"/>
      <c r="CG4" s="669"/>
      <c r="CH4" s="669"/>
      <c r="CI4" s="669"/>
      <c r="CJ4" s="669"/>
      <c r="CK4" s="669"/>
      <c r="CL4" s="669"/>
      <c r="CM4" s="669"/>
      <c r="CN4" s="669"/>
      <c r="CO4" s="669"/>
      <c r="CP4" s="669"/>
      <c r="CQ4" s="669"/>
      <c r="CR4" s="669"/>
      <c r="CS4" s="669"/>
      <c r="CT4" s="669"/>
      <c r="CU4" s="669"/>
      <c r="CV4" s="669"/>
      <c r="CW4" s="669"/>
      <c r="CX4" s="669"/>
      <c r="CY4" s="669"/>
      <c r="CZ4" s="669"/>
      <c r="DA4" s="669"/>
      <c r="DB4" s="669"/>
      <c r="DC4" s="669"/>
      <c r="DD4" s="669"/>
      <c r="DE4" s="669"/>
      <c r="DF4" s="669"/>
      <c r="DG4" s="669"/>
      <c r="DH4" s="669"/>
      <c r="DI4" s="669"/>
      <c r="DJ4" s="669"/>
      <c r="DK4" s="669"/>
      <c r="DL4" s="669"/>
      <c r="DM4" s="669"/>
      <c r="DN4" s="669"/>
      <c r="DO4" s="669"/>
      <c r="DP4" s="669"/>
      <c r="DQ4" s="669"/>
      <c r="DR4" s="669"/>
      <c r="DS4" s="669"/>
      <c r="DT4" s="669"/>
      <c r="DU4" s="669"/>
      <c r="DV4" s="669"/>
      <c r="DW4" s="669"/>
      <c r="DX4" s="669"/>
      <c r="DY4" s="669"/>
      <c r="DZ4" s="669"/>
      <c r="EA4" s="669"/>
      <c r="EB4" s="669"/>
      <c r="EC4" s="669"/>
      <c r="ED4" s="669"/>
      <c r="EE4" s="669"/>
      <c r="EF4" s="669"/>
      <c r="EG4" s="669"/>
      <c r="EH4" s="669"/>
      <c r="EI4" s="669"/>
      <c r="EJ4" s="669"/>
      <c r="EK4" s="669"/>
      <c r="EL4" s="669"/>
      <c r="EM4" s="669"/>
      <c r="EN4" s="669"/>
      <c r="EO4" s="669"/>
      <c r="EP4" s="669"/>
      <c r="EQ4" s="669"/>
      <c r="ER4" s="669"/>
      <c r="ES4" s="669"/>
      <c r="ET4" s="669"/>
      <c r="EU4" s="669"/>
      <c r="EV4" s="669"/>
      <c r="EW4" s="669"/>
      <c r="EX4" s="669"/>
      <c r="EY4" s="669"/>
      <c r="EZ4" s="669"/>
      <c r="FA4" s="669"/>
      <c r="FB4" s="669"/>
      <c r="FC4" s="669"/>
      <c r="FD4" s="669"/>
      <c r="FE4" s="669"/>
      <c r="FF4" s="669"/>
      <c r="FG4" s="669"/>
      <c r="FH4" s="669"/>
      <c r="FI4" s="669"/>
      <c r="FJ4" s="669"/>
      <c r="FK4" s="669"/>
      <c r="FL4" s="669"/>
      <c r="FM4" s="669"/>
      <c r="FN4" s="669"/>
      <c r="FO4" s="669"/>
      <c r="FP4" s="669"/>
      <c r="FQ4" s="669"/>
      <c r="FR4" s="669"/>
      <c r="FS4" s="669"/>
      <c r="FT4" s="669"/>
      <c r="FU4" s="669"/>
      <c r="FV4" s="669"/>
      <c r="FW4" s="669"/>
      <c r="FX4" s="669"/>
      <c r="FY4" s="669"/>
      <c r="FZ4" s="669"/>
      <c r="GA4" s="669"/>
      <c r="GB4" s="669"/>
      <c r="GC4" s="669"/>
      <c r="GD4" s="669"/>
      <c r="GE4" s="669"/>
      <c r="GF4" s="669"/>
      <c r="GG4" s="669"/>
      <c r="GH4" s="669"/>
      <c r="GI4" s="669"/>
      <c r="GJ4" s="669"/>
      <c r="GK4" s="669"/>
      <c r="GL4" s="669"/>
      <c r="GM4" s="669"/>
      <c r="GN4" s="669"/>
      <c r="GO4" s="669"/>
      <c r="GP4" s="669"/>
      <c r="GQ4" s="669"/>
      <c r="GR4" s="669"/>
      <c r="GS4" s="669"/>
      <c r="GT4" s="669"/>
      <c r="GU4" s="669"/>
      <c r="GV4" s="669"/>
      <c r="GW4" s="669"/>
      <c r="GX4" s="669"/>
      <c r="GY4" s="669"/>
      <c r="GZ4" s="669"/>
      <c r="HA4" s="669"/>
      <c r="HB4" s="669"/>
      <c r="HC4" s="669"/>
      <c r="HD4" s="669"/>
      <c r="HE4" s="669"/>
      <c r="HF4" s="669"/>
      <c r="HG4" s="669"/>
      <c r="HH4" s="669"/>
      <c r="HI4" s="669"/>
      <c r="HJ4" s="669"/>
      <c r="HK4" s="669"/>
      <c r="HL4" s="669"/>
      <c r="HM4" s="669"/>
      <c r="HN4" s="669"/>
      <c r="HO4" s="669"/>
      <c r="HP4" s="669"/>
      <c r="HQ4" s="669"/>
      <c r="HR4" s="669"/>
      <c r="HS4" s="669"/>
      <c r="HT4" s="669"/>
      <c r="HU4" s="669"/>
      <c r="HV4" s="669"/>
      <c r="HW4" s="669"/>
      <c r="HX4" s="669"/>
      <c r="HY4" s="669"/>
      <c r="HZ4" s="669"/>
      <c r="IA4" s="669"/>
      <c r="IB4" s="669"/>
      <c r="IC4" s="669"/>
      <c r="ID4" s="669"/>
      <c r="IE4" s="669"/>
      <c r="IF4" s="669"/>
      <c r="IG4" s="669"/>
      <c r="IH4" s="669"/>
      <c r="II4" s="669"/>
      <c r="IJ4" s="669"/>
      <c r="IK4" s="669"/>
      <c r="IL4" s="669"/>
      <c r="IM4" s="669"/>
      <c r="IN4" s="669"/>
      <c r="IO4" s="669"/>
      <c r="IP4" s="669"/>
      <c r="IQ4" s="669"/>
      <c r="IR4" s="669"/>
      <c r="IS4" s="669"/>
      <c r="IT4" s="669"/>
      <c r="IU4" s="669"/>
      <c r="IV4" s="669"/>
      <c r="IW4" s="669"/>
      <c r="IX4" s="669"/>
      <c r="IY4" s="669"/>
      <c r="IZ4" s="669"/>
      <c r="JA4" s="669"/>
    </row>
    <row r="5" spans="1:261" ht="17" x14ac:dyDescent="0.4">
      <c r="A5" s="956" t="s">
        <v>909</v>
      </c>
      <c r="C5" s="671" t="s">
        <v>910</v>
      </c>
      <c r="D5" s="672"/>
      <c r="E5" s="673">
        <f>E6/E7</f>
        <v>1.4999999999999998</v>
      </c>
      <c r="F5" s="674"/>
      <c r="G5" s="672"/>
      <c r="H5" s="673">
        <f ca="1">H6/H7</f>
        <v>0.64957859639275162</v>
      </c>
      <c r="I5" s="675"/>
      <c r="J5" s="673">
        <f>J6/J7</f>
        <v>0.4285714285714286</v>
      </c>
      <c r="K5" s="675"/>
      <c r="L5" s="673">
        <f>L6/L7</f>
        <v>0</v>
      </c>
      <c r="M5" s="676"/>
      <c r="N5" s="677"/>
      <c r="P5" s="669"/>
    </row>
    <row r="6" spans="1:261" ht="17" x14ac:dyDescent="0.4">
      <c r="A6" s="957"/>
      <c r="C6" s="672" t="s">
        <v>911</v>
      </c>
      <c r="D6" s="672"/>
      <c r="E6" s="678">
        <v>0.6</v>
      </c>
      <c r="F6" s="674"/>
      <c r="G6" s="672"/>
      <c r="H6" s="678">
        <f ca="1">('LBO Model'!K15+'LBO Model'!K16)/'LBO Model'!K24</f>
        <v>0.39378456886699698</v>
      </c>
      <c r="I6" s="672"/>
      <c r="J6" s="678">
        <v>0.3</v>
      </c>
      <c r="K6" s="672"/>
      <c r="L6" s="678">
        <v>0</v>
      </c>
      <c r="M6" s="676"/>
      <c r="N6" s="677" t="s">
        <v>912</v>
      </c>
      <c r="O6" s="679"/>
    </row>
    <row r="7" spans="1:261" ht="17" x14ac:dyDescent="0.4">
      <c r="A7" s="957"/>
      <c r="C7" s="672" t="s">
        <v>913</v>
      </c>
      <c r="D7" s="672"/>
      <c r="E7" s="680">
        <f>1-E6</f>
        <v>0.4</v>
      </c>
      <c r="F7" s="674"/>
      <c r="G7" s="672"/>
      <c r="H7" s="680">
        <f ca="1">1-H6</f>
        <v>0.60621543113300302</v>
      </c>
      <c r="I7" s="672"/>
      <c r="J7" s="680">
        <f>1-J6</f>
        <v>0.7</v>
      </c>
      <c r="K7" s="672"/>
      <c r="L7" s="680">
        <f>1-L6</f>
        <v>1</v>
      </c>
      <c r="M7" s="676"/>
      <c r="N7" s="677" t="s">
        <v>912</v>
      </c>
      <c r="O7" s="679"/>
    </row>
    <row r="8" spans="1:261" x14ac:dyDescent="0.3">
      <c r="F8" s="664"/>
      <c r="O8" s="681"/>
    </row>
    <row r="9" spans="1:261" ht="17" x14ac:dyDescent="0.4">
      <c r="A9" s="956" t="s">
        <v>914</v>
      </c>
      <c r="B9" s="676"/>
      <c r="C9" s="682" t="s">
        <v>915</v>
      </c>
      <c r="D9" s="676"/>
      <c r="E9" s="683">
        <f ca="1">AVERAGE('LBO Model'!I312:R312)</f>
        <v>6.1023574042417261E-2</v>
      </c>
      <c r="F9" s="684"/>
      <c r="G9" s="685"/>
      <c r="H9" s="686">
        <f ca="1">E9</f>
        <v>6.1023574042417261E-2</v>
      </c>
      <c r="I9" s="685"/>
      <c r="J9" s="686">
        <f ca="1">E9</f>
        <v>6.1023574042417261E-2</v>
      </c>
      <c r="K9" s="685"/>
      <c r="L9" s="686">
        <f ca="1">E9</f>
        <v>6.1023574042417261E-2</v>
      </c>
      <c r="M9" s="676"/>
      <c r="N9" s="677" t="s">
        <v>1067</v>
      </c>
      <c r="O9" s="681"/>
      <c r="P9" s="687"/>
    </row>
    <row r="10" spans="1:261" ht="17" x14ac:dyDescent="0.4">
      <c r="A10" s="956"/>
      <c r="B10" s="676"/>
      <c r="C10" s="676" t="s">
        <v>916</v>
      </c>
      <c r="D10" s="676"/>
      <c r="E10" s="688">
        <f ca="1">'LBO Model'!I191</f>
        <v>0.35</v>
      </c>
      <c r="F10" s="689"/>
      <c r="G10" s="676"/>
      <c r="H10" s="690">
        <f ca="1">E10</f>
        <v>0.35</v>
      </c>
      <c r="I10" s="676"/>
      <c r="J10" s="690">
        <f ca="1">E10</f>
        <v>0.35</v>
      </c>
      <c r="K10" s="676"/>
      <c r="L10" s="690">
        <f ca="1">E10</f>
        <v>0.35</v>
      </c>
      <c r="M10" s="676"/>
      <c r="N10" s="677" t="s">
        <v>941</v>
      </c>
      <c r="O10" s="681"/>
    </row>
    <row r="11" spans="1:261" ht="17" x14ac:dyDescent="0.4">
      <c r="A11" s="956"/>
      <c r="B11" s="676"/>
      <c r="C11" s="671" t="s">
        <v>917</v>
      </c>
      <c r="D11" s="672"/>
      <c r="E11" s="691">
        <f ca="1">E9*(1-E10)</f>
        <v>3.966532312757122E-2</v>
      </c>
      <c r="F11" s="674"/>
      <c r="G11" s="672"/>
      <c r="H11" s="691">
        <f ca="1">H9*(1-H10)</f>
        <v>3.966532312757122E-2</v>
      </c>
      <c r="I11" s="672"/>
      <c r="J11" s="691">
        <f ca="1">J9*(1-J10)</f>
        <v>3.966532312757122E-2</v>
      </c>
      <c r="K11" s="672"/>
      <c r="L11" s="691">
        <f ca="1">L9*(1-L10)</f>
        <v>3.966532312757122E-2</v>
      </c>
      <c r="M11" s="676"/>
      <c r="N11" s="676"/>
      <c r="O11" s="681"/>
    </row>
    <row r="12" spans="1:261" ht="15.5" x14ac:dyDescent="0.35">
      <c r="A12" s="676"/>
      <c r="B12" s="676"/>
      <c r="C12" s="676"/>
      <c r="D12" s="676"/>
      <c r="E12" s="692"/>
      <c r="F12" s="689"/>
      <c r="G12" s="676"/>
      <c r="H12" s="692"/>
      <c r="I12" s="676"/>
      <c r="J12" s="692"/>
      <c r="K12" s="676"/>
      <c r="L12" s="692"/>
      <c r="M12" s="676"/>
      <c r="O12" s="681"/>
    </row>
    <row r="13" spans="1:261" ht="17" x14ac:dyDescent="0.4">
      <c r="A13" s="956" t="s">
        <v>918</v>
      </c>
      <c r="C13" s="676" t="s">
        <v>919</v>
      </c>
      <c r="D13" s="676"/>
      <c r="E13" s="693">
        <v>2.4E-2</v>
      </c>
      <c r="F13" s="689"/>
      <c r="G13" s="676"/>
      <c r="H13" s="694">
        <f>E13</f>
        <v>2.4E-2</v>
      </c>
      <c r="I13" s="676"/>
      <c r="J13" s="694">
        <f>E13</f>
        <v>2.4E-2</v>
      </c>
      <c r="K13" s="676"/>
      <c r="L13" s="694">
        <f>E13</f>
        <v>2.4E-2</v>
      </c>
      <c r="M13" s="676"/>
      <c r="N13" s="677" t="s">
        <v>936</v>
      </c>
      <c r="O13" s="681"/>
    </row>
    <row r="14" spans="1:261" ht="17" x14ac:dyDescent="0.4">
      <c r="A14" s="957"/>
      <c r="C14" s="676" t="s">
        <v>920</v>
      </c>
      <c r="D14" s="676"/>
      <c r="E14" s="695">
        <f ca="1">E25</f>
        <v>1.2</v>
      </c>
      <c r="F14" s="689"/>
      <c r="G14" s="676"/>
      <c r="H14" s="695">
        <f ca="1">H25</f>
        <v>0.8641373697146244</v>
      </c>
      <c r="I14" s="676"/>
      <c r="J14" s="695">
        <f ca="1">J25</f>
        <v>0.77685352622061477</v>
      </c>
      <c r="K14" s="676"/>
      <c r="L14" s="695">
        <f ca="1">L25</f>
        <v>0.60759493670886078</v>
      </c>
      <c r="M14" s="676"/>
      <c r="N14" s="677" t="s">
        <v>921</v>
      </c>
      <c r="O14" s="681"/>
    </row>
    <row r="15" spans="1:261" ht="17" x14ac:dyDescent="0.4">
      <c r="A15" s="957"/>
      <c r="C15" s="696" t="s">
        <v>1068</v>
      </c>
      <c r="D15" s="696"/>
      <c r="E15" s="693">
        <v>7.0000000000000007E-2</v>
      </c>
      <c r="F15" s="697"/>
      <c r="G15" s="696"/>
      <c r="H15" s="694">
        <f>E15</f>
        <v>7.0000000000000007E-2</v>
      </c>
      <c r="I15" s="696"/>
      <c r="J15" s="694">
        <f>E15</f>
        <v>7.0000000000000007E-2</v>
      </c>
      <c r="K15" s="696"/>
      <c r="L15" s="694">
        <f>E15</f>
        <v>7.0000000000000007E-2</v>
      </c>
      <c r="M15" s="696"/>
      <c r="N15" s="677" t="s">
        <v>940</v>
      </c>
      <c r="O15" s="681"/>
    </row>
    <row r="16" spans="1:261" ht="17" x14ac:dyDescent="0.4">
      <c r="A16" s="957"/>
      <c r="C16" s="696" t="s">
        <v>942</v>
      </c>
      <c r="D16" s="696"/>
      <c r="E16" s="693">
        <f>0.135-E15</f>
        <v>6.5000000000000002E-2</v>
      </c>
      <c r="F16" s="697"/>
      <c r="G16" s="696"/>
      <c r="H16" s="694">
        <f>E16</f>
        <v>6.5000000000000002E-2</v>
      </c>
      <c r="I16" s="696"/>
      <c r="J16" s="694">
        <f>E16</f>
        <v>6.5000000000000002E-2</v>
      </c>
      <c r="K16" s="696"/>
      <c r="L16" s="694">
        <f>E16</f>
        <v>6.5000000000000002E-2</v>
      </c>
      <c r="M16" s="696"/>
      <c r="N16" s="677" t="s">
        <v>1096</v>
      </c>
      <c r="O16" s="681"/>
      <c r="P16" s="662" t="s">
        <v>943</v>
      </c>
    </row>
    <row r="17" spans="1:261" ht="17" x14ac:dyDescent="0.4">
      <c r="A17" s="957"/>
      <c r="C17" s="696"/>
      <c r="D17" s="696"/>
      <c r="E17" s="698"/>
      <c r="F17" s="697"/>
      <c r="G17" s="696"/>
      <c r="H17" s="698"/>
      <c r="I17" s="676"/>
      <c r="J17" s="699"/>
      <c r="K17" s="676"/>
      <c r="L17" s="699"/>
      <c r="M17" s="696"/>
      <c r="N17" s="677"/>
      <c r="O17" s="681"/>
    </row>
    <row r="18" spans="1:261" ht="17" x14ac:dyDescent="0.35">
      <c r="A18" s="957"/>
      <c r="B18" s="669"/>
      <c r="C18" s="700" t="s">
        <v>922</v>
      </c>
      <c r="D18" s="675"/>
      <c r="E18" s="701">
        <f ca="1">E13+E14*(E15+E16)</f>
        <v>0.186</v>
      </c>
      <c r="F18" s="702"/>
      <c r="G18" s="675"/>
      <c r="H18" s="701">
        <f ca="1">H13+H14*(H15+H16)</f>
        <v>0.14065854491147431</v>
      </c>
      <c r="I18" s="675"/>
      <c r="J18" s="701">
        <f ca="1">J13+J14*(J15+J16)</f>
        <v>0.12887522603978299</v>
      </c>
      <c r="K18" s="675"/>
      <c r="L18" s="701">
        <f ca="1">L13+L14*(L15+L16)</f>
        <v>0.10602531645569621</v>
      </c>
      <c r="M18" s="676"/>
      <c r="N18" s="676"/>
      <c r="O18" s="679"/>
      <c r="P18" s="669"/>
      <c r="Q18" s="669"/>
      <c r="R18" s="669"/>
      <c r="S18" s="669"/>
      <c r="T18" s="669"/>
      <c r="U18" s="669"/>
      <c r="V18" s="669"/>
      <c r="W18" s="669"/>
      <c r="X18" s="669"/>
      <c r="Y18" s="669"/>
      <c r="Z18" s="669"/>
      <c r="AA18" s="669"/>
      <c r="AB18" s="669"/>
      <c r="AC18" s="669"/>
      <c r="AD18" s="669"/>
      <c r="AE18" s="669"/>
      <c r="AF18" s="669"/>
      <c r="AG18" s="669"/>
      <c r="AH18" s="669"/>
      <c r="AI18" s="669"/>
      <c r="AJ18" s="669"/>
      <c r="AK18" s="669"/>
      <c r="AL18" s="669"/>
      <c r="AM18" s="669"/>
      <c r="AN18" s="669"/>
      <c r="AO18" s="669"/>
      <c r="AP18" s="669"/>
      <c r="AQ18" s="669"/>
      <c r="AR18" s="669"/>
      <c r="AS18" s="669"/>
      <c r="AT18" s="669"/>
      <c r="AU18" s="669"/>
      <c r="AV18" s="669"/>
      <c r="AW18" s="669"/>
      <c r="AX18" s="669"/>
      <c r="AY18" s="669"/>
      <c r="AZ18" s="669"/>
      <c r="BA18" s="669"/>
      <c r="BB18" s="669"/>
      <c r="BC18" s="669"/>
      <c r="BD18" s="669"/>
      <c r="BE18" s="669"/>
      <c r="BF18" s="669"/>
      <c r="BG18" s="669"/>
      <c r="BH18" s="669"/>
      <c r="BI18" s="669"/>
      <c r="BJ18" s="669"/>
      <c r="BK18" s="669"/>
      <c r="BL18" s="669"/>
      <c r="BM18" s="669"/>
      <c r="BN18" s="669"/>
      <c r="BO18" s="669"/>
      <c r="BP18" s="669"/>
      <c r="BQ18" s="669"/>
      <c r="BR18" s="669"/>
      <c r="BS18" s="669"/>
      <c r="BT18" s="669"/>
      <c r="BU18" s="669"/>
      <c r="BV18" s="669"/>
      <c r="BW18" s="669"/>
      <c r="BX18" s="669"/>
      <c r="BY18" s="669"/>
      <c r="BZ18" s="669"/>
      <c r="CA18" s="669"/>
      <c r="CB18" s="669"/>
      <c r="CC18" s="669"/>
      <c r="CD18" s="669"/>
      <c r="CE18" s="669"/>
      <c r="CF18" s="669"/>
      <c r="CG18" s="669"/>
      <c r="CH18" s="669"/>
      <c r="CI18" s="669"/>
      <c r="CJ18" s="669"/>
      <c r="CK18" s="669"/>
      <c r="CL18" s="669"/>
      <c r="CM18" s="669"/>
      <c r="CN18" s="669"/>
      <c r="CO18" s="669"/>
      <c r="CP18" s="669"/>
      <c r="CQ18" s="669"/>
      <c r="CR18" s="669"/>
      <c r="CS18" s="669"/>
      <c r="CT18" s="669"/>
      <c r="CU18" s="669"/>
      <c r="CV18" s="669"/>
      <c r="CW18" s="669"/>
      <c r="CX18" s="669"/>
      <c r="CY18" s="669"/>
      <c r="CZ18" s="669"/>
      <c r="DA18" s="669"/>
      <c r="DB18" s="669"/>
      <c r="DC18" s="669"/>
      <c r="DD18" s="669"/>
      <c r="DE18" s="669"/>
      <c r="DF18" s="669"/>
      <c r="DG18" s="669"/>
      <c r="DH18" s="669"/>
      <c r="DI18" s="669"/>
      <c r="DJ18" s="669"/>
      <c r="DK18" s="669"/>
      <c r="DL18" s="669"/>
      <c r="DM18" s="669"/>
      <c r="DN18" s="669"/>
      <c r="DO18" s="669"/>
      <c r="DP18" s="669"/>
      <c r="DQ18" s="669"/>
      <c r="DR18" s="669"/>
      <c r="DS18" s="669"/>
      <c r="DT18" s="669"/>
      <c r="DU18" s="669"/>
      <c r="DV18" s="669"/>
      <c r="DW18" s="669"/>
      <c r="DX18" s="669"/>
      <c r="DY18" s="669"/>
      <c r="DZ18" s="669"/>
      <c r="EA18" s="669"/>
      <c r="EB18" s="669"/>
      <c r="EC18" s="669"/>
      <c r="ED18" s="669"/>
      <c r="EE18" s="669"/>
      <c r="EF18" s="669"/>
      <c r="EG18" s="669"/>
      <c r="EH18" s="669"/>
      <c r="EI18" s="669"/>
      <c r="EJ18" s="669"/>
      <c r="EK18" s="669"/>
      <c r="EL18" s="669"/>
      <c r="EM18" s="669"/>
      <c r="EN18" s="669"/>
      <c r="EO18" s="669"/>
      <c r="EP18" s="669"/>
      <c r="EQ18" s="669"/>
      <c r="ER18" s="669"/>
      <c r="ES18" s="669"/>
      <c r="ET18" s="669"/>
      <c r="EU18" s="669"/>
      <c r="EV18" s="669"/>
      <c r="EW18" s="669"/>
      <c r="EX18" s="669"/>
      <c r="EY18" s="669"/>
      <c r="EZ18" s="669"/>
      <c r="FA18" s="669"/>
      <c r="FB18" s="669"/>
      <c r="FC18" s="669"/>
      <c r="FD18" s="669"/>
      <c r="FE18" s="669"/>
      <c r="FF18" s="669"/>
      <c r="FG18" s="669"/>
      <c r="FH18" s="669"/>
      <c r="FI18" s="669"/>
      <c r="FJ18" s="669"/>
      <c r="FK18" s="669"/>
      <c r="FL18" s="669"/>
      <c r="FM18" s="669"/>
      <c r="FN18" s="669"/>
      <c r="FO18" s="669"/>
      <c r="FP18" s="669"/>
      <c r="FQ18" s="669"/>
      <c r="FR18" s="669"/>
      <c r="FS18" s="669"/>
      <c r="FT18" s="669"/>
      <c r="FU18" s="669"/>
      <c r="FV18" s="669"/>
      <c r="FW18" s="669"/>
      <c r="FX18" s="669"/>
      <c r="FY18" s="669"/>
      <c r="FZ18" s="669"/>
      <c r="GA18" s="669"/>
      <c r="GB18" s="669"/>
      <c r="GC18" s="669"/>
      <c r="GD18" s="669"/>
      <c r="GE18" s="669"/>
      <c r="GF18" s="669"/>
      <c r="GG18" s="669"/>
      <c r="GH18" s="669"/>
      <c r="GI18" s="669"/>
      <c r="GJ18" s="669"/>
      <c r="GK18" s="669"/>
      <c r="GL18" s="669"/>
      <c r="GM18" s="669"/>
      <c r="GN18" s="669"/>
      <c r="GO18" s="669"/>
      <c r="GP18" s="669"/>
      <c r="GQ18" s="669"/>
      <c r="GR18" s="669"/>
      <c r="GS18" s="669"/>
      <c r="GT18" s="669"/>
      <c r="GU18" s="669"/>
      <c r="GV18" s="669"/>
      <c r="GW18" s="669"/>
      <c r="GX18" s="669"/>
      <c r="GY18" s="669"/>
      <c r="GZ18" s="669"/>
      <c r="HA18" s="669"/>
      <c r="HB18" s="669"/>
      <c r="HC18" s="669"/>
      <c r="HD18" s="669"/>
      <c r="HE18" s="669"/>
      <c r="HF18" s="669"/>
      <c r="HG18" s="669"/>
      <c r="HH18" s="669"/>
      <c r="HI18" s="669"/>
      <c r="HJ18" s="669"/>
      <c r="HK18" s="669"/>
      <c r="HL18" s="669"/>
      <c r="HM18" s="669"/>
      <c r="HN18" s="669"/>
      <c r="HO18" s="669"/>
      <c r="HP18" s="669"/>
      <c r="HQ18" s="669"/>
      <c r="HR18" s="669"/>
      <c r="HS18" s="669"/>
      <c r="HT18" s="669"/>
      <c r="HU18" s="669"/>
      <c r="HV18" s="669"/>
      <c r="HW18" s="669"/>
      <c r="HX18" s="669"/>
      <c r="HY18" s="669"/>
      <c r="HZ18" s="669"/>
      <c r="IA18" s="669"/>
      <c r="IB18" s="669"/>
      <c r="IC18" s="669"/>
      <c r="ID18" s="669"/>
      <c r="IE18" s="669"/>
      <c r="IF18" s="669"/>
      <c r="IG18" s="669"/>
      <c r="IH18" s="669"/>
      <c r="II18" s="669"/>
      <c r="IJ18" s="669"/>
      <c r="IK18" s="669"/>
      <c r="IL18" s="669"/>
      <c r="IM18" s="669"/>
      <c r="IN18" s="669"/>
      <c r="IO18" s="669"/>
      <c r="IP18" s="669"/>
      <c r="IQ18" s="669"/>
      <c r="IR18" s="669"/>
      <c r="IS18" s="669"/>
      <c r="IT18" s="669"/>
      <c r="IU18" s="669"/>
      <c r="IV18" s="669"/>
      <c r="IW18" s="669"/>
      <c r="IX18" s="669"/>
      <c r="IY18" s="669"/>
      <c r="IZ18" s="669"/>
      <c r="JA18" s="669"/>
    </row>
    <row r="19" spans="1:261" ht="14.5" x14ac:dyDescent="0.25">
      <c r="A19" s="958"/>
      <c r="B19" s="669"/>
      <c r="C19" s="703"/>
      <c r="D19" s="696"/>
      <c r="E19" s="704"/>
      <c r="F19" s="697"/>
      <c r="G19" s="696"/>
      <c r="H19" s="704"/>
      <c r="I19" s="696"/>
      <c r="J19" s="704"/>
      <c r="K19" s="696"/>
      <c r="L19" s="704"/>
      <c r="M19" s="696"/>
      <c r="N19" s="704"/>
      <c r="O19" s="669"/>
      <c r="P19" s="669"/>
      <c r="Q19" s="669"/>
      <c r="R19" s="669"/>
      <c r="S19" s="669"/>
      <c r="T19" s="669"/>
      <c r="U19" s="669"/>
      <c r="V19" s="669"/>
      <c r="W19" s="669"/>
      <c r="X19" s="669"/>
      <c r="Y19" s="669"/>
      <c r="Z19" s="669"/>
      <c r="AA19" s="669"/>
      <c r="AB19" s="669"/>
      <c r="AC19" s="669"/>
      <c r="AD19" s="669"/>
      <c r="AE19" s="669"/>
      <c r="AF19" s="669"/>
      <c r="AG19" s="669"/>
      <c r="AH19" s="669"/>
      <c r="AI19" s="669"/>
      <c r="AJ19" s="669"/>
      <c r="AK19" s="669"/>
      <c r="AL19" s="669"/>
      <c r="AM19" s="669"/>
      <c r="AN19" s="669"/>
      <c r="AO19" s="669"/>
      <c r="AP19" s="669"/>
      <c r="AQ19" s="669"/>
      <c r="AR19" s="669"/>
      <c r="AS19" s="669"/>
      <c r="AT19" s="669"/>
      <c r="AU19" s="669"/>
      <c r="AV19" s="669"/>
      <c r="AW19" s="669"/>
      <c r="AX19" s="669"/>
      <c r="AY19" s="669"/>
      <c r="AZ19" s="669"/>
      <c r="BA19" s="669"/>
      <c r="BB19" s="669"/>
      <c r="BC19" s="669"/>
      <c r="BD19" s="669"/>
      <c r="BE19" s="669"/>
      <c r="BF19" s="669"/>
      <c r="BG19" s="669"/>
      <c r="BH19" s="669"/>
      <c r="BI19" s="669"/>
      <c r="BJ19" s="669"/>
      <c r="BK19" s="669"/>
      <c r="BL19" s="669"/>
      <c r="BM19" s="669"/>
      <c r="BN19" s="669"/>
      <c r="BO19" s="669"/>
      <c r="BP19" s="669"/>
      <c r="BQ19" s="669"/>
      <c r="BR19" s="669"/>
      <c r="BS19" s="669"/>
      <c r="BT19" s="669"/>
      <c r="BU19" s="669"/>
      <c r="BV19" s="669"/>
      <c r="BW19" s="669"/>
      <c r="BX19" s="669"/>
      <c r="BY19" s="669"/>
      <c r="BZ19" s="669"/>
      <c r="CA19" s="669"/>
      <c r="CB19" s="669"/>
      <c r="CC19" s="669"/>
      <c r="CD19" s="669"/>
      <c r="CE19" s="669"/>
      <c r="CF19" s="669"/>
      <c r="CG19" s="669"/>
      <c r="CH19" s="669"/>
      <c r="CI19" s="669"/>
      <c r="CJ19" s="669"/>
      <c r="CK19" s="669"/>
      <c r="CL19" s="669"/>
      <c r="CM19" s="669"/>
      <c r="CN19" s="669"/>
      <c r="CO19" s="669"/>
      <c r="CP19" s="669"/>
      <c r="CQ19" s="669"/>
      <c r="CR19" s="669"/>
      <c r="CS19" s="669"/>
      <c r="CT19" s="669"/>
      <c r="CU19" s="669"/>
      <c r="CV19" s="669"/>
      <c r="CW19" s="669"/>
      <c r="CX19" s="669"/>
      <c r="CY19" s="669"/>
      <c r="CZ19" s="669"/>
      <c r="DA19" s="669"/>
      <c r="DB19" s="669"/>
      <c r="DC19" s="669"/>
      <c r="DD19" s="669"/>
      <c r="DE19" s="669"/>
      <c r="DF19" s="669"/>
      <c r="DG19" s="669"/>
      <c r="DH19" s="669"/>
      <c r="DI19" s="669"/>
      <c r="DJ19" s="669"/>
      <c r="DK19" s="669"/>
      <c r="DL19" s="669"/>
      <c r="DM19" s="669"/>
      <c r="DN19" s="669"/>
      <c r="DO19" s="669"/>
      <c r="DP19" s="669"/>
      <c r="DQ19" s="669"/>
      <c r="DR19" s="669"/>
      <c r="DS19" s="669"/>
      <c r="DT19" s="669"/>
      <c r="DU19" s="669"/>
      <c r="DV19" s="669"/>
      <c r="DW19" s="669"/>
      <c r="DX19" s="669"/>
      <c r="DY19" s="669"/>
      <c r="DZ19" s="669"/>
      <c r="EA19" s="669"/>
      <c r="EB19" s="669"/>
      <c r="EC19" s="669"/>
      <c r="ED19" s="669"/>
      <c r="EE19" s="669"/>
      <c r="EF19" s="669"/>
      <c r="EG19" s="669"/>
      <c r="EH19" s="669"/>
      <c r="EI19" s="669"/>
      <c r="EJ19" s="669"/>
      <c r="EK19" s="669"/>
      <c r="EL19" s="669"/>
      <c r="EM19" s="669"/>
      <c r="EN19" s="669"/>
      <c r="EO19" s="669"/>
      <c r="EP19" s="669"/>
      <c r="EQ19" s="669"/>
      <c r="ER19" s="669"/>
      <c r="ES19" s="669"/>
      <c r="ET19" s="669"/>
      <c r="EU19" s="669"/>
      <c r="EV19" s="669"/>
      <c r="EW19" s="669"/>
      <c r="EX19" s="669"/>
      <c r="EY19" s="669"/>
      <c r="EZ19" s="669"/>
      <c r="FA19" s="669"/>
      <c r="FB19" s="669"/>
      <c r="FC19" s="669"/>
      <c r="FD19" s="669"/>
      <c r="FE19" s="669"/>
      <c r="FF19" s="669"/>
      <c r="FG19" s="669"/>
      <c r="FH19" s="669"/>
      <c r="FI19" s="669"/>
      <c r="FJ19" s="669"/>
      <c r="FK19" s="669"/>
      <c r="FL19" s="669"/>
      <c r="FM19" s="669"/>
      <c r="FN19" s="669"/>
      <c r="FO19" s="669"/>
      <c r="FP19" s="669"/>
      <c r="FQ19" s="669"/>
      <c r="FR19" s="669"/>
      <c r="FS19" s="669"/>
      <c r="FT19" s="669"/>
      <c r="FU19" s="669"/>
      <c r="FV19" s="669"/>
      <c r="FW19" s="669"/>
      <c r="FX19" s="669"/>
      <c r="FY19" s="669"/>
      <c r="FZ19" s="669"/>
      <c r="GA19" s="669"/>
      <c r="GB19" s="669"/>
      <c r="GC19" s="669"/>
      <c r="GD19" s="669"/>
      <c r="GE19" s="669"/>
      <c r="GF19" s="669"/>
      <c r="GG19" s="669"/>
      <c r="GH19" s="669"/>
      <c r="GI19" s="669"/>
      <c r="GJ19" s="669"/>
      <c r="GK19" s="669"/>
      <c r="GL19" s="669"/>
      <c r="GM19" s="669"/>
      <c r="GN19" s="669"/>
      <c r="GO19" s="669"/>
      <c r="GP19" s="669"/>
      <c r="GQ19" s="669"/>
      <c r="GR19" s="669"/>
      <c r="GS19" s="669"/>
      <c r="GT19" s="669"/>
      <c r="GU19" s="669"/>
      <c r="GV19" s="669"/>
      <c r="GW19" s="669"/>
      <c r="GX19" s="669"/>
      <c r="GY19" s="669"/>
      <c r="GZ19" s="669"/>
      <c r="HA19" s="669"/>
      <c r="HB19" s="669"/>
      <c r="HC19" s="669"/>
      <c r="HD19" s="669"/>
      <c r="HE19" s="669"/>
      <c r="HF19" s="669"/>
      <c r="HG19" s="669"/>
      <c r="HH19" s="669"/>
      <c r="HI19" s="669"/>
      <c r="HJ19" s="669"/>
      <c r="HK19" s="669"/>
      <c r="HL19" s="669"/>
      <c r="HM19" s="669"/>
      <c r="HN19" s="669"/>
      <c r="HO19" s="669"/>
      <c r="HP19" s="669"/>
      <c r="HQ19" s="669"/>
      <c r="HR19" s="669"/>
      <c r="HS19" s="669"/>
      <c r="HT19" s="669"/>
      <c r="HU19" s="669"/>
      <c r="HV19" s="669"/>
      <c r="HW19" s="669"/>
      <c r="HX19" s="669"/>
      <c r="HY19" s="669"/>
      <c r="HZ19" s="669"/>
      <c r="IA19" s="669"/>
      <c r="IB19" s="669"/>
      <c r="IC19" s="669"/>
      <c r="ID19" s="669"/>
      <c r="IE19" s="669"/>
      <c r="IF19" s="669"/>
      <c r="IG19" s="669"/>
      <c r="IH19" s="669"/>
      <c r="II19" s="669"/>
      <c r="IJ19" s="669"/>
      <c r="IK19" s="669"/>
      <c r="IL19" s="669"/>
      <c r="IM19" s="669"/>
      <c r="IN19" s="669"/>
      <c r="IO19" s="669"/>
      <c r="IP19" s="669"/>
      <c r="IQ19" s="669"/>
      <c r="IR19" s="669"/>
      <c r="IS19" s="669"/>
      <c r="IT19" s="669"/>
      <c r="IU19" s="669"/>
      <c r="IV19" s="669"/>
      <c r="IW19" s="669"/>
      <c r="IX19" s="669"/>
      <c r="IY19" s="669"/>
      <c r="IZ19" s="669"/>
      <c r="JA19" s="669"/>
    </row>
    <row r="20" spans="1:261" ht="14.5" x14ac:dyDescent="0.3">
      <c r="A20" s="958"/>
      <c r="B20" s="669"/>
      <c r="C20" s="705" t="s">
        <v>923</v>
      </c>
      <c r="D20" s="696"/>
      <c r="E20" s="704"/>
      <c r="F20" s="697"/>
      <c r="G20" s="696"/>
      <c r="H20" s="704"/>
      <c r="I20" s="696"/>
      <c r="J20" s="704"/>
      <c r="K20" s="696"/>
      <c r="L20" s="704"/>
      <c r="M20" s="696"/>
      <c r="N20" s="704"/>
      <c r="O20" s="669"/>
      <c r="P20" s="669"/>
      <c r="Q20" s="669"/>
      <c r="R20" s="669"/>
      <c r="S20" s="669"/>
      <c r="T20" s="669"/>
      <c r="U20" s="669"/>
      <c r="V20" s="669"/>
      <c r="W20" s="669"/>
      <c r="X20" s="669"/>
      <c r="Y20" s="669"/>
      <c r="Z20" s="669"/>
      <c r="AA20" s="669"/>
      <c r="AB20" s="669"/>
      <c r="AC20" s="669"/>
      <c r="AD20" s="669"/>
      <c r="AE20" s="669"/>
      <c r="AF20" s="669"/>
      <c r="AG20" s="669"/>
      <c r="AH20" s="669"/>
      <c r="AI20" s="669"/>
      <c r="AJ20" s="669"/>
      <c r="AK20" s="669"/>
      <c r="AL20" s="669"/>
      <c r="AM20" s="669"/>
      <c r="AN20" s="669"/>
      <c r="AO20" s="669"/>
      <c r="AP20" s="669"/>
      <c r="AQ20" s="669"/>
      <c r="AR20" s="669"/>
      <c r="AS20" s="669"/>
      <c r="AT20" s="669"/>
      <c r="AU20" s="669"/>
      <c r="AV20" s="669"/>
      <c r="AW20" s="669"/>
      <c r="AX20" s="669"/>
      <c r="AY20" s="669"/>
      <c r="AZ20" s="669"/>
      <c r="BA20" s="669"/>
      <c r="BB20" s="669"/>
      <c r="BC20" s="669"/>
      <c r="BD20" s="669"/>
      <c r="BE20" s="669"/>
      <c r="BF20" s="669"/>
      <c r="BG20" s="669"/>
      <c r="BH20" s="669"/>
      <c r="BI20" s="669"/>
      <c r="BJ20" s="669"/>
      <c r="BK20" s="669"/>
      <c r="BL20" s="669"/>
      <c r="BM20" s="669"/>
      <c r="BN20" s="669"/>
      <c r="BO20" s="669"/>
      <c r="BP20" s="669"/>
      <c r="BQ20" s="669"/>
      <c r="BR20" s="669"/>
      <c r="BS20" s="669"/>
      <c r="BT20" s="669"/>
      <c r="BU20" s="669"/>
      <c r="BV20" s="669"/>
      <c r="BW20" s="669"/>
      <c r="BX20" s="669"/>
      <c r="BY20" s="669"/>
      <c r="BZ20" s="669"/>
      <c r="CA20" s="669"/>
      <c r="CB20" s="669"/>
      <c r="CC20" s="669"/>
      <c r="CD20" s="669"/>
      <c r="CE20" s="669"/>
      <c r="CF20" s="669"/>
      <c r="CG20" s="669"/>
      <c r="CH20" s="669"/>
      <c r="CI20" s="669"/>
      <c r="CJ20" s="669"/>
      <c r="CK20" s="669"/>
      <c r="CL20" s="669"/>
      <c r="CM20" s="669"/>
      <c r="CN20" s="669"/>
      <c r="CO20" s="669"/>
      <c r="CP20" s="669"/>
      <c r="CQ20" s="669"/>
      <c r="CR20" s="669"/>
      <c r="CS20" s="669"/>
      <c r="CT20" s="669"/>
      <c r="CU20" s="669"/>
      <c r="CV20" s="669"/>
      <c r="CW20" s="669"/>
      <c r="CX20" s="669"/>
      <c r="CY20" s="669"/>
      <c r="CZ20" s="669"/>
      <c r="DA20" s="669"/>
      <c r="DB20" s="669"/>
      <c r="DC20" s="669"/>
      <c r="DD20" s="669"/>
      <c r="DE20" s="669"/>
      <c r="DF20" s="669"/>
      <c r="DG20" s="669"/>
      <c r="DH20" s="669"/>
      <c r="DI20" s="669"/>
      <c r="DJ20" s="669"/>
      <c r="DK20" s="669"/>
      <c r="DL20" s="669"/>
      <c r="DM20" s="669"/>
      <c r="DN20" s="669"/>
      <c r="DO20" s="669"/>
      <c r="DP20" s="669"/>
      <c r="DQ20" s="669"/>
      <c r="DR20" s="669"/>
      <c r="DS20" s="669"/>
      <c r="DT20" s="669"/>
      <c r="DU20" s="669"/>
      <c r="DV20" s="669"/>
      <c r="DW20" s="669"/>
      <c r="DX20" s="669"/>
      <c r="DY20" s="669"/>
      <c r="DZ20" s="669"/>
      <c r="EA20" s="669"/>
      <c r="EB20" s="669"/>
      <c r="EC20" s="669"/>
      <c r="ED20" s="669"/>
      <c r="EE20" s="669"/>
      <c r="EF20" s="669"/>
      <c r="EG20" s="669"/>
      <c r="EH20" s="669"/>
      <c r="EI20" s="669"/>
      <c r="EJ20" s="669"/>
      <c r="EK20" s="669"/>
      <c r="EL20" s="669"/>
      <c r="EM20" s="669"/>
      <c r="EN20" s="669"/>
      <c r="EO20" s="669"/>
      <c r="EP20" s="669"/>
      <c r="EQ20" s="669"/>
      <c r="ER20" s="669"/>
      <c r="ES20" s="669"/>
      <c r="ET20" s="669"/>
      <c r="EU20" s="669"/>
      <c r="EV20" s="669"/>
      <c r="EW20" s="669"/>
      <c r="EX20" s="669"/>
      <c r="EY20" s="669"/>
      <c r="EZ20" s="669"/>
      <c r="FA20" s="669"/>
      <c r="FB20" s="669"/>
      <c r="FC20" s="669"/>
      <c r="FD20" s="669"/>
      <c r="FE20" s="669"/>
      <c r="FF20" s="669"/>
      <c r="FG20" s="669"/>
      <c r="FH20" s="669"/>
      <c r="FI20" s="669"/>
      <c r="FJ20" s="669"/>
      <c r="FK20" s="669"/>
      <c r="FL20" s="669"/>
      <c r="FM20" s="669"/>
      <c r="FN20" s="669"/>
      <c r="FO20" s="669"/>
      <c r="FP20" s="669"/>
      <c r="FQ20" s="669"/>
      <c r="FR20" s="669"/>
      <c r="FS20" s="669"/>
      <c r="FT20" s="669"/>
      <c r="FU20" s="669"/>
      <c r="FV20" s="669"/>
      <c r="FW20" s="669"/>
      <c r="FX20" s="669"/>
      <c r="FY20" s="669"/>
      <c r="FZ20" s="669"/>
      <c r="GA20" s="669"/>
      <c r="GB20" s="669"/>
      <c r="GC20" s="669"/>
      <c r="GD20" s="669"/>
      <c r="GE20" s="669"/>
      <c r="GF20" s="669"/>
      <c r="GG20" s="669"/>
      <c r="GH20" s="669"/>
      <c r="GI20" s="669"/>
      <c r="GJ20" s="669"/>
      <c r="GK20" s="669"/>
      <c r="GL20" s="669"/>
      <c r="GM20" s="669"/>
      <c r="GN20" s="669"/>
      <c r="GO20" s="669"/>
      <c r="GP20" s="669"/>
      <c r="GQ20" s="669"/>
      <c r="GR20" s="669"/>
      <c r="GS20" s="669"/>
      <c r="GT20" s="669"/>
      <c r="GU20" s="669"/>
      <c r="GV20" s="669"/>
      <c r="GW20" s="669"/>
      <c r="GX20" s="669"/>
      <c r="GY20" s="669"/>
      <c r="GZ20" s="669"/>
      <c r="HA20" s="669"/>
      <c r="HB20" s="669"/>
      <c r="HC20" s="669"/>
      <c r="HD20" s="669"/>
      <c r="HE20" s="669"/>
      <c r="HF20" s="669"/>
      <c r="HG20" s="669"/>
      <c r="HH20" s="669"/>
      <c r="HI20" s="669"/>
      <c r="HJ20" s="669"/>
      <c r="HK20" s="669"/>
      <c r="HL20" s="669"/>
      <c r="HM20" s="669"/>
      <c r="HN20" s="669"/>
      <c r="HO20" s="669"/>
      <c r="HP20" s="669"/>
      <c r="HQ20" s="669"/>
      <c r="HR20" s="669"/>
      <c r="HS20" s="669"/>
      <c r="HT20" s="669"/>
      <c r="HU20" s="669"/>
      <c r="HV20" s="669"/>
      <c r="HW20" s="669"/>
      <c r="HX20" s="669"/>
      <c r="HY20" s="669"/>
      <c r="HZ20" s="669"/>
      <c r="IA20" s="669"/>
      <c r="IB20" s="669"/>
      <c r="IC20" s="669"/>
      <c r="ID20" s="669"/>
      <c r="IE20" s="669"/>
      <c r="IF20" s="669"/>
      <c r="IG20" s="669"/>
      <c r="IH20" s="669"/>
      <c r="II20" s="669"/>
      <c r="IJ20" s="669"/>
      <c r="IK20" s="669"/>
      <c r="IL20" s="669"/>
      <c r="IM20" s="669"/>
      <c r="IN20" s="669"/>
      <c r="IO20" s="669"/>
      <c r="IP20" s="669"/>
      <c r="IQ20" s="669"/>
      <c r="IR20" s="669"/>
      <c r="IS20" s="669"/>
      <c r="IT20" s="669"/>
      <c r="IU20" s="669"/>
      <c r="IV20" s="669"/>
      <c r="IW20" s="669"/>
      <c r="IX20" s="669"/>
      <c r="IY20" s="669"/>
      <c r="IZ20" s="669"/>
      <c r="JA20" s="669"/>
    </row>
    <row r="21" spans="1:261" ht="14.5" x14ac:dyDescent="0.35">
      <c r="A21" s="958"/>
      <c r="B21" s="669"/>
      <c r="C21" s="669" t="s">
        <v>924</v>
      </c>
      <c r="D21" s="669"/>
      <c r="E21" s="706">
        <v>1.2</v>
      </c>
      <c r="F21" s="670"/>
      <c r="G21" s="669"/>
      <c r="H21" s="707">
        <f>$E21</f>
        <v>1.2</v>
      </c>
      <c r="I21" s="707"/>
      <c r="J21" s="707">
        <f>$E21</f>
        <v>1.2</v>
      </c>
      <c r="K21" s="707"/>
      <c r="L21" s="707">
        <f>$E21</f>
        <v>1.2</v>
      </c>
      <c r="M21" s="696"/>
      <c r="N21" s="677" t="s">
        <v>939</v>
      </c>
      <c r="O21" s="669"/>
      <c r="P21" s="708"/>
      <c r="Q21" s="669"/>
      <c r="R21" s="669"/>
      <c r="S21" s="669"/>
      <c r="T21" s="669"/>
      <c r="U21" s="669"/>
      <c r="V21" s="669"/>
      <c r="W21" s="669"/>
      <c r="X21" s="669"/>
      <c r="Y21" s="669"/>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669"/>
      <c r="CW21" s="669"/>
      <c r="CX21" s="669"/>
      <c r="CY21" s="669"/>
      <c r="CZ21" s="669"/>
      <c r="DA21" s="669"/>
      <c r="DB21" s="669"/>
      <c r="DC21" s="669"/>
      <c r="DD21" s="669"/>
      <c r="DE21" s="669"/>
      <c r="DF21" s="669"/>
      <c r="DG21" s="669"/>
      <c r="DH21" s="669"/>
      <c r="DI21" s="669"/>
      <c r="DJ21" s="669"/>
      <c r="DK21" s="669"/>
      <c r="DL21" s="669"/>
      <c r="DM21" s="669"/>
      <c r="DN21" s="669"/>
      <c r="DO21" s="669"/>
      <c r="DP21" s="669"/>
      <c r="DQ21" s="669"/>
      <c r="DR21" s="669"/>
      <c r="DS21" s="669"/>
      <c r="DT21" s="669"/>
      <c r="DU21" s="669"/>
      <c r="DV21" s="669"/>
      <c r="DW21" s="669"/>
      <c r="DX21" s="669"/>
      <c r="DY21" s="669"/>
      <c r="DZ21" s="669"/>
      <c r="EA21" s="669"/>
      <c r="EB21" s="669"/>
      <c r="EC21" s="669"/>
      <c r="ED21" s="669"/>
      <c r="EE21" s="669"/>
      <c r="EF21" s="669"/>
      <c r="EG21" s="669"/>
      <c r="EH21" s="669"/>
      <c r="EI21" s="669"/>
      <c r="EJ21" s="669"/>
      <c r="EK21" s="669"/>
      <c r="EL21" s="669"/>
      <c r="EM21" s="669"/>
      <c r="EN21" s="669"/>
      <c r="EO21" s="669"/>
      <c r="EP21" s="669"/>
      <c r="EQ21" s="669"/>
      <c r="ER21" s="669"/>
      <c r="ES21" s="669"/>
      <c r="ET21" s="669"/>
      <c r="EU21" s="669"/>
      <c r="EV21" s="669"/>
      <c r="EW21" s="669"/>
      <c r="EX21" s="669"/>
      <c r="EY21" s="669"/>
      <c r="EZ21" s="669"/>
      <c r="FA21" s="669"/>
      <c r="FB21" s="669"/>
      <c r="FC21" s="669"/>
      <c r="FD21" s="669"/>
      <c r="FE21" s="669"/>
      <c r="FF21" s="669"/>
      <c r="FG21" s="669"/>
      <c r="FH21" s="669"/>
      <c r="FI21" s="669"/>
      <c r="FJ21" s="669"/>
      <c r="FK21" s="669"/>
      <c r="FL21" s="669"/>
      <c r="FM21" s="669"/>
      <c r="FN21" s="669"/>
      <c r="FO21" s="669"/>
      <c r="FP21" s="669"/>
      <c r="FQ21" s="669"/>
      <c r="FR21" s="669"/>
      <c r="FS21" s="669"/>
      <c r="FT21" s="669"/>
      <c r="FU21" s="669"/>
      <c r="FV21" s="669"/>
      <c r="FW21" s="669"/>
      <c r="FX21" s="669"/>
      <c r="FY21" s="669"/>
      <c r="FZ21" s="669"/>
      <c r="GA21" s="669"/>
      <c r="GB21" s="669"/>
      <c r="GC21" s="669"/>
      <c r="GD21" s="669"/>
      <c r="GE21" s="669"/>
      <c r="GF21" s="669"/>
      <c r="GG21" s="669"/>
      <c r="GH21" s="669"/>
      <c r="GI21" s="669"/>
      <c r="GJ21" s="669"/>
      <c r="GK21" s="669"/>
      <c r="GL21" s="669"/>
      <c r="GM21" s="669"/>
      <c r="GN21" s="669"/>
      <c r="GO21" s="669"/>
      <c r="GP21" s="669"/>
      <c r="GQ21" s="669"/>
      <c r="GR21" s="669"/>
      <c r="GS21" s="669"/>
      <c r="GT21" s="669"/>
      <c r="GU21" s="669"/>
      <c r="GV21" s="669"/>
      <c r="GW21" s="669"/>
      <c r="GX21" s="669"/>
      <c r="GY21" s="669"/>
      <c r="GZ21" s="669"/>
      <c r="HA21" s="669"/>
      <c r="HB21" s="669"/>
      <c r="HC21" s="669"/>
      <c r="HD21" s="669"/>
      <c r="HE21" s="669"/>
      <c r="HF21" s="669"/>
      <c r="HG21" s="669"/>
      <c r="HH21" s="669"/>
      <c r="HI21" s="669"/>
      <c r="HJ21" s="669"/>
      <c r="HK21" s="669"/>
      <c r="HL21" s="669"/>
      <c r="HM21" s="669"/>
      <c r="HN21" s="669"/>
      <c r="HO21" s="669"/>
      <c r="HP21" s="669"/>
      <c r="HQ21" s="669"/>
      <c r="HR21" s="669"/>
      <c r="HS21" s="669"/>
      <c r="HT21" s="669"/>
      <c r="HU21" s="669"/>
      <c r="HV21" s="669"/>
      <c r="HW21" s="669"/>
      <c r="HX21" s="669"/>
      <c r="HY21" s="669"/>
      <c r="HZ21" s="669"/>
      <c r="IA21" s="669"/>
      <c r="IB21" s="669"/>
      <c r="IC21" s="669"/>
      <c r="ID21" s="669"/>
      <c r="IE21" s="669"/>
      <c r="IF21" s="669"/>
      <c r="IG21" s="669"/>
      <c r="IH21" s="669"/>
      <c r="II21" s="669"/>
      <c r="IJ21" s="669"/>
      <c r="IK21" s="669"/>
      <c r="IL21" s="669"/>
      <c r="IM21" s="669"/>
      <c r="IN21" s="669"/>
      <c r="IO21" s="669"/>
      <c r="IP21" s="669"/>
      <c r="IQ21" s="669"/>
      <c r="IR21" s="669"/>
      <c r="IS21" s="669"/>
      <c r="IT21" s="669"/>
      <c r="IU21" s="669"/>
      <c r="IV21" s="669"/>
      <c r="IW21" s="669"/>
      <c r="IX21" s="669"/>
      <c r="IY21" s="669"/>
      <c r="IZ21" s="669"/>
      <c r="JA21" s="669"/>
    </row>
    <row r="22" spans="1:261" ht="14.5" x14ac:dyDescent="0.35">
      <c r="A22" s="958"/>
      <c r="B22" s="669"/>
      <c r="C22" s="669" t="s">
        <v>925</v>
      </c>
      <c r="D22" s="669"/>
      <c r="E22" s="709">
        <f>E5</f>
        <v>1.4999999999999998</v>
      </c>
      <c r="F22" s="670"/>
      <c r="G22" s="669"/>
      <c r="H22" s="709">
        <f>E22</f>
        <v>1.4999999999999998</v>
      </c>
      <c r="I22" s="696"/>
      <c r="J22" s="709">
        <f>E22</f>
        <v>1.4999999999999998</v>
      </c>
      <c r="K22" s="696"/>
      <c r="L22" s="709">
        <f>E22</f>
        <v>1.4999999999999998</v>
      </c>
      <c r="M22" s="696"/>
      <c r="N22" s="677" t="s">
        <v>1014</v>
      </c>
      <c r="O22" s="669"/>
      <c r="P22" s="710"/>
      <c r="Q22" s="669"/>
      <c r="R22" s="669"/>
      <c r="S22" s="669"/>
      <c r="T22" s="669"/>
      <c r="U22" s="669"/>
      <c r="V22" s="669"/>
      <c r="W22" s="669"/>
      <c r="X22" s="669"/>
      <c r="Y22" s="669"/>
      <c r="Z22" s="669"/>
      <c r="AA22" s="669"/>
      <c r="AB22" s="669"/>
      <c r="AC22" s="669"/>
      <c r="AD22" s="669"/>
      <c r="AE22" s="669"/>
      <c r="AF22" s="669"/>
      <c r="AG22" s="669"/>
      <c r="AH22" s="669"/>
      <c r="AI22" s="669"/>
      <c r="AJ22" s="669"/>
      <c r="AK22" s="669"/>
      <c r="AL22" s="669"/>
      <c r="AM22" s="669"/>
      <c r="AN22" s="669"/>
      <c r="AO22" s="669"/>
      <c r="AP22" s="669"/>
      <c r="AQ22" s="669"/>
      <c r="AR22" s="669"/>
      <c r="AS22" s="669"/>
      <c r="AT22" s="669"/>
      <c r="AU22" s="669"/>
      <c r="AV22" s="669"/>
      <c r="AW22" s="669"/>
      <c r="AX22" s="669"/>
      <c r="AY22" s="669"/>
      <c r="AZ22" s="669"/>
      <c r="BA22" s="669"/>
      <c r="BB22" s="669"/>
      <c r="BC22" s="669"/>
      <c r="BD22" s="669"/>
      <c r="BE22" s="669"/>
      <c r="BF22" s="669"/>
      <c r="BG22" s="669"/>
      <c r="BH22" s="669"/>
      <c r="BI22" s="669"/>
      <c r="BJ22" s="669"/>
      <c r="BK22" s="669"/>
      <c r="BL22" s="669"/>
      <c r="BM22" s="669"/>
      <c r="BN22" s="669"/>
      <c r="BO22" s="669"/>
      <c r="BP22" s="669"/>
      <c r="BQ22" s="669"/>
      <c r="BR22" s="669"/>
      <c r="BS22" s="669"/>
      <c r="BT22" s="669"/>
      <c r="BU22" s="669"/>
      <c r="BV22" s="669"/>
      <c r="BW22" s="669"/>
      <c r="BX22" s="669"/>
      <c r="BY22" s="669"/>
      <c r="BZ22" s="669"/>
      <c r="CA22" s="669"/>
      <c r="CB22" s="669"/>
      <c r="CC22" s="669"/>
      <c r="CD22" s="669"/>
      <c r="CE22" s="669"/>
      <c r="CF22" s="669"/>
      <c r="CG22" s="669"/>
      <c r="CH22" s="669"/>
      <c r="CI22" s="669"/>
      <c r="CJ22" s="669"/>
      <c r="CK22" s="669"/>
      <c r="CL22" s="669"/>
      <c r="CM22" s="669"/>
      <c r="CN22" s="669"/>
      <c r="CO22" s="669"/>
      <c r="CP22" s="669"/>
      <c r="CQ22" s="669"/>
      <c r="CR22" s="669"/>
      <c r="CS22" s="669"/>
      <c r="CT22" s="669"/>
      <c r="CU22" s="669"/>
      <c r="CV22" s="669"/>
      <c r="CW22" s="669"/>
      <c r="CX22" s="669"/>
      <c r="CY22" s="669"/>
      <c r="CZ22" s="669"/>
      <c r="DA22" s="669"/>
      <c r="DB22" s="669"/>
      <c r="DC22" s="669"/>
      <c r="DD22" s="669"/>
      <c r="DE22" s="669"/>
      <c r="DF22" s="669"/>
      <c r="DG22" s="669"/>
      <c r="DH22" s="669"/>
      <c r="DI22" s="669"/>
      <c r="DJ22" s="669"/>
      <c r="DK22" s="669"/>
      <c r="DL22" s="669"/>
      <c r="DM22" s="669"/>
      <c r="DN22" s="669"/>
      <c r="DO22" s="669"/>
      <c r="DP22" s="669"/>
      <c r="DQ22" s="669"/>
      <c r="DR22" s="669"/>
      <c r="DS22" s="669"/>
      <c r="DT22" s="669"/>
      <c r="DU22" s="669"/>
      <c r="DV22" s="669"/>
      <c r="DW22" s="669"/>
      <c r="DX22" s="669"/>
      <c r="DY22" s="669"/>
      <c r="DZ22" s="669"/>
      <c r="EA22" s="669"/>
      <c r="EB22" s="669"/>
      <c r="EC22" s="669"/>
      <c r="ED22" s="669"/>
      <c r="EE22" s="669"/>
      <c r="EF22" s="669"/>
      <c r="EG22" s="669"/>
      <c r="EH22" s="669"/>
      <c r="EI22" s="669"/>
      <c r="EJ22" s="669"/>
      <c r="EK22" s="669"/>
      <c r="EL22" s="669"/>
      <c r="EM22" s="669"/>
      <c r="EN22" s="669"/>
      <c r="EO22" s="669"/>
      <c r="EP22" s="669"/>
      <c r="EQ22" s="669"/>
      <c r="ER22" s="669"/>
      <c r="ES22" s="669"/>
      <c r="ET22" s="669"/>
      <c r="EU22" s="669"/>
      <c r="EV22" s="669"/>
      <c r="EW22" s="669"/>
      <c r="EX22" s="669"/>
      <c r="EY22" s="669"/>
      <c r="EZ22" s="669"/>
      <c r="FA22" s="669"/>
      <c r="FB22" s="669"/>
      <c r="FC22" s="669"/>
      <c r="FD22" s="669"/>
      <c r="FE22" s="669"/>
      <c r="FF22" s="669"/>
      <c r="FG22" s="669"/>
      <c r="FH22" s="669"/>
      <c r="FI22" s="669"/>
      <c r="FJ22" s="669"/>
      <c r="FK22" s="669"/>
      <c r="FL22" s="669"/>
      <c r="FM22" s="669"/>
      <c r="FN22" s="669"/>
      <c r="FO22" s="669"/>
      <c r="FP22" s="669"/>
      <c r="FQ22" s="669"/>
      <c r="FR22" s="669"/>
      <c r="FS22" s="669"/>
      <c r="FT22" s="669"/>
      <c r="FU22" s="669"/>
      <c r="FV22" s="669"/>
      <c r="FW22" s="669"/>
      <c r="FX22" s="669"/>
      <c r="FY22" s="669"/>
      <c r="FZ22" s="669"/>
      <c r="GA22" s="669"/>
      <c r="GB22" s="669"/>
      <c r="GC22" s="669"/>
      <c r="GD22" s="669"/>
      <c r="GE22" s="669"/>
      <c r="GF22" s="669"/>
      <c r="GG22" s="669"/>
      <c r="GH22" s="669"/>
      <c r="GI22" s="669"/>
      <c r="GJ22" s="669"/>
      <c r="GK22" s="669"/>
      <c r="GL22" s="669"/>
      <c r="GM22" s="669"/>
      <c r="GN22" s="669"/>
      <c r="GO22" s="669"/>
      <c r="GP22" s="669"/>
      <c r="GQ22" s="669"/>
      <c r="GR22" s="669"/>
      <c r="GS22" s="669"/>
      <c r="GT22" s="669"/>
      <c r="GU22" s="669"/>
      <c r="GV22" s="669"/>
      <c r="GW22" s="669"/>
      <c r="GX22" s="669"/>
      <c r="GY22" s="669"/>
      <c r="GZ22" s="669"/>
      <c r="HA22" s="669"/>
      <c r="HB22" s="669"/>
      <c r="HC22" s="669"/>
      <c r="HD22" s="669"/>
      <c r="HE22" s="669"/>
      <c r="HF22" s="669"/>
      <c r="HG22" s="669"/>
      <c r="HH22" s="669"/>
      <c r="HI22" s="669"/>
      <c r="HJ22" s="669"/>
      <c r="HK22" s="669"/>
      <c r="HL22" s="669"/>
      <c r="HM22" s="669"/>
      <c r="HN22" s="669"/>
      <c r="HO22" s="669"/>
      <c r="HP22" s="669"/>
      <c r="HQ22" s="669"/>
      <c r="HR22" s="669"/>
      <c r="HS22" s="669"/>
      <c r="HT22" s="669"/>
      <c r="HU22" s="669"/>
      <c r="HV22" s="669"/>
      <c r="HW22" s="669"/>
      <c r="HX22" s="669"/>
      <c r="HY22" s="669"/>
      <c r="HZ22" s="669"/>
      <c r="IA22" s="669"/>
      <c r="IB22" s="669"/>
      <c r="IC22" s="669"/>
      <c r="ID22" s="669"/>
      <c r="IE22" s="669"/>
      <c r="IF22" s="669"/>
      <c r="IG22" s="669"/>
      <c r="IH22" s="669"/>
      <c r="II22" s="669"/>
      <c r="IJ22" s="669"/>
      <c r="IK22" s="669"/>
      <c r="IL22" s="669"/>
      <c r="IM22" s="669"/>
      <c r="IN22" s="669"/>
      <c r="IO22" s="669"/>
      <c r="IP22" s="669"/>
      <c r="IQ22" s="669"/>
      <c r="IR22" s="669"/>
      <c r="IS22" s="669"/>
      <c r="IT22" s="669"/>
      <c r="IU22" s="669"/>
      <c r="IV22" s="669"/>
      <c r="IW22" s="669"/>
      <c r="IX22" s="669"/>
      <c r="IY22" s="669"/>
      <c r="IZ22" s="669"/>
      <c r="JA22" s="669"/>
    </row>
    <row r="23" spans="1:261" ht="14.5" x14ac:dyDescent="0.35">
      <c r="A23" s="958"/>
      <c r="B23" s="669"/>
      <c r="C23" s="669" t="s">
        <v>926</v>
      </c>
      <c r="D23" s="669"/>
      <c r="E23" s="707">
        <f ca="1">E21/(1+((1-E10)*E22))</f>
        <v>0.60759493670886078</v>
      </c>
      <c r="F23" s="670"/>
      <c r="G23" s="669"/>
      <c r="H23" s="707">
        <f ca="1">H21/(1+((1-H10)*H22))</f>
        <v>0.60759493670886078</v>
      </c>
      <c r="I23" s="696"/>
      <c r="J23" s="707">
        <f ca="1">J21/(1+((1-J10)*J22))</f>
        <v>0.60759493670886078</v>
      </c>
      <c r="K23" s="696"/>
      <c r="L23" s="707">
        <f ca="1">L21/(1+((1-L10)*L22))</f>
        <v>0.60759493670886078</v>
      </c>
      <c r="M23" s="696"/>
      <c r="N23" s="711" t="s">
        <v>927</v>
      </c>
      <c r="O23" s="711"/>
      <c r="P23" s="669"/>
      <c r="Q23" s="669"/>
      <c r="R23" s="669"/>
      <c r="S23" s="669"/>
      <c r="T23" s="669"/>
      <c r="U23" s="669"/>
      <c r="V23" s="669"/>
      <c r="W23" s="669"/>
      <c r="X23" s="669"/>
      <c r="Y23" s="669"/>
      <c r="Z23" s="669"/>
      <c r="AA23" s="669"/>
      <c r="AB23" s="669"/>
      <c r="AC23" s="669"/>
      <c r="AD23" s="669"/>
      <c r="AE23" s="669"/>
      <c r="AF23" s="669"/>
      <c r="AG23" s="669"/>
      <c r="AH23" s="669"/>
      <c r="AI23" s="669"/>
      <c r="AJ23" s="669"/>
      <c r="AK23" s="669"/>
      <c r="AL23" s="669"/>
      <c r="AM23" s="669"/>
      <c r="AN23" s="669"/>
      <c r="AO23" s="669"/>
      <c r="AP23" s="669"/>
      <c r="AQ23" s="669"/>
      <c r="AR23" s="669"/>
      <c r="AS23" s="669"/>
      <c r="AT23" s="669"/>
      <c r="AU23" s="669"/>
      <c r="AV23" s="669"/>
      <c r="AW23" s="669"/>
      <c r="AX23" s="669"/>
      <c r="AY23" s="669"/>
      <c r="AZ23" s="669"/>
      <c r="BA23" s="669"/>
      <c r="BB23" s="669"/>
      <c r="BC23" s="669"/>
      <c r="BD23" s="669"/>
      <c r="BE23" s="669"/>
      <c r="BF23" s="669"/>
      <c r="BG23" s="669"/>
      <c r="BH23" s="669"/>
      <c r="BI23" s="669"/>
      <c r="BJ23" s="669"/>
      <c r="BK23" s="669"/>
      <c r="BL23" s="669"/>
      <c r="BM23" s="669"/>
      <c r="BN23" s="669"/>
      <c r="BO23" s="669"/>
      <c r="BP23" s="669"/>
      <c r="BQ23" s="669"/>
      <c r="BR23" s="669"/>
      <c r="BS23" s="669"/>
      <c r="BT23" s="669"/>
      <c r="BU23" s="669"/>
      <c r="BV23" s="669"/>
      <c r="BW23" s="669"/>
      <c r="BX23" s="669"/>
      <c r="BY23" s="669"/>
      <c r="BZ23" s="669"/>
      <c r="CA23" s="669"/>
      <c r="CB23" s="669"/>
      <c r="CC23" s="669"/>
      <c r="CD23" s="669"/>
      <c r="CE23" s="669"/>
      <c r="CF23" s="669"/>
      <c r="CG23" s="669"/>
      <c r="CH23" s="669"/>
      <c r="CI23" s="669"/>
      <c r="CJ23" s="669"/>
      <c r="CK23" s="669"/>
      <c r="CL23" s="669"/>
      <c r="CM23" s="669"/>
      <c r="CN23" s="669"/>
      <c r="CO23" s="669"/>
      <c r="CP23" s="669"/>
      <c r="CQ23" s="669"/>
      <c r="CR23" s="669"/>
      <c r="CS23" s="669"/>
      <c r="CT23" s="669"/>
      <c r="CU23" s="669"/>
      <c r="CV23" s="669"/>
      <c r="CW23" s="669"/>
      <c r="CX23" s="669"/>
      <c r="CY23" s="669"/>
      <c r="CZ23" s="669"/>
      <c r="DA23" s="669"/>
      <c r="DB23" s="669"/>
      <c r="DC23" s="669"/>
      <c r="DD23" s="669"/>
      <c r="DE23" s="669"/>
      <c r="DF23" s="669"/>
      <c r="DG23" s="669"/>
      <c r="DH23" s="669"/>
      <c r="DI23" s="669"/>
      <c r="DJ23" s="669"/>
      <c r="DK23" s="669"/>
      <c r="DL23" s="669"/>
      <c r="DM23" s="669"/>
      <c r="DN23" s="669"/>
      <c r="DO23" s="669"/>
      <c r="DP23" s="669"/>
      <c r="DQ23" s="669"/>
      <c r="DR23" s="669"/>
      <c r="DS23" s="669"/>
      <c r="DT23" s="669"/>
      <c r="DU23" s="669"/>
      <c r="DV23" s="669"/>
      <c r="DW23" s="669"/>
      <c r="DX23" s="669"/>
      <c r="DY23" s="669"/>
      <c r="DZ23" s="669"/>
      <c r="EA23" s="669"/>
      <c r="EB23" s="669"/>
      <c r="EC23" s="669"/>
      <c r="ED23" s="669"/>
      <c r="EE23" s="669"/>
      <c r="EF23" s="669"/>
      <c r="EG23" s="669"/>
      <c r="EH23" s="669"/>
      <c r="EI23" s="669"/>
      <c r="EJ23" s="669"/>
      <c r="EK23" s="669"/>
      <c r="EL23" s="669"/>
      <c r="EM23" s="669"/>
      <c r="EN23" s="669"/>
      <c r="EO23" s="669"/>
      <c r="EP23" s="669"/>
      <c r="EQ23" s="669"/>
      <c r="ER23" s="669"/>
      <c r="ES23" s="669"/>
      <c r="ET23" s="669"/>
      <c r="EU23" s="669"/>
      <c r="EV23" s="669"/>
      <c r="EW23" s="669"/>
      <c r="EX23" s="669"/>
      <c r="EY23" s="669"/>
      <c r="EZ23" s="669"/>
      <c r="FA23" s="669"/>
      <c r="FB23" s="669"/>
      <c r="FC23" s="669"/>
      <c r="FD23" s="669"/>
      <c r="FE23" s="669"/>
      <c r="FF23" s="669"/>
      <c r="FG23" s="669"/>
      <c r="FH23" s="669"/>
      <c r="FI23" s="669"/>
      <c r="FJ23" s="669"/>
      <c r="FK23" s="669"/>
      <c r="FL23" s="669"/>
      <c r="FM23" s="669"/>
      <c r="FN23" s="669"/>
      <c r="FO23" s="669"/>
      <c r="FP23" s="669"/>
      <c r="FQ23" s="669"/>
      <c r="FR23" s="669"/>
      <c r="FS23" s="669"/>
      <c r="FT23" s="669"/>
      <c r="FU23" s="669"/>
      <c r="FV23" s="669"/>
      <c r="FW23" s="669"/>
      <c r="FX23" s="669"/>
      <c r="FY23" s="669"/>
      <c r="FZ23" s="669"/>
      <c r="GA23" s="669"/>
      <c r="GB23" s="669"/>
      <c r="GC23" s="669"/>
      <c r="GD23" s="669"/>
      <c r="GE23" s="669"/>
      <c r="GF23" s="669"/>
      <c r="GG23" s="669"/>
      <c r="GH23" s="669"/>
      <c r="GI23" s="669"/>
      <c r="GJ23" s="669"/>
      <c r="GK23" s="669"/>
      <c r="GL23" s="669"/>
      <c r="GM23" s="669"/>
      <c r="GN23" s="669"/>
      <c r="GO23" s="669"/>
      <c r="GP23" s="669"/>
      <c r="GQ23" s="669"/>
      <c r="GR23" s="669"/>
      <c r="GS23" s="669"/>
      <c r="GT23" s="669"/>
      <c r="GU23" s="669"/>
      <c r="GV23" s="669"/>
      <c r="GW23" s="669"/>
      <c r="GX23" s="669"/>
      <c r="GY23" s="669"/>
      <c r="GZ23" s="669"/>
      <c r="HA23" s="669"/>
      <c r="HB23" s="669"/>
      <c r="HC23" s="669"/>
      <c r="HD23" s="669"/>
      <c r="HE23" s="669"/>
      <c r="HF23" s="669"/>
      <c r="HG23" s="669"/>
      <c r="HH23" s="669"/>
      <c r="HI23" s="669"/>
      <c r="HJ23" s="669"/>
      <c r="HK23" s="669"/>
      <c r="HL23" s="669"/>
      <c r="HM23" s="669"/>
      <c r="HN23" s="669"/>
      <c r="HO23" s="669"/>
      <c r="HP23" s="669"/>
      <c r="HQ23" s="669"/>
      <c r="HR23" s="669"/>
      <c r="HS23" s="669"/>
      <c r="HT23" s="669"/>
      <c r="HU23" s="669"/>
      <c r="HV23" s="669"/>
      <c r="HW23" s="669"/>
      <c r="HX23" s="669"/>
      <c r="HY23" s="669"/>
      <c r="HZ23" s="669"/>
      <c r="IA23" s="669"/>
      <c r="IB23" s="669"/>
      <c r="IC23" s="669"/>
      <c r="ID23" s="669"/>
      <c r="IE23" s="669"/>
      <c r="IF23" s="669"/>
      <c r="IG23" s="669"/>
      <c r="IH23" s="669"/>
      <c r="II23" s="669"/>
      <c r="IJ23" s="669"/>
      <c r="IK23" s="669"/>
      <c r="IL23" s="669"/>
      <c r="IM23" s="669"/>
      <c r="IN23" s="669"/>
      <c r="IO23" s="669"/>
      <c r="IP23" s="669"/>
      <c r="IQ23" s="669"/>
      <c r="IR23" s="669"/>
      <c r="IS23" s="669"/>
      <c r="IT23" s="669"/>
      <c r="IU23" s="669"/>
      <c r="IV23" s="669"/>
      <c r="IW23" s="669"/>
      <c r="IX23" s="669"/>
      <c r="IY23" s="669"/>
      <c r="IZ23" s="669"/>
      <c r="JA23" s="669"/>
    </row>
    <row r="24" spans="1:261" ht="14.5" x14ac:dyDescent="0.35">
      <c r="A24" s="958"/>
      <c r="B24" s="669"/>
      <c r="C24" s="669" t="s">
        <v>928</v>
      </c>
      <c r="D24" s="669"/>
      <c r="E24" s="709">
        <f>E22</f>
        <v>1.4999999999999998</v>
      </c>
      <c r="F24" s="670"/>
      <c r="G24" s="669"/>
      <c r="H24" s="709">
        <f ca="1">H5</f>
        <v>0.64957859639275162</v>
      </c>
      <c r="I24" s="696"/>
      <c r="J24" s="709">
        <f>J5</f>
        <v>0.4285714285714286</v>
      </c>
      <c r="K24" s="696"/>
      <c r="L24" s="709">
        <f>L5</f>
        <v>0</v>
      </c>
      <c r="M24" s="696"/>
      <c r="N24" s="712" t="s">
        <v>929</v>
      </c>
      <c r="O24" s="669"/>
      <c r="P24" s="669"/>
      <c r="Q24" s="669"/>
      <c r="R24" s="669"/>
      <c r="S24" s="669"/>
      <c r="T24" s="669"/>
      <c r="U24" s="669"/>
      <c r="V24" s="669"/>
      <c r="W24" s="669"/>
      <c r="X24" s="669"/>
      <c r="Y24" s="669"/>
      <c r="Z24" s="669"/>
      <c r="AA24" s="669"/>
      <c r="AB24" s="669"/>
      <c r="AC24" s="669"/>
      <c r="AD24" s="669"/>
      <c r="AE24" s="669"/>
      <c r="AF24" s="669"/>
      <c r="AG24" s="669"/>
      <c r="AH24" s="669"/>
      <c r="AI24" s="669"/>
      <c r="AJ24" s="669"/>
      <c r="AK24" s="669"/>
      <c r="AL24" s="669"/>
      <c r="AM24" s="669"/>
      <c r="AN24" s="669"/>
      <c r="AO24" s="669"/>
      <c r="AP24" s="669"/>
      <c r="AQ24" s="669"/>
      <c r="AR24" s="669"/>
      <c r="AS24" s="669"/>
      <c r="AT24" s="669"/>
      <c r="AU24" s="669"/>
      <c r="AV24" s="669"/>
      <c r="AW24" s="669"/>
      <c r="AX24" s="669"/>
      <c r="AY24" s="669"/>
      <c r="AZ24" s="669"/>
      <c r="BA24" s="669"/>
      <c r="BB24" s="669"/>
      <c r="BC24" s="669"/>
      <c r="BD24" s="669"/>
      <c r="BE24" s="669"/>
      <c r="BF24" s="669"/>
      <c r="BG24" s="669"/>
      <c r="BH24" s="669"/>
      <c r="BI24" s="669"/>
      <c r="BJ24" s="669"/>
      <c r="BK24" s="669"/>
      <c r="BL24" s="669"/>
      <c r="BM24" s="669"/>
      <c r="BN24" s="669"/>
      <c r="BO24" s="669"/>
      <c r="BP24" s="669"/>
      <c r="BQ24" s="669"/>
      <c r="BR24" s="669"/>
      <c r="BS24" s="669"/>
      <c r="BT24" s="669"/>
      <c r="BU24" s="669"/>
      <c r="BV24" s="669"/>
      <c r="BW24" s="669"/>
      <c r="BX24" s="669"/>
      <c r="BY24" s="669"/>
      <c r="BZ24" s="669"/>
      <c r="CA24" s="669"/>
      <c r="CB24" s="669"/>
      <c r="CC24" s="669"/>
      <c r="CD24" s="669"/>
      <c r="CE24" s="669"/>
      <c r="CF24" s="669"/>
      <c r="CG24" s="669"/>
      <c r="CH24" s="669"/>
      <c r="CI24" s="669"/>
      <c r="CJ24" s="669"/>
      <c r="CK24" s="669"/>
      <c r="CL24" s="669"/>
      <c r="CM24" s="669"/>
      <c r="CN24" s="669"/>
      <c r="CO24" s="669"/>
      <c r="CP24" s="669"/>
      <c r="CQ24" s="669"/>
      <c r="CR24" s="669"/>
      <c r="CS24" s="669"/>
      <c r="CT24" s="669"/>
      <c r="CU24" s="669"/>
      <c r="CV24" s="669"/>
      <c r="CW24" s="669"/>
      <c r="CX24" s="669"/>
      <c r="CY24" s="669"/>
      <c r="CZ24" s="669"/>
      <c r="DA24" s="669"/>
      <c r="DB24" s="669"/>
      <c r="DC24" s="669"/>
      <c r="DD24" s="669"/>
      <c r="DE24" s="669"/>
      <c r="DF24" s="669"/>
      <c r="DG24" s="669"/>
      <c r="DH24" s="669"/>
      <c r="DI24" s="669"/>
      <c r="DJ24" s="669"/>
      <c r="DK24" s="669"/>
      <c r="DL24" s="669"/>
      <c r="DM24" s="669"/>
      <c r="DN24" s="669"/>
      <c r="DO24" s="669"/>
      <c r="DP24" s="669"/>
      <c r="DQ24" s="669"/>
      <c r="DR24" s="669"/>
      <c r="DS24" s="669"/>
      <c r="DT24" s="669"/>
      <c r="DU24" s="669"/>
      <c r="DV24" s="669"/>
      <c r="DW24" s="669"/>
      <c r="DX24" s="669"/>
      <c r="DY24" s="669"/>
      <c r="DZ24" s="669"/>
      <c r="EA24" s="669"/>
      <c r="EB24" s="669"/>
      <c r="EC24" s="669"/>
      <c r="ED24" s="669"/>
      <c r="EE24" s="669"/>
      <c r="EF24" s="669"/>
      <c r="EG24" s="669"/>
      <c r="EH24" s="669"/>
      <c r="EI24" s="669"/>
      <c r="EJ24" s="669"/>
      <c r="EK24" s="669"/>
      <c r="EL24" s="669"/>
      <c r="EM24" s="669"/>
      <c r="EN24" s="669"/>
      <c r="EO24" s="669"/>
      <c r="EP24" s="669"/>
      <c r="EQ24" s="669"/>
      <c r="ER24" s="669"/>
      <c r="ES24" s="669"/>
      <c r="ET24" s="669"/>
      <c r="EU24" s="669"/>
      <c r="EV24" s="669"/>
      <c r="EW24" s="669"/>
      <c r="EX24" s="669"/>
      <c r="EY24" s="669"/>
      <c r="EZ24" s="669"/>
      <c r="FA24" s="669"/>
      <c r="FB24" s="669"/>
      <c r="FC24" s="669"/>
      <c r="FD24" s="669"/>
      <c r="FE24" s="669"/>
      <c r="FF24" s="669"/>
      <c r="FG24" s="669"/>
      <c r="FH24" s="669"/>
      <c r="FI24" s="669"/>
      <c r="FJ24" s="669"/>
      <c r="FK24" s="669"/>
      <c r="FL24" s="669"/>
      <c r="FM24" s="669"/>
      <c r="FN24" s="669"/>
      <c r="FO24" s="669"/>
      <c r="FP24" s="669"/>
      <c r="FQ24" s="669"/>
      <c r="FR24" s="669"/>
      <c r="FS24" s="669"/>
      <c r="FT24" s="669"/>
      <c r="FU24" s="669"/>
      <c r="FV24" s="669"/>
      <c r="FW24" s="669"/>
      <c r="FX24" s="669"/>
      <c r="FY24" s="669"/>
      <c r="FZ24" s="669"/>
      <c r="GA24" s="669"/>
      <c r="GB24" s="669"/>
      <c r="GC24" s="669"/>
      <c r="GD24" s="669"/>
      <c r="GE24" s="669"/>
      <c r="GF24" s="669"/>
      <c r="GG24" s="669"/>
      <c r="GH24" s="669"/>
      <c r="GI24" s="669"/>
      <c r="GJ24" s="669"/>
      <c r="GK24" s="669"/>
      <c r="GL24" s="669"/>
      <c r="GM24" s="669"/>
      <c r="GN24" s="669"/>
      <c r="GO24" s="669"/>
      <c r="GP24" s="669"/>
      <c r="GQ24" s="669"/>
      <c r="GR24" s="669"/>
      <c r="GS24" s="669"/>
      <c r="GT24" s="669"/>
      <c r="GU24" s="669"/>
      <c r="GV24" s="669"/>
      <c r="GW24" s="669"/>
      <c r="GX24" s="669"/>
      <c r="GY24" s="669"/>
      <c r="GZ24" s="669"/>
      <c r="HA24" s="669"/>
      <c r="HB24" s="669"/>
      <c r="HC24" s="669"/>
      <c r="HD24" s="669"/>
      <c r="HE24" s="669"/>
      <c r="HF24" s="669"/>
      <c r="HG24" s="669"/>
      <c r="HH24" s="669"/>
      <c r="HI24" s="669"/>
      <c r="HJ24" s="669"/>
      <c r="HK24" s="669"/>
      <c r="HL24" s="669"/>
      <c r="HM24" s="669"/>
      <c r="HN24" s="669"/>
      <c r="HO24" s="669"/>
      <c r="HP24" s="669"/>
      <c r="HQ24" s="669"/>
      <c r="HR24" s="669"/>
      <c r="HS24" s="669"/>
      <c r="HT24" s="669"/>
      <c r="HU24" s="669"/>
      <c r="HV24" s="669"/>
      <c r="HW24" s="669"/>
      <c r="HX24" s="669"/>
      <c r="HY24" s="669"/>
      <c r="HZ24" s="669"/>
      <c r="IA24" s="669"/>
      <c r="IB24" s="669"/>
      <c r="IC24" s="669"/>
      <c r="ID24" s="669"/>
      <c r="IE24" s="669"/>
      <c r="IF24" s="669"/>
      <c r="IG24" s="669"/>
      <c r="IH24" s="669"/>
      <c r="II24" s="669"/>
      <c r="IJ24" s="669"/>
      <c r="IK24" s="669"/>
      <c r="IL24" s="669"/>
      <c r="IM24" s="669"/>
      <c r="IN24" s="669"/>
      <c r="IO24" s="669"/>
      <c r="IP24" s="669"/>
      <c r="IQ24" s="669"/>
      <c r="IR24" s="669"/>
      <c r="IS24" s="669"/>
      <c r="IT24" s="669"/>
      <c r="IU24" s="669"/>
      <c r="IV24" s="669"/>
      <c r="IW24" s="669"/>
      <c r="IX24" s="669"/>
      <c r="IY24" s="669"/>
      <c r="IZ24" s="669"/>
      <c r="JA24" s="669"/>
    </row>
    <row r="25" spans="1:261" ht="14.5" x14ac:dyDescent="0.35">
      <c r="A25" s="958"/>
      <c r="B25" s="669"/>
      <c r="C25" s="710" t="s">
        <v>930</v>
      </c>
      <c r="D25" s="710"/>
      <c r="E25" s="713">
        <f ca="1">E23*(1+((1-E10)*E24))</f>
        <v>1.2</v>
      </c>
      <c r="F25" s="714"/>
      <c r="G25" s="710"/>
      <c r="H25" s="713">
        <f ca="1">H23*(1+((1-H10)*H24))</f>
        <v>0.86413736971460575</v>
      </c>
      <c r="I25" s="710"/>
      <c r="J25" s="713">
        <f ca="1">J23*(1+((1-J10)*J24))</f>
        <v>0.77685352622061477</v>
      </c>
      <c r="K25" s="710"/>
      <c r="L25" s="713">
        <f ca="1">L23*(1+((1-L10)*L24))</f>
        <v>0.60759493670886078</v>
      </c>
      <c r="M25" s="669"/>
      <c r="N25" s="711" t="s">
        <v>931</v>
      </c>
      <c r="O25" s="669"/>
      <c r="P25" s="669"/>
      <c r="Q25" s="669"/>
      <c r="R25" s="669"/>
      <c r="S25" s="669"/>
      <c r="T25" s="669"/>
      <c r="U25" s="669"/>
      <c r="V25" s="669"/>
      <c r="W25" s="669"/>
      <c r="X25" s="669"/>
      <c r="Y25" s="669"/>
      <c r="Z25" s="669"/>
      <c r="AA25" s="669"/>
      <c r="AB25" s="669"/>
      <c r="AC25" s="669"/>
      <c r="AD25" s="669"/>
      <c r="AE25" s="669"/>
      <c r="AF25" s="669"/>
      <c r="AG25" s="669"/>
      <c r="AH25" s="669"/>
      <c r="AI25" s="669"/>
      <c r="AJ25" s="669"/>
      <c r="AK25" s="669"/>
      <c r="AL25" s="669"/>
      <c r="AM25" s="669"/>
      <c r="AN25" s="669"/>
      <c r="AO25" s="669"/>
      <c r="AP25" s="669"/>
      <c r="AQ25" s="669"/>
      <c r="AR25" s="669"/>
      <c r="AS25" s="669"/>
      <c r="AT25" s="669"/>
      <c r="AU25" s="669"/>
      <c r="AV25" s="669"/>
      <c r="AW25" s="669"/>
      <c r="AX25" s="669"/>
      <c r="AY25" s="669"/>
      <c r="AZ25" s="669"/>
      <c r="BA25" s="669"/>
      <c r="BB25" s="669"/>
      <c r="BC25" s="669"/>
      <c r="BD25" s="669"/>
      <c r="BE25" s="669"/>
      <c r="BF25" s="669"/>
      <c r="BG25" s="669"/>
      <c r="BH25" s="669"/>
      <c r="BI25" s="669"/>
      <c r="BJ25" s="669"/>
      <c r="BK25" s="669"/>
      <c r="BL25" s="669"/>
      <c r="BM25" s="669"/>
      <c r="BN25" s="669"/>
      <c r="BO25" s="669"/>
      <c r="BP25" s="669"/>
      <c r="BQ25" s="669"/>
      <c r="BR25" s="669"/>
      <c r="BS25" s="669"/>
      <c r="BT25" s="669"/>
      <c r="BU25" s="669"/>
      <c r="BV25" s="669"/>
      <c r="BW25" s="669"/>
      <c r="BX25" s="669"/>
      <c r="BY25" s="669"/>
      <c r="BZ25" s="669"/>
      <c r="CA25" s="669"/>
      <c r="CB25" s="669"/>
      <c r="CC25" s="669"/>
      <c r="CD25" s="669"/>
      <c r="CE25" s="669"/>
      <c r="CF25" s="669"/>
      <c r="CG25" s="669"/>
      <c r="CH25" s="669"/>
      <c r="CI25" s="669"/>
      <c r="CJ25" s="669"/>
      <c r="CK25" s="669"/>
      <c r="CL25" s="669"/>
      <c r="CM25" s="669"/>
      <c r="CN25" s="669"/>
      <c r="CO25" s="669"/>
      <c r="CP25" s="669"/>
      <c r="CQ25" s="669"/>
      <c r="CR25" s="669"/>
      <c r="CS25" s="669"/>
      <c r="CT25" s="669"/>
      <c r="CU25" s="669"/>
      <c r="CV25" s="669"/>
      <c r="CW25" s="669"/>
      <c r="CX25" s="669"/>
      <c r="CY25" s="669"/>
      <c r="CZ25" s="669"/>
      <c r="DA25" s="669"/>
      <c r="DB25" s="669"/>
      <c r="DC25" s="669"/>
      <c r="DD25" s="669"/>
      <c r="DE25" s="669"/>
      <c r="DF25" s="669"/>
      <c r="DG25" s="669"/>
      <c r="DH25" s="669"/>
      <c r="DI25" s="669"/>
      <c r="DJ25" s="669"/>
      <c r="DK25" s="669"/>
      <c r="DL25" s="669"/>
      <c r="DM25" s="669"/>
      <c r="DN25" s="669"/>
      <c r="DO25" s="669"/>
      <c r="DP25" s="669"/>
      <c r="DQ25" s="669"/>
      <c r="DR25" s="669"/>
      <c r="DS25" s="669"/>
      <c r="DT25" s="669"/>
      <c r="DU25" s="669"/>
      <c r="DV25" s="669"/>
      <c r="DW25" s="669"/>
      <c r="DX25" s="669"/>
      <c r="DY25" s="669"/>
      <c r="DZ25" s="669"/>
      <c r="EA25" s="669"/>
      <c r="EB25" s="669"/>
      <c r="EC25" s="669"/>
      <c r="ED25" s="669"/>
      <c r="EE25" s="669"/>
      <c r="EF25" s="669"/>
      <c r="EG25" s="669"/>
      <c r="EH25" s="669"/>
      <c r="EI25" s="669"/>
      <c r="EJ25" s="669"/>
      <c r="EK25" s="669"/>
      <c r="EL25" s="669"/>
      <c r="EM25" s="669"/>
      <c r="EN25" s="669"/>
      <c r="EO25" s="669"/>
      <c r="EP25" s="669"/>
      <c r="EQ25" s="669"/>
      <c r="ER25" s="669"/>
      <c r="ES25" s="669"/>
      <c r="ET25" s="669"/>
      <c r="EU25" s="669"/>
      <c r="EV25" s="669"/>
      <c r="EW25" s="669"/>
      <c r="EX25" s="669"/>
      <c r="EY25" s="669"/>
      <c r="EZ25" s="669"/>
      <c r="FA25" s="669"/>
      <c r="FB25" s="669"/>
      <c r="FC25" s="669"/>
      <c r="FD25" s="669"/>
      <c r="FE25" s="669"/>
      <c r="FF25" s="669"/>
      <c r="FG25" s="669"/>
      <c r="FH25" s="669"/>
      <c r="FI25" s="669"/>
      <c r="FJ25" s="669"/>
      <c r="FK25" s="669"/>
      <c r="FL25" s="669"/>
      <c r="FM25" s="669"/>
      <c r="FN25" s="669"/>
      <c r="FO25" s="669"/>
      <c r="FP25" s="669"/>
      <c r="FQ25" s="669"/>
      <c r="FR25" s="669"/>
      <c r="FS25" s="669"/>
      <c r="FT25" s="669"/>
      <c r="FU25" s="669"/>
      <c r="FV25" s="669"/>
      <c r="FW25" s="669"/>
      <c r="FX25" s="669"/>
      <c r="FY25" s="669"/>
      <c r="FZ25" s="669"/>
      <c r="GA25" s="669"/>
      <c r="GB25" s="669"/>
      <c r="GC25" s="669"/>
      <c r="GD25" s="669"/>
      <c r="GE25" s="669"/>
      <c r="GF25" s="669"/>
      <c r="GG25" s="669"/>
      <c r="GH25" s="669"/>
      <c r="GI25" s="669"/>
      <c r="GJ25" s="669"/>
      <c r="GK25" s="669"/>
      <c r="GL25" s="669"/>
      <c r="GM25" s="669"/>
      <c r="GN25" s="669"/>
      <c r="GO25" s="669"/>
      <c r="GP25" s="669"/>
      <c r="GQ25" s="669"/>
      <c r="GR25" s="669"/>
      <c r="GS25" s="669"/>
      <c r="GT25" s="669"/>
      <c r="GU25" s="669"/>
      <c r="GV25" s="669"/>
      <c r="GW25" s="669"/>
      <c r="GX25" s="669"/>
      <c r="GY25" s="669"/>
      <c r="GZ25" s="669"/>
      <c r="HA25" s="669"/>
      <c r="HB25" s="669"/>
      <c r="HC25" s="669"/>
      <c r="HD25" s="669"/>
      <c r="HE25" s="669"/>
      <c r="HF25" s="669"/>
      <c r="HG25" s="669"/>
      <c r="HH25" s="669"/>
      <c r="HI25" s="669"/>
      <c r="HJ25" s="669"/>
      <c r="HK25" s="669"/>
      <c r="HL25" s="669"/>
      <c r="HM25" s="669"/>
      <c r="HN25" s="669"/>
      <c r="HO25" s="669"/>
      <c r="HP25" s="669"/>
      <c r="HQ25" s="669"/>
      <c r="HR25" s="669"/>
      <c r="HS25" s="669"/>
      <c r="HT25" s="669"/>
      <c r="HU25" s="669"/>
      <c r="HV25" s="669"/>
      <c r="HW25" s="669"/>
      <c r="HX25" s="669"/>
      <c r="HY25" s="669"/>
      <c r="HZ25" s="669"/>
      <c r="IA25" s="669"/>
      <c r="IB25" s="669"/>
      <c r="IC25" s="669"/>
      <c r="ID25" s="669"/>
      <c r="IE25" s="669"/>
      <c r="IF25" s="669"/>
      <c r="IG25" s="669"/>
      <c r="IH25" s="669"/>
      <c r="II25" s="669"/>
      <c r="IJ25" s="669"/>
      <c r="IK25" s="669"/>
      <c r="IL25" s="669"/>
      <c r="IM25" s="669"/>
      <c r="IN25" s="669"/>
      <c r="IO25" s="669"/>
      <c r="IP25" s="669"/>
      <c r="IQ25" s="669"/>
      <c r="IR25" s="669"/>
      <c r="IS25" s="669"/>
      <c r="IT25" s="669"/>
      <c r="IU25" s="669"/>
      <c r="IV25" s="669"/>
      <c r="IW25" s="669"/>
      <c r="IX25" s="669"/>
      <c r="IY25" s="669"/>
      <c r="IZ25" s="669"/>
      <c r="JA25" s="669"/>
    </row>
    <row r="26" spans="1:261" x14ac:dyDescent="0.3">
      <c r="F26" s="664"/>
    </row>
    <row r="27" spans="1:261" ht="18.5" x14ac:dyDescent="0.35">
      <c r="A27" s="715" t="s">
        <v>932</v>
      </c>
      <c r="B27" s="669"/>
      <c r="C27" s="716" t="s">
        <v>933</v>
      </c>
      <c r="D27" s="716"/>
      <c r="E27" s="720">
        <f ca="1">E11*E6+E18*E7</f>
        <v>9.8199193876542745E-2</v>
      </c>
      <c r="F27" s="717"/>
      <c r="G27" s="716"/>
      <c r="H27" s="720">
        <f ca="1">H11*H6+H18*H7</f>
        <v>0.10088897261281103</v>
      </c>
      <c r="I27" s="718"/>
      <c r="J27" s="720">
        <f ca="1">J11*J6+J18*J7</f>
        <v>0.10211225516611945</v>
      </c>
      <c r="K27" s="718"/>
      <c r="L27" s="720">
        <f ca="1">L11*L6+L18*L7</f>
        <v>0.10602531645569621</v>
      </c>
      <c r="M27" s="676"/>
      <c r="N27" s="676"/>
      <c r="O27" s="669"/>
      <c r="P27" s="669"/>
      <c r="Q27" s="669"/>
      <c r="R27" s="669"/>
      <c r="S27" s="669"/>
      <c r="T27" s="669"/>
      <c r="U27" s="669"/>
      <c r="V27" s="669"/>
      <c r="W27" s="669"/>
      <c r="X27" s="669"/>
      <c r="Y27" s="669"/>
      <c r="Z27" s="669"/>
      <c r="AA27" s="669"/>
      <c r="AB27" s="669"/>
      <c r="AC27" s="669"/>
      <c r="AD27" s="669"/>
      <c r="AE27" s="669"/>
      <c r="AF27" s="669"/>
      <c r="AG27" s="669"/>
      <c r="AH27" s="669"/>
      <c r="AI27" s="669"/>
      <c r="AJ27" s="669"/>
      <c r="AK27" s="669"/>
      <c r="AL27" s="669"/>
      <c r="AM27" s="669"/>
      <c r="AN27" s="669"/>
      <c r="AO27" s="669"/>
      <c r="AP27" s="669"/>
      <c r="AQ27" s="669"/>
      <c r="AR27" s="669"/>
      <c r="AS27" s="669"/>
      <c r="AT27" s="669"/>
      <c r="AU27" s="669"/>
      <c r="AV27" s="669"/>
      <c r="AW27" s="669"/>
      <c r="AX27" s="669"/>
      <c r="AY27" s="669"/>
      <c r="AZ27" s="669"/>
      <c r="BA27" s="669"/>
      <c r="BB27" s="669"/>
      <c r="BC27" s="669"/>
      <c r="BD27" s="669"/>
      <c r="BE27" s="669"/>
      <c r="BF27" s="669"/>
      <c r="BG27" s="669"/>
      <c r="BH27" s="669"/>
      <c r="BI27" s="669"/>
      <c r="BJ27" s="669"/>
      <c r="BK27" s="669"/>
      <c r="BL27" s="669"/>
      <c r="BM27" s="669"/>
      <c r="BN27" s="669"/>
      <c r="BO27" s="669"/>
      <c r="BP27" s="669"/>
      <c r="BQ27" s="669"/>
      <c r="BR27" s="669"/>
      <c r="BS27" s="669"/>
      <c r="BT27" s="669"/>
      <c r="BU27" s="669"/>
      <c r="BV27" s="669"/>
      <c r="BW27" s="669"/>
      <c r="BX27" s="669"/>
      <c r="BY27" s="669"/>
      <c r="BZ27" s="669"/>
      <c r="CA27" s="669"/>
      <c r="CB27" s="669"/>
      <c r="CC27" s="669"/>
      <c r="CD27" s="669"/>
      <c r="CE27" s="669"/>
      <c r="CF27" s="669"/>
      <c r="CG27" s="669"/>
      <c r="CH27" s="669"/>
      <c r="CI27" s="669"/>
      <c r="CJ27" s="669"/>
      <c r="CK27" s="669"/>
      <c r="CL27" s="669"/>
      <c r="CM27" s="669"/>
      <c r="CN27" s="669"/>
      <c r="CO27" s="669"/>
      <c r="CP27" s="669"/>
      <c r="CQ27" s="669"/>
      <c r="CR27" s="669"/>
      <c r="CS27" s="669"/>
      <c r="CT27" s="669"/>
      <c r="CU27" s="669"/>
      <c r="CV27" s="669"/>
      <c r="CW27" s="669"/>
      <c r="CX27" s="669"/>
      <c r="CY27" s="669"/>
      <c r="CZ27" s="669"/>
      <c r="DA27" s="669"/>
      <c r="DB27" s="669"/>
      <c r="DC27" s="669"/>
      <c r="DD27" s="669"/>
      <c r="DE27" s="669"/>
      <c r="DF27" s="669"/>
      <c r="DG27" s="669"/>
      <c r="DH27" s="669"/>
      <c r="DI27" s="669"/>
      <c r="DJ27" s="669"/>
      <c r="DK27" s="669"/>
      <c r="DL27" s="669"/>
      <c r="DM27" s="669"/>
      <c r="DN27" s="669"/>
      <c r="DO27" s="669"/>
      <c r="DP27" s="669"/>
      <c r="DQ27" s="669"/>
      <c r="DR27" s="669"/>
      <c r="DS27" s="669"/>
      <c r="DT27" s="669"/>
      <c r="DU27" s="669"/>
      <c r="DV27" s="669"/>
      <c r="DW27" s="669"/>
      <c r="DX27" s="669"/>
      <c r="DY27" s="669"/>
      <c r="DZ27" s="669"/>
      <c r="EA27" s="669"/>
      <c r="EB27" s="669"/>
      <c r="EC27" s="669"/>
      <c r="ED27" s="669"/>
      <c r="EE27" s="669"/>
      <c r="EF27" s="669"/>
      <c r="EG27" s="669"/>
      <c r="EH27" s="669"/>
      <c r="EI27" s="669"/>
      <c r="EJ27" s="669"/>
      <c r="EK27" s="669"/>
      <c r="EL27" s="669"/>
      <c r="EM27" s="669"/>
      <c r="EN27" s="669"/>
      <c r="EO27" s="669"/>
      <c r="EP27" s="669"/>
      <c r="EQ27" s="669"/>
      <c r="ER27" s="669"/>
      <c r="ES27" s="669"/>
      <c r="ET27" s="669"/>
      <c r="EU27" s="669"/>
      <c r="EV27" s="669"/>
      <c r="EW27" s="669"/>
      <c r="EX27" s="669"/>
      <c r="EY27" s="669"/>
      <c r="EZ27" s="669"/>
      <c r="FA27" s="669"/>
      <c r="FB27" s="669"/>
      <c r="FC27" s="669"/>
      <c r="FD27" s="669"/>
      <c r="FE27" s="669"/>
      <c r="FF27" s="669"/>
      <c r="FG27" s="669"/>
      <c r="FH27" s="669"/>
      <c r="FI27" s="669"/>
      <c r="FJ27" s="669"/>
      <c r="FK27" s="669"/>
      <c r="FL27" s="669"/>
      <c r="FM27" s="669"/>
      <c r="FN27" s="669"/>
      <c r="FO27" s="669"/>
      <c r="FP27" s="669"/>
      <c r="FQ27" s="669"/>
      <c r="FR27" s="669"/>
      <c r="FS27" s="669"/>
      <c r="FT27" s="669"/>
      <c r="FU27" s="669"/>
      <c r="FV27" s="669"/>
      <c r="FW27" s="669"/>
      <c r="FX27" s="669"/>
      <c r="FY27" s="669"/>
      <c r="FZ27" s="669"/>
      <c r="GA27" s="669"/>
      <c r="GB27" s="669"/>
      <c r="GC27" s="669"/>
      <c r="GD27" s="669"/>
      <c r="GE27" s="669"/>
      <c r="GF27" s="669"/>
      <c r="GG27" s="669"/>
      <c r="GH27" s="669"/>
      <c r="GI27" s="669"/>
      <c r="GJ27" s="669"/>
      <c r="GK27" s="669"/>
      <c r="GL27" s="669"/>
      <c r="GM27" s="669"/>
      <c r="GN27" s="669"/>
      <c r="GO27" s="669"/>
      <c r="GP27" s="669"/>
      <c r="GQ27" s="669"/>
      <c r="GR27" s="669"/>
      <c r="GS27" s="669"/>
      <c r="GT27" s="669"/>
      <c r="GU27" s="669"/>
      <c r="GV27" s="669"/>
      <c r="GW27" s="669"/>
      <c r="GX27" s="669"/>
      <c r="GY27" s="669"/>
      <c r="GZ27" s="669"/>
      <c r="HA27" s="669"/>
      <c r="HB27" s="669"/>
      <c r="HC27" s="669"/>
      <c r="HD27" s="669"/>
      <c r="HE27" s="669"/>
      <c r="HF27" s="669"/>
      <c r="HG27" s="669"/>
      <c r="HH27" s="669"/>
      <c r="HI27" s="669"/>
      <c r="HJ27" s="669"/>
      <c r="HK27" s="669"/>
      <c r="HL27" s="669"/>
      <c r="HM27" s="669"/>
      <c r="HN27" s="669"/>
      <c r="HO27" s="669"/>
      <c r="HP27" s="669"/>
      <c r="HQ27" s="669"/>
      <c r="HR27" s="669"/>
      <c r="HS27" s="669"/>
      <c r="HT27" s="669"/>
      <c r="HU27" s="669"/>
      <c r="HV27" s="669"/>
      <c r="HW27" s="669"/>
      <c r="HX27" s="669"/>
      <c r="HY27" s="669"/>
      <c r="HZ27" s="669"/>
      <c r="IA27" s="669"/>
      <c r="IB27" s="669"/>
      <c r="IC27" s="669"/>
      <c r="ID27" s="669"/>
      <c r="IE27" s="669"/>
      <c r="IF27" s="669"/>
      <c r="IG27" s="669"/>
      <c r="IH27" s="669"/>
      <c r="II27" s="669"/>
      <c r="IJ27" s="669"/>
      <c r="IK27" s="669"/>
      <c r="IL27" s="669"/>
      <c r="IM27" s="669"/>
      <c r="IN27" s="669"/>
      <c r="IO27" s="669"/>
      <c r="IP27" s="669"/>
      <c r="IQ27" s="669"/>
      <c r="IR27" s="669"/>
      <c r="IS27" s="669"/>
      <c r="IT27" s="669"/>
      <c r="IU27" s="669"/>
      <c r="IV27" s="669"/>
      <c r="IW27" s="669"/>
      <c r="IX27" s="669"/>
      <c r="IY27" s="669"/>
      <c r="IZ27" s="669"/>
      <c r="JA27" s="669"/>
    </row>
  </sheetData>
  <mergeCells count="3">
    <mergeCell ref="A5:A7"/>
    <mergeCell ref="A9:A11"/>
    <mergeCell ref="A13:A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F758-36E8-461D-B549-74F02CB244D1}">
  <dimension ref="A1:IU81"/>
  <sheetViews>
    <sheetView showGridLines="0" topLeftCell="A33" zoomScale="83" workbookViewId="0">
      <selection activeCell="O54" sqref="O54"/>
    </sheetView>
  </sheetViews>
  <sheetFormatPr baseColWidth="10" defaultColWidth="8.25" defaultRowHeight="15.5" x14ac:dyDescent="0.35"/>
  <cols>
    <col min="1" max="1" width="5.4140625" style="724" customWidth="1"/>
    <col min="2" max="2" width="11.83203125" style="724" customWidth="1"/>
    <col min="3" max="3" width="10.4140625" style="724" customWidth="1"/>
    <col min="4" max="4" width="10.08203125" style="724" customWidth="1"/>
    <col min="5" max="5" width="1.58203125" style="724" customWidth="1"/>
    <col min="6" max="6" width="8.58203125" style="724" customWidth="1"/>
    <col min="7" max="17" width="7.75" style="724" customWidth="1"/>
    <col min="18" max="18" width="8.5" style="724" customWidth="1"/>
    <col min="19" max="19" width="0.75" style="724" customWidth="1"/>
    <col min="20" max="20" width="4.83203125" style="724" customWidth="1"/>
    <col min="21" max="21" width="9.08203125" style="724" customWidth="1"/>
    <col min="22" max="22" width="5.58203125" style="724" customWidth="1"/>
    <col min="23" max="255" width="8.25" style="724"/>
    <col min="256" max="16384" width="8.25" style="663"/>
  </cols>
  <sheetData>
    <row r="1" spans="1:255" ht="21.5" thickBot="1" x14ac:dyDescent="0.55000000000000004">
      <c r="A1" s="660" t="s">
        <v>975</v>
      </c>
      <c r="B1" s="661"/>
      <c r="C1" s="661"/>
      <c r="D1" s="661"/>
      <c r="E1" s="661"/>
      <c r="F1" s="661"/>
      <c r="G1" s="661"/>
      <c r="H1" s="661"/>
      <c r="I1" s="661"/>
      <c r="J1" s="661"/>
      <c r="K1" s="661"/>
      <c r="L1" s="661"/>
      <c r="M1" s="661"/>
      <c r="N1" s="661"/>
      <c r="O1" s="661"/>
      <c r="P1" s="721"/>
      <c r="Q1" s="721"/>
      <c r="R1" s="721"/>
      <c r="S1" s="721"/>
      <c r="T1" s="721"/>
      <c r="U1" s="722"/>
      <c r="V1" s="722"/>
      <c r="W1" s="722"/>
      <c r="X1" s="722"/>
      <c r="Y1" s="722"/>
      <c r="Z1" s="722"/>
      <c r="AA1" s="722"/>
      <c r="AB1" s="722"/>
      <c r="AC1" s="722"/>
      <c r="AD1" s="722"/>
      <c r="AE1" s="722"/>
      <c r="AF1" s="722"/>
      <c r="AG1" s="722"/>
      <c r="AH1" s="722"/>
      <c r="AI1" s="722"/>
      <c r="AJ1" s="722"/>
      <c r="AK1" s="722"/>
      <c r="AL1" s="722"/>
      <c r="AM1" s="722"/>
      <c r="AN1" s="722"/>
      <c r="AO1" s="722"/>
      <c r="AP1" s="722"/>
      <c r="AQ1" s="722"/>
      <c r="AR1" s="722"/>
      <c r="AS1" s="722"/>
      <c r="AT1" s="722"/>
      <c r="AU1" s="722"/>
      <c r="AV1" s="722"/>
      <c r="AW1" s="722"/>
      <c r="AX1" s="722"/>
      <c r="AY1" s="722"/>
      <c r="AZ1" s="722"/>
      <c r="BA1" s="722"/>
      <c r="BB1" s="722"/>
      <c r="BC1" s="722"/>
      <c r="BD1" s="722"/>
      <c r="BE1" s="722"/>
      <c r="BF1" s="722"/>
      <c r="BG1" s="722"/>
      <c r="BH1" s="722"/>
      <c r="BI1" s="722"/>
      <c r="BJ1" s="722"/>
      <c r="BK1" s="722"/>
      <c r="BL1" s="722"/>
      <c r="BM1" s="722"/>
      <c r="BN1" s="722"/>
      <c r="BO1" s="722"/>
      <c r="BP1" s="722"/>
      <c r="BQ1" s="722"/>
      <c r="BR1" s="722"/>
      <c r="BS1" s="722"/>
      <c r="BT1" s="722"/>
      <c r="BU1" s="722"/>
      <c r="BV1" s="722"/>
      <c r="BW1" s="722"/>
      <c r="BX1" s="722"/>
      <c r="BY1" s="722"/>
      <c r="BZ1" s="722"/>
      <c r="CA1" s="722"/>
      <c r="CB1" s="722"/>
      <c r="CC1" s="722"/>
      <c r="CD1" s="722"/>
      <c r="CE1" s="722"/>
      <c r="CF1" s="722"/>
      <c r="CG1" s="722"/>
      <c r="CH1" s="722"/>
      <c r="CI1" s="722"/>
      <c r="CJ1" s="722"/>
      <c r="CK1" s="722"/>
      <c r="CL1" s="722"/>
      <c r="CM1" s="722"/>
      <c r="CN1" s="722"/>
      <c r="CO1" s="722"/>
      <c r="CP1" s="722"/>
      <c r="CQ1" s="722"/>
      <c r="CR1" s="722"/>
      <c r="CS1" s="722"/>
      <c r="CT1" s="722"/>
      <c r="CU1" s="722"/>
      <c r="CV1" s="722"/>
      <c r="CW1" s="722"/>
      <c r="CX1" s="722"/>
      <c r="CY1" s="722"/>
      <c r="CZ1" s="722"/>
      <c r="DA1" s="722"/>
      <c r="DB1" s="722"/>
      <c r="DC1" s="722"/>
      <c r="DD1" s="722"/>
      <c r="DE1" s="722"/>
      <c r="DF1" s="722"/>
      <c r="DG1" s="722"/>
      <c r="DH1" s="722"/>
      <c r="DI1" s="722"/>
      <c r="DJ1" s="722"/>
      <c r="DK1" s="722"/>
      <c r="DL1" s="722"/>
      <c r="DM1" s="722"/>
      <c r="DN1" s="722"/>
      <c r="DO1" s="722"/>
      <c r="DP1" s="722"/>
      <c r="DQ1" s="722"/>
      <c r="DR1" s="722"/>
      <c r="DS1" s="722"/>
      <c r="DT1" s="722"/>
      <c r="DU1" s="722"/>
      <c r="DV1" s="722"/>
      <c r="DW1" s="722"/>
      <c r="DX1" s="722"/>
      <c r="DY1" s="722"/>
      <c r="DZ1" s="722"/>
      <c r="EA1" s="722"/>
      <c r="EB1" s="722"/>
      <c r="EC1" s="722"/>
      <c r="ED1" s="722"/>
      <c r="EE1" s="722"/>
      <c r="EF1" s="722"/>
      <c r="EG1" s="722"/>
      <c r="EH1" s="722"/>
      <c r="EI1" s="722"/>
      <c r="EJ1" s="722"/>
      <c r="EK1" s="722"/>
      <c r="EL1" s="722"/>
      <c r="EM1" s="722"/>
      <c r="EN1" s="722"/>
      <c r="EO1" s="722"/>
      <c r="EP1" s="722"/>
      <c r="EQ1" s="722"/>
      <c r="ER1" s="722"/>
      <c r="ES1" s="722"/>
      <c r="ET1" s="722"/>
      <c r="EU1" s="722"/>
      <c r="EV1" s="722"/>
      <c r="EW1" s="722"/>
      <c r="EX1" s="722"/>
      <c r="EY1" s="722"/>
      <c r="EZ1" s="722"/>
      <c r="FA1" s="722"/>
      <c r="FB1" s="722"/>
      <c r="FC1" s="722"/>
      <c r="FD1" s="722"/>
      <c r="FE1" s="722"/>
      <c r="FF1" s="722"/>
      <c r="FG1" s="722"/>
      <c r="FH1" s="722"/>
      <c r="FI1" s="722"/>
      <c r="FJ1" s="722"/>
      <c r="FK1" s="722"/>
      <c r="FL1" s="722"/>
      <c r="FM1" s="722"/>
      <c r="FN1" s="722"/>
      <c r="FO1" s="722"/>
      <c r="FP1" s="722"/>
      <c r="FQ1" s="722"/>
      <c r="FR1" s="722"/>
      <c r="FS1" s="722"/>
      <c r="FT1" s="722"/>
      <c r="FU1" s="722"/>
      <c r="FV1" s="722"/>
      <c r="FW1" s="722"/>
      <c r="FX1" s="722"/>
      <c r="FY1" s="722"/>
      <c r="FZ1" s="722"/>
      <c r="GA1" s="722"/>
      <c r="GB1" s="722"/>
      <c r="GC1" s="722"/>
      <c r="GD1" s="722"/>
      <c r="GE1" s="722"/>
      <c r="GF1" s="722"/>
      <c r="GG1" s="722"/>
      <c r="GH1" s="722"/>
      <c r="GI1" s="722"/>
      <c r="GJ1" s="722"/>
      <c r="GK1" s="722"/>
      <c r="GL1" s="722"/>
      <c r="GM1" s="722"/>
      <c r="GN1" s="722"/>
      <c r="GO1" s="722"/>
      <c r="GP1" s="722"/>
      <c r="GQ1" s="722"/>
      <c r="GR1" s="722"/>
      <c r="GS1" s="722"/>
      <c r="GT1" s="722"/>
      <c r="GU1" s="722"/>
      <c r="GV1" s="722"/>
      <c r="GW1" s="722"/>
      <c r="GX1" s="722"/>
      <c r="GY1" s="722"/>
      <c r="GZ1" s="722"/>
      <c r="HA1" s="722"/>
      <c r="HB1" s="722"/>
      <c r="HC1" s="722"/>
      <c r="HD1" s="722"/>
      <c r="HE1" s="722"/>
      <c r="HF1" s="722"/>
      <c r="HG1" s="722"/>
      <c r="HH1" s="722"/>
      <c r="HI1" s="722"/>
      <c r="HJ1" s="722"/>
      <c r="HK1" s="722"/>
      <c r="HL1" s="722"/>
      <c r="HM1" s="722"/>
      <c r="HN1" s="722"/>
      <c r="HO1" s="722"/>
      <c r="HP1" s="722"/>
      <c r="HQ1" s="722"/>
      <c r="HR1" s="722"/>
      <c r="HS1" s="722"/>
      <c r="HT1" s="722"/>
      <c r="HU1" s="722"/>
      <c r="HV1" s="722"/>
      <c r="HW1" s="722"/>
      <c r="HX1" s="722"/>
      <c r="HY1" s="722"/>
      <c r="HZ1" s="722"/>
      <c r="IA1" s="722"/>
      <c r="IB1" s="722"/>
      <c r="IC1" s="722"/>
      <c r="ID1" s="722"/>
      <c r="IE1" s="722"/>
      <c r="IF1" s="722"/>
      <c r="IG1" s="722"/>
      <c r="IH1" s="722"/>
      <c r="II1" s="722"/>
      <c r="IJ1" s="722"/>
      <c r="IK1" s="722"/>
      <c r="IL1" s="722"/>
      <c r="IM1" s="722"/>
      <c r="IN1" s="722"/>
      <c r="IO1" s="722"/>
      <c r="IP1" s="722"/>
      <c r="IQ1" s="722"/>
      <c r="IR1" s="722"/>
      <c r="IS1" s="722"/>
      <c r="IT1" s="722"/>
      <c r="IU1" s="722"/>
    </row>
    <row r="2" spans="1:255" ht="16" thickTop="1" x14ac:dyDescent="0.35">
      <c r="A2" s="723" t="s">
        <v>944</v>
      </c>
    </row>
    <row r="3" spans="1:255" ht="10.5" customHeight="1" thickBot="1" x14ac:dyDescent="0.4">
      <c r="A3" s="725"/>
    </row>
    <row r="4" spans="1:255" ht="16.5" thickTop="1" thickBot="1" x14ac:dyDescent="0.4">
      <c r="G4" s="726" t="s">
        <v>945</v>
      </c>
      <c r="H4" s="727"/>
      <c r="I4" s="728" t="s">
        <v>946</v>
      </c>
      <c r="J4" s="729"/>
      <c r="K4" s="729"/>
      <c r="L4" s="729"/>
      <c r="M4" s="729"/>
      <c r="N4" s="729"/>
      <c r="O4" s="729"/>
      <c r="P4" s="729"/>
      <c r="Q4" s="729"/>
      <c r="R4" s="730"/>
    </row>
    <row r="5" spans="1:255" ht="6" customHeight="1" x14ac:dyDescent="0.35"/>
    <row r="6" spans="1:255" x14ac:dyDescent="0.35">
      <c r="G6" s="731">
        <v>2015</v>
      </c>
      <c r="H6" s="731">
        <v>2016</v>
      </c>
      <c r="I6" s="731">
        <f>H6+1</f>
        <v>2017</v>
      </c>
      <c r="J6" s="731">
        <f t="shared" ref="J6:R6" si="0">I6+1</f>
        <v>2018</v>
      </c>
      <c r="K6" s="731">
        <f t="shared" si="0"/>
        <v>2019</v>
      </c>
      <c r="L6" s="731">
        <f t="shared" si="0"/>
        <v>2020</v>
      </c>
      <c r="M6" s="731">
        <f t="shared" si="0"/>
        <v>2021</v>
      </c>
      <c r="N6" s="731">
        <f t="shared" si="0"/>
        <v>2022</v>
      </c>
      <c r="O6" s="731">
        <f t="shared" si="0"/>
        <v>2023</v>
      </c>
      <c r="P6" s="731">
        <f t="shared" si="0"/>
        <v>2024</v>
      </c>
      <c r="Q6" s="731">
        <f t="shared" si="0"/>
        <v>2025</v>
      </c>
      <c r="R6" s="731">
        <f t="shared" si="0"/>
        <v>2026</v>
      </c>
      <c r="T6" s="732" t="s">
        <v>145</v>
      </c>
    </row>
    <row r="7" spans="1:255" x14ac:dyDescent="0.35">
      <c r="G7" s="733"/>
      <c r="H7" s="733"/>
      <c r="I7" s="733"/>
      <c r="J7" s="733"/>
      <c r="K7" s="733"/>
      <c r="L7" s="733"/>
      <c r="M7" s="733"/>
      <c r="N7" s="733"/>
      <c r="O7" s="733"/>
    </row>
    <row r="8" spans="1:255" x14ac:dyDescent="0.35">
      <c r="A8" s="724" t="s">
        <v>417</v>
      </c>
      <c r="G8" s="734">
        <f>'LBO Model'!G148</f>
        <v>2681.58</v>
      </c>
      <c r="H8" s="734">
        <f>'LBO Model'!H148</f>
        <v>2795.3650000000002</v>
      </c>
      <c r="I8" s="734">
        <f ca="1">'LBO Model'!I148</f>
        <v>2846.1157142857151</v>
      </c>
      <c r="J8" s="734">
        <f ca="1">'LBO Model'!J148</f>
        <v>3083.1444285714297</v>
      </c>
      <c r="K8" s="734">
        <f ca="1">'LBO Model'!K148</f>
        <v>3374.4200000000014</v>
      </c>
      <c r="L8" s="734">
        <f ca="1">'LBO Model'!L148</f>
        <v>3886.8910000000014</v>
      </c>
      <c r="M8" s="734">
        <f ca="1">'LBO Model'!M148</f>
        <v>4220.0080000000016</v>
      </c>
      <c r="N8" s="734">
        <f ca="1">'LBO Model'!N148</f>
        <v>4593.740977397968</v>
      </c>
      <c r="O8" s="734">
        <f ca="1">'LBO Model'!O148</f>
        <v>5013.7081816123136</v>
      </c>
      <c r="P8" s="734">
        <f ca="1">'LBO Model'!P148</f>
        <v>5486.405976275908</v>
      </c>
      <c r="Q8" s="734">
        <f ca="1">'LBO Model'!Q148</f>
        <v>6019.3584004222148</v>
      </c>
      <c r="R8" s="734">
        <f ca="1">'LBO Model'!R148</f>
        <v>6621.2942404644364</v>
      </c>
      <c r="T8" s="735">
        <f ca="1">((R8/H8)^(1/10)-1)</f>
        <v>9.0060082958479448E-2</v>
      </c>
    </row>
    <row r="9" spans="1:255" x14ac:dyDescent="0.35">
      <c r="A9" s="736" t="s">
        <v>947</v>
      </c>
      <c r="G9" s="735">
        <f>'LBO Model'!G148/'LBO Model'!F148-1</f>
        <v>6.0250395876948915E-2</v>
      </c>
      <c r="H9" s="735">
        <f>H8/G8-1</f>
        <v>4.2432073628234201E-2</v>
      </c>
      <c r="I9" s="735">
        <f t="shared" ref="I9:R9" ca="1" si="1">I8/H8-1</f>
        <v>1.8155308621848887E-2</v>
      </c>
      <c r="J9" s="735">
        <f t="shared" ca="1" si="1"/>
        <v>8.3281474852192172E-2</v>
      </c>
      <c r="K9" s="735">
        <f t="shared" ca="1" si="1"/>
        <v>9.4473540950377632E-2</v>
      </c>
      <c r="L9" s="735">
        <f t="shared" ca="1" si="1"/>
        <v>0.15186935828972081</v>
      </c>
      <c r="M9" s="735">
        <f t="shared" ca="1" si="1"/>
        <v>8.5702686285774377E-2</v>
      </c>
      <c r="N9" s="735">
        <f t="shared" ca="1" si="1"/>
        <v>8.8562149028619475E-2</v>
      </c>
      <c r="O9" s="735">
        <f t="shared" ca="1" si="1"/>
        <v>9.1421611771464573E-2</v>
      </c>
      <c r="P9" s="735">
        <f t="shared" ca="1" si="1"/>
        <v>9.4281074514309671E-2</v>
      </c>
      <c r="Q9" s="735">
        <f t="shared" ca="1" si="1"/>
        <v>9.7140537257154769E-2</v>
      </c>
      <c r="R9" s="735">
        <f t="shared" ca="1" si="1"/>
        <v>0.10000000000000009</v>
      </c>
    </row>
    <row r="10" spans="1:255" ht="7.25" customHeight="1" x14ac:dyDescent="0.35">
      <c r="U10" s="737"/>
    </row>
    <row r="11" spans="1:255" x14ac:dyDescent="0.35">
      <c r="A11" s="724" t="s">
        <v>111</v>
      </c>
      <c r="G11" s="734">
        <f>'LBO Model'!G162</f>
        <v>394.09999999999985</v>
      </c>
      <c r="H11" s="734">
        <f>'LBO Model'!H162</f>
        <v>403.19000000000017</v>
      </c>
      <c r="I11" s="734">
        <f ca="1">'LBO Model'!I162</f>
        <v>440.89999999999992</v>
      </c>
      <c r="J11" s="734">
        <f ca="1">'LBO Model'!J162</f>
        <v>489.40000000000043</v>
      </c>
      <c r="K11" s="734">
        <f ca="1">'LBO Model'!K162</f>
        <v>561.10000000000059</v>
      </c>
      <c r="L11" s="734">
        <f ca="1">'LBO Model'!L162</f>
        <v>631.60000000000036</v>
      </c>
      <c r="M11" s="734">
        <f ca="1">'LBO Model'!M162</f>
        <v>692.1000000000007</v>
      </c>
      <c r="N11" s="734">
        <f ca="1">'LBO Model'!N162</f>
        <v>753.3938633427083</v>
      </c>
      <c r="O11" s="734">
        <f ca="1">'LBO Model'!O162</f>
        <v>822.27034462822928</v>
      </c>
      <c r="P11" s="734">
        <f ca="1">'LBO Model'!P162</f>
        <v>899.79487626102991</v>
      </c>
      <c r="Q11" s="734">
        <f ca="1">'LBO Model'!Q162</f>
        <v>987.2014339622616</v>
      </c>
      <c r="R11" s="734">
        <f ca="1">'LBO Model'!R162</f>
        <v>1085.9215773584885</v>
      </c>
      <c r="T11" s="735">
        <f ca="1">((R11/H11)^(1/10)-1)</f>
        <v>0.1041520193530947</v>
      </c>
      <c r="U11" s="737"/>
    </row>
    <row r="12" spans="1:255" x14ac:dyDescent="0.35">
      <c r="A12" s="736" t="s">
        <v>948</v>
      </c>
      <c r="G12" s="735">
        <f t="shared" ref="G12:R12" si="2">G11/G8</f>
        <v>0.14696559491046318</v>
      </c>
      <c r="H12" s="735">
        <f t="shared" si="2"/>
        <v>0.14423518932232468</v>
      </c>
      <c r="I12" s="735">
        <f t="shared" ca="1" si="2"/>
        <v>0.15491288628461541</v>
      </c>
      <c r="J12" s="735">
        <f t="shared" ca="1" si="2"/>
        <v>0.15873404938955882</v>
      </c>
      <c r="K12" s="735">
        <f t="shared" ca="1" si="2"/>
        <v>0.16628042745123617</v>
      </c>
      <c r="L12" s="735">
        <f t="shared" ca="1" si="2"/>
        <v>0.16249490917033693</v>
      </c>
      <c r="M12" s="735">
        <f t="shared" ca="1" si="2"/>
        <v>0.16400442842762394</v>
      </c>
      <c r="N12" s="735">
        <f t="shared" ca="1" si="2"/>
        <v>0.16400442842762394</v>
      </c>
      <c r="O12" s="735">
        <f t="shared" ca="1" si="2"/>
        <v>0.16400442842762394</v>
      </c>
      <c r="P12" s="735">
        <f t="shared" ca="1" si="2"/>
        <v>0.16400442842762386</v>
      </c>
      <c r="Q12" s="735">
        <f t="shared" ca="1" si="2"/>
        <v>0.16400442842762386</v>
      </c>
      <c r="R12" s="735">
        <f t="shared" ca="1" si="2"/>
        <v>0.16400442842762397</v>
      </c>
      <c r="U12" s="737"/>
    </row>
    <row r="13" spans="1:255" ht="7.25" customHeight="1" x14ac:dyDescent="0.35">
      <c r="U13" s="737"/>
    </row>
    <row r="14" spans="1:255" x14ac:dyDescent="0.35">
      <c r="A14" s="724" t="s">
        <v>949</v>
      </c>
      <c r="G14" s="734">
        <f>'LBO Model'!G166</f>
        <v>258.70199999999988</v>
      </c>
      <c r="H14" s="734">
        <f>'LBO Model'!H166</f>
        <v>248.83500000000018</v>
      </c>
      <c r="I14" s="734">
        <f ca="1">'LBO Model'!I166</f>
        <v>147.67936683571222</v>
      </c>
      <c r="J14" s="734">
        <f ca="1">'LBO Model'!J166</f>
        <v>191.14922397856978</v>
      </c>
      <c r="K14" s="734">
        <f ca="1">'LBO Model'!K166</f>
        <v>249.9856525499986</v>
      </c>
      <c r="L14" s="734">
        <f ca="1">'LBO Model'!L166</f>
        <v>294.38865254999826</v>
      </c>
      <c r="M14" s="734">
        <f ca="1">'LBO Model'!M166</f>
        <v>340.81065254999851</v>
      </c>
      <c r="N14" s="734">
        <f ca="1">'LBO Model'!N166</f>
        <v>382.58072445289986</v>
      </c>
      <c r="O14" s="734">
        <f ca="1">'LBO Model'!O166</f>
        <v>429.51814067724922</v>
      </c>
      <c r="P14" s="734">
        <f ca="1">'LBO Model'!P166</f>
        <v>482.34896392680184</v>
      </c>
      <c r="Q14" s="734">
        <f ca="1">'LBO Model'!Q166</f>
        <v>541.91411451214049</v>
      </c>
      <c r="R14" s="734">
        <f ca="1">'LBO Model'!R166</f>
        <v>609.18916070835553</v>
      </c>
      <c r="T14" s="735">
        <f ca="1">((R14/H14)^(1/10)-1)</f>
        <v>9.3664386251182785E-2</v>
      </c>
      <c r="U14" s="737"/>
    </row>
    <row r="15" spans="1:255" x14ac:dyDescent="0.35">
      <c r="A15" s="736" t="s">
        <v>950</v>
      </c>
      <c r="G15" s="735">
        <f t="shared" ref="G15:R15" si="3">G14/G8</f>
        <v>9.6473720716890754E-2</v>
      </c>
      <c r="H15" s="735">
        <f t="shared" si="3"/>
        <v>8.9016997780254153E-2</v>
      </c>
      <c r="I15" s="735">
        <f t="shared" ca="1" si="3"/>
        <v>5.1888040283975263E-2</v>
      </c>
      <c r="J15" s="735">
        <f t="shared" ca="1" si="3"/>
        <v>6.1998141315468144E-2</v>
      </c>
      <c r="K15" s="735">
        <f t="shared" ca="1" si="3"/>
        <v>7.4082554201906847E-2</v>
      </c>
      <c r="L15" s="735">
        <f t="shared" ca="1" si="3"/>
        <v>7.573884952009155E-2</v>
      </c>
      <c r="M15" s="735">
        <f t="shared" ca="1" si="3"/>
        <v>8.0760665039023238E-2</v>
      </c>
      <c r="N15" s="735">
        <f t="shared" ca="1" si="3"/>
        <v>8.3283042369011628E-2</v>
      </c>
      <c r="O15" s="735">
        <f t="shared" ca="1" si="3"/>
        <v>8.5668755563496776E-2</v>
      </c>
      <c r="P15" s="735">
        <f t="shared" ca="1" si="3"/>
        <v>8.7917111131140396E-2</v>
      </c>
      <c r="Q15" s="735">
        <f t="shared" ca="1" si="3"/>
        <v>9.0028550962197085E-2</v>
      </c>
      <c r="R15" s="735">
        <f t="shared" ca="1" si="3"/>
        <v>9.2004544517209866E-2</v>
      </c>
      <c r="U15" s="737"/>
    </row>
    <row r="16" spans="1:255" ht="7.25" customHeight="1" x14ac:dyDescent="0.35">
      <c r="U16" s="737"/>
    </row>
    <row r="17" spans="1:23" x14ac:dyDescent="0.35">
      <c r="A17" s="724" t="s">
        <v>470</v>
      </c>
      <c r="B17" s="724" t="s">
        <v>951</v>
      </c>
      <c r="G17" s="734">
        <f t="shared" ref="G17:R17" si="4">-G71*G14</f>
        <v>-88.558073833139787</v>
      </c>
      <c r="H17" s="734">
        <f t="shared" si="4"/>
        <v>-87.377587215723196</v>
      </c>
      <c r="I17" s="734">
        <f t="shared" ca="1" si="4"/>
        <v>-51.687778392499276</v>
      </c>
      <c r="J17" s="734">
        <f t="shared" ca="1" si="4"/>
        <v>-66.902228392499424</v>
      </c>
      <c r="K17" s="734">
        <f t="shared" ca="1" si="4"/>
        <v>-87.494978392499505</v>
      </c>
      <c r="L17" s="734">
        <f t="shared" ca="1" si="4"/>
        <v>-103.03602839249939</v>
      </c>
      <c r="M17" s="734">
        <f t="shared" ca="1" si="4"/>
        <v>-119.28372839249947</v>
      </c>
      <c r="N17" s="734">
        <f t="shared" ca="1" si="4"/>
        <v>-133.90325355851493</v>
      </c>
      <c r="O17" s="734">
        <f t="shared" ca="1" si="4"/>
        <v>-150.33134923703722</v>
      </c>
      <c r="P17" s="734">
        <f t="shared" ca="1" si="4"/>
        <v>-168.82213737438065</v>
      </c>
      <c r="Q17" s="734">
        <f t="shared" ca="1" si="4"/>
        <v>-189.66994007924916</v>
      </c>
      <c r="R17" s="734">
        <f t="shared" ca="1" si="4"/>
        <v>-213.21620624792442</v>
      </c>
      <c r="U17" s="737"/>
    </row>
    <row r="18" spans="1:23" x14ac:dyDescent="0.35">
      <c r="A18" s="733" t="s">
        <v>952</v>
      </c>
      <c r="G18" s="738">
        <f t="shared" ref="G18:R18" si="5">G14+G17</f>
        <v>170.1439261668601</v>
      </c>
      <c r="H18" s="738">
        <f t="shared" si="5"/>
        <v>161.45741278427698</v>
      </c>
      <c r="I18" s="738">
        <f t="shared" ca="1" si="5"/>
        <v>95.991588443212947</v>
      </c>
      <c r="J18" s="738">
        <f t="shared" ca="1" si="5"/>
        <v>124.24699558607035</v>
      </c>
      <c r="K18" s="738">
        <f t="shared" ca="1" si="5"/>
        <v>162.49067415749909</v>
      </c>
      <c r="L18" s="738">
        <f t="shared" ca="1" si="5"/>
        <v>191.35262415749887</v>
      </c>
      <c r="M18" s="738">
        <f t="shared" ca="1" si="5"/>
        <v>221.52692415749902</v>
      </c>
      <c r="N18" s="738">
        <f t="shared" ca="1" si="5"/>
        <v>248.67747089438492</v>
      </c>
      <c r="O18" s="738">
        <f t="shared" ca="1" si="5"/>
        <v>279.186791440212</v>
      </c>
      <c r="P18" s="738">
        <f t="shared" ca="1" si="5"/>
        <v>313.5268265524212</v>
      </c>
      <c r="Q18" s="738">
        <f t="shared" ca="1" si="5"/>
        <v>352.24417443289133</v>
      </c>
      <c r="R18" s="738">
        <f t="shared" ca="1" si="5"/>
        <v>395.97295446043108</v>
      </c>
      <c r="U18" s="737"/>
    </row>
    <row r="19" spans="1:23" x14ac:dyDescent="0.35">
      <c r="A19" s="724" t="s">
        <v>469</v>
      </c>
      <c r="B19" s="724" t="s">
        <v>953</v>
      </c>
      <c r="G19" s="734">
        <f t="shared" ref="G19:R19" si="6">G11-G14</f>
        <v>135.39799999999997</v>
      </c>
      <c r="H19" s="734">
        <f t="shared" si="6"/>
        <v>154.35499999999999</v>
      </c>
      <c r="I19" s="734">
        <f t="shared" ca="1" si="6"/>
        <v>293.22063316428773</v>
      </c>
      <c r="J19" s="734">
        <f t="shared" ca="1" si="6"/>
        <v>298.25077602143062</v>
      </c>
      <c r="K19" s="734">
        <f t="shared" ca="1" si="6"/>
        <v>311.11434745000201</v>
      </c>
      <c r="L19" s="734">
        <f t="shared" ca="1" si="6"/>
        <v>337.21134745000211</v>
      </c>
      <c r="M19" s="734">
        <f t="shared" ca="1" si="6"/>
        <v>351.2893474500022</v>
      </c>
      <c r="N19" s="734">
        <f t="shared" ca="1" si="6"/>
        <v>370.81313888980844</v>
      </c>
      <c r="O19" s="734">
        <f t="shared" ca="1" si="6"/>
        <v>392.75220395098006</v>
      </c>
      <c r="P19" s="734">
        <f t="shared" ca="1" si="6"/>
        <v>417.44591233422807</v>
      </c>
      <c r="Q19" s="734">
        <f t="shared" ca="1" si="6"/>
        <v>445.28731945012112</v>
      </c>
      <c r="R19" s="734">
        <f t="shared" ca="1" si="6"/>
        <v>476.73241665013302</v>
      </c>
      <c r="U19" s="737"/>
    </row>
    <row r="20" spans="1:23" x14ac:dyDescent="0.35">
      <c r="A20" s="724" t="s">
        <v>470</v>
      </c>
      <c r="B20" s="724" t="s">
        <v>184</v>
      </c>
      <c r="G20" s="734">
        <f>-'LBO Model'!G201</f>
        <v>-223.93199999999999</v>
      </c>
      <c r="H20" s="734">
        <f>-'LBO Model'!H201</f>
        <v>-200.06299999999999</v>
      </c>
      <c r="I20" s="734">
        <f ca="1">-'LBO Model'!I201</f>
        <v>-210.89375000000007</v>
      </c>
      <c r="J20" s="734">
        <f ca="1">-'LBO Model'!J201</f>
        <v>-199.77150000000009</v>
      </c>
      <c r="K20" s="734">
        <f ca="1">-'LBO Model'!K201</f>
        <v>-195.88400000000007</v>
      </c>
      <c r="L20" s="734">
        <f ca="1">-'LBO Model'!L201</f>
        <v>-196.36400000000006</v>
      </c>
      <c r="M20" s="734">
        <f ca="1">-'LBO Model'!M201</f>
        <v>-192.70400000000009</v>
      </c>
      <c r="N20" s="734">
        <f ca="1">-'LBO Model'!N201</f>
        <v>-215.59113045806779</v>
      </c>
      <c r="O20" s="734">
        <f ca="1">-'LBO Model'!O201</f>
        <v>-241.65382067709243</v>
      </c>
      <c r="P20" s="734">
        <f ca="1">-'LBO Model'!P201</f>
        <v>-271.38917195612709</v>
      </c>
      <c r="Q20" s="734">
        <f ca="1">-'LBO Model'!Q201</f>
        <v>-305.37934937383739</v>
      </c>
      <c r="R20" s="734">
        <f ca="1">-'LBO Model'!R201</f>
        <v>-344.3073005041507</v>
      </c>
      <c r="U20" s="737"/>
    </row>
    <row r="21" spans="1:23" x14ac:dyDescent="0.35">
      <c r="A21" s="724" t="s">
        <v>470</v>
      </c>
      <c r="B21" s="724" t="s">
        <v>954</v>
      </c>
      <c r="G21" s="734"/>
      <c r="H21" s="734"/>
      <c r="I21" s="734">
        <f ca="1">'LBO Model'!I204</f>
        <v>-22.238721701761136</v>
      </c>
      <c r="J21" s="734">
        <f ca="1">'LBO Model'!J204</f>
        <v>15.027606132759246</v>
      </c>
      <c r="K21" s="734">
        <f ca="1">'LBO Model'!K204</f>
        <v>16.540767799138962</v>
      </c>
      <c r="L21" s="734">
        <f ca="1">'LBO Model'!L204</f>
        <v>38.400257450628089</v>
      </c>
      <c r="M21" s="734">
        <f ca="1">'LBO Model'!M204</f>
        <v>21.898841644166339</v>
      </c>
      <c r="N21" s="734">
        <f ca="1">'LBO Model'!N204</f>
        <v>26.110667812760482</v>
      </c>
      <c r="O21" s="734">
        <f ca="1">'LBO Model'!O204</f>
        <v>29.34079897856526</v>
      </c>
      <c r="P21" s="734">
        <f ca="1">'LBO Model'!P204</f>
        <v>33.646210133176965</v>
      </c>
      <c r="Q21" s="734">
        <f ca="1">'LBO Model'!Q204</f>
        <v>36.613040152928818</v>
      </c>
      <c r="R21" s="734">
        <f ca="1">'LBO Model'!R204</f>
        <v>42.053946840236051</v>
      </c>
    </row>
    <row r="22" spans="1:23" ht="7.25" customHeight="1" x14ac:dyDescent="0.35">
      <c r="G22" s="788"/>
      <c r="H22" s="788"/>
      <c r="I22" s="739"/>
      <c r="J22" s="739"/>
      <c r="K22" s="739"/>
      <c r="L22" s="739"/>
      <c r="M22" s="739"/>
      <c r="N22" s="739"/>
      <c r="O22" s="739"/>
      <c r="P22" s="739"/>
      <c r="Q22" s="739"/>
      <c r="R22" s="739"/>
    </row>
    <row r="23" spans="1:23" x14ac:dyDescent="0.35">
      <c r="A23" s="733" t="s">
        <v>1035</v>
      </c>
      <c r="G23" s="787"/>
      <c r="H23" s="787"/>
      <c r="I23" s="738">
        <f t="shared" ref="I23:R23" ca="1" si="7">SUM(I18:I21)</f>
        <v>156.07974990573948</v>
      </c>
      <c r="J23" s="738">
        <f t="shared" ca="1" si="7"/>
        <v>237.75387774026012</v>
      </c>
      <c r="K23" s="738">
        <f t="shared" ca="1" si="7"/>
        <v>294.26178940663999</v>
      </c>
      <c r="L23" s="738">
        <f t="shared" ca="1" si="7"/>
        <v>370.60022905812906</v>
      </c>
      <c r="M23" s="738">
        <f t="shared" ca="1" si="7"/>
        <v>402.0111132516675</v>
      </c>
      <c r="N23" s="738">
        <f t="shared" ca="1" si="7"/>
        <v>430.010147138886</v>
      </c>
      <c r="O23" s="738">
        <f t="shared" ca="1" si="7"/>
        <v>459.6259736926649</v>
      </c>
      <c r="P23" s="738">
        <f t="shared" ca="1" si="7"/>
        <v>493.22977706369915</v>
      </c>
      <c r="Q23" s="738">
        <f t="shared" ca="1" si="7"/>
        <v>528.76518466210382</v>
      </c>
      <c r="R23" s="738">
        <f t="shared" ca="1" si="7"/>
        <v>570.45201744664951</v>
      </c>
      <c r="T23" s="735">
        <f ca="1">((R23/L23)^(1/6)-1)</f>
        <v>7.4530893231851136E-2</v>
      </c>
    </row>
    <row r="24" spans="1:23" x14ac:dyDescent="0.35">
      <c r="A24" s="733" t="str">
        <f>"Terminal Cash Flows @ "&amp;TEXT($F$49,"#,##x")&amp;" EBITDA Multiple ….............................................................................................................................................................................................................................."</f>
        <v>Terminal Cash Flows @ 7,7x EBITDA Multiple …..............................................................................................................................................................................................................................</v>
      </c>
      <c r="G24" s="739"/>
      <c r="H24" s="739"/>
      <c r="I24" s="739"/>
      <c r="J24" s="739"/>
      <c r="K24" s="739"/>
      <c r="L24" s="739"/>
      <c r="M24" s="739"/>
      <c r="N24" s="739"/>
      <c r="P24" s="740"/>
      <c r="Q24" s="740"/>
      <c r="R24" s="741">
        <f ca="1">R11*F49</f>
        <v>8361.5961456603618</v>
      </c>
      <c r="U24" s="742">
        <f ca="1">R23*(1+F50)/(F48-F50)</f>
        <v>8361.5961456603636</v>
      </c>
      <c r="V24" s="743" t="s">
        <v>906</v>
      </c>
      <c r="W24" s="744">
        <f ca="1">R24-U24</f>
        <v>0</v>
      </c>
    </row>
    <row r="25" spans="1:23" x14ac:dyDescent="0.35">
      <c r="A25" s="733" t="s">
        <v>1036</v>
      </c>
      <c r="G25" s="745"/>
      <c r="H25" s="745"/>
      <c r="I25" s="738">
        <f t="shared" ref="I25:Q25" ca="1" si="8">SUM(I23:I24)</f>
        <v>156.07974990573948</v>
      </c>
      <c r="J25" s="738">
        <f t="shared" ca="1" si="8"/>
        <v>237.75387774026012</v>
      </c>
      <c r="K25" s="738">
        <f t="shared" ca="1" si="8"/>
        <v>294.26178940663999</v>
      </c>
      <c r="L25" s="738">
        <f t="shared" ca="1" si="8"/>
        <v>370.60022905812906</v>
      </c>
      <c r="M25" s="738">
        <f t="shared" ca="1" si="8"/>
        <v>402.0111132516675</v>
      </c>
      <c r="N25" s="738">
        <f t="shared" ca="1" si="8"/>
        <v>430.010147138886</v>
      </c>
      <c r="O25" s="738">
        <f t="shared" ca="1" si="8"/>
        <v>459.6259736926649</v>
      </c>
      <c r="P25" s="738">
        <f t="shared" ca="1" si="8"/>
        <v>493.22977706369915</v>
      </c>
      <c r="Q25" s="738">
        <f t="shared" ca="1" si="8"/>
        <v>528.76518466210382</v>
      </c>
      <c r="R25" s="738">
        <f ca="1">SUM(R23:R24)</f>
        <v>8932.0481631070106</v>
      </c>
    </row>
    <row r="26" spans="1:23" ht="7.25" customHeight="1" x14ac:dyDescent="0.35"/>
    <row r="27" spans="1:23" x14ac:dyDescent="0.35">
      <c r="A27" s="724" t="s">
        <v>955</v>
      </c>
      <c r="G27" s="746"/>
      <c r="H27" s="746"/>
      <c r="I27" s="747">
        <v>1</v>
      </c>
      <c r="J27" s="747">
        <f>I27+1</f>
        <v>2</v>
      </c>
      <c r="K27" s="747">
        <f t="shared" ref="K27:R27" si="9">J27+1</f>
        <v>3</v>
      </c>
      <c r="L27" s="747">
        <f t="shared" si="9"/>
        <v>4</v>
      </c>
      <c r="M27" s="747">
        <f t="shared" si="9"/>
        <v>5</v>
      </c>
      <c r="N27" s="747">
        <f t="shared" si="9"/>
        <v>6</v>
      </c>
      <c r="O27" s="747">
        <f t="shared" si="9"/>
        <v>7</v>
      </c>
      <c r="P27" s="747">
        <f t="shared" si="9"/>
        <v>8</v>
      </c>
      <c r="Q27" s="747">
        <f t="shared" si="9"/>
        <v>9</v>
      </c>
      <c r="R27" s="747">
        <f t="shared" si="9"/>
        <v>10</v>
      </c>
    </row>
    <row r="28" spans="1:23" x14ac:dyDescent="0.35">
      <c r="A28" s="724" t="s">
        <v>956</v>
      </c>
      <c r="G28" s="748"/>
      <c r="H28" s="748"/>
      <c r="I28" s="748">
        <f t="shared" ref="I28:R28" si="10">1/((1+$F$48)^I27)</f>
        <v>0.90871805812853967</v>
      </c>
      <c r="J28" s="748">
        <f t="shared" si="10"/>
        <v>0.82576850916890399</v>
      </c>
      <c r="K28" s="748">
        <f t="shared" si="10"/>
        <v>0.75039075611566575</v>
      </c>
      <c r="L28" s="748">
        <f t="shared" si="10"/>
        <v>0.68189363073503428</v>
      </c>
      <c r="M28" s="748">
        <f t="shared" si="10"/>
        <v>0.6196490559717599</v>
      </c>
      <c r="N28" s="748">
        <f t="shared" si="10"/>
        <v>0.56308628686384044</v>
      </c>
      <c r="O28" s="748">
        <f t="shared" si="10"/>
        <v>0.51168667715771898</v>
      </c>
      <c r="P28" s="748">
        <f t="shared" si="10"/>
        <v>0.46497892363700732</v>
      </c>
      <c r="Q28" s="748">
        <f t="shared" si="10"/>
        <v>0.42253474455811979</v>
      </c>
      <c r="R28" s="748">
        <f t="shared" si="10"/>
        <v>0.38396495256669322</v>
      </c>
    </row>
    <row r="29" spans="1:23" ht="9.25" customHeight="1" x14ac:dyDescent="0.35">
      <c r="G29" s="748"/>
      <c r="H29" s="748"/>
      <c r="I29" s="748"/>
      <c r="J29" s="748"/>
      <c r="K29" s="748"/>
      <c r="L29" s="748"/>
      <c r="M29" s="748"/>
      <c r="N29" s="748"/>
      <c r="O29" s="748"/>
      <c r="P29" s="748"/>
      <c r="Q29" s="748"/>
      <c r="R29" s="748"/>
    </row>
    <row r="30" spans="1:23" x14ac:dyDescent="0.35">
      <c r="A30" s="724" t="str">
        <f>"DCF of Free Cash Flows @ "&amp;TEXT(F48,"#0,0%")&amp;" WACC …..................................................................................................................................................................."</f>
        <v>DCF of Free Cash Flows @ 10,0% WACC …...................................................................................................................................................................</v>
      </c>
      <c r="F30" s="734">
        <f ca="1">SUM(I30:R30)</f>
        <v>2209.9032208053609</v>
      </c>
      <c r="G30" s="739"/>
      <c r="H30" s="739"/>
      <c r="I30" s="734">
        <f t="shared" ref="I30:R30" ca="1" si="11">I23*I28</f>
        <v>141.8324872475317</v>
      </c>
      <c r="J30" s="734">
        <f t="shared" ca="1" si="11"/>
        <v>196.32966517070048</v>
      </c>
      <c r="K30" s="734">
        <f t="shared" ca="1" si="11"/>
        <v>220.81132664879738</v>
      </c>
      <c r="L30" s="734">
        <f t="shared" ca="1" si="11"/>
        <v>252.70993574368299</v>
      </c>
      <c r="M30" s="734">
        <f t="shared" ca="1" si="11"/>
        <v>249.10580681655202</v>
      </c>
      <c r="N30" s="734">
        <f t="shared" ca="1" si="11"/>
        <v>242.13281706620899</v>
      </c>
      <c r="O30" s="734">
        <f t="shared" ca="1" si="11"/>
        <v>235.18448721418088</v>
      </c>
      <c r="P30" s="734">
        <f t="shared" ca="1" si="11"/>
        <v>229.34145084479991</v>
      </c>
      <c r="Q30" s="734">
        <f t="shared" ca="1" si="11"/>
        <v>223.42166223242907</v>
      </c>
      <c r="R30" s="734">
        <f t="shared" ca="1" si="11"/>
        <v>219.03358182047722</v>
      </c>
    </row>
    <row r="31" spans="1:23" x14ac:dyDescent="0.35">
      <c r="A31" s="724" t="str">
        <f>"DCF of Terminal Value @ "&amp;TEXT(F48,"#0,0%")&amp;" WACC ….............................................................................................................................................................................................................................................."</f>
        <v>DCF of Terminal Value @ 10,0% WACC …..............................................................................................................................................................................................................................................</v>
      </c>
      <c r="F31" s="734">
        <f ca="1">SUM(I31:R31)</f>
        <v>3210.5598674503258</v>
      </c>
      <c r="G31" s="739"/>
      <c r="H31" s="739"/>
      <c r="I31" s="734"/>
      <c r="J31" s="739"/>
      <c r="K31" s="739"/>
      <c r="L31" s="739"/>
      <c r="M31" s="739"/>
      <c r="N31" s="739"/>
      <c r="O31" s="739"/>
      <c r="P31" s="739"/>
      <c r="Q31" s="739"/>
      <c r="R31" s="734">
        <f ca="1">R24*R28</f>
        <v>3210.5598674503258</v>
      </c>
    </row>
    <row r="32" spans="1:23" x14ac:dyDescent="0.35">
      <c r="A32" s="724" t="s">
        <v>1007</v>
      </c>
      <c r="F32" s="738">
        <f ca="1">SUM(F30:F31)</f>
        <v>5420.4630882556867</v>
      </c>
      <c r="G32" s="739"/>
      <c r="H32" s="739"/>
      <c r="I32" s="734"/>
      <c r="J32" s="739"/>
      <c r="K32" s="739"/>
      <c r="L32" s="739"/>
      <c r="M32" s="739"/>
      <c r="N32" s="739"/>
      <c r="O32" s="739"/>
      <c r="P32" s="739"/>
      <c r="Q32" s="739"/>
      <c r="R32" s="734"/>
    </row>
    <row r="34" spans="1:21" ht="16" thickBot="1" x14ac:dyDescent="0.4">
      <c r="A34" s="749" t="str">
        <f>"DCF Calculation @ "&amp;TEXT(F48,"#0,0%")&amp;" WACC discount rate"</f>
        <v>DCF Calculation @ 10,0% WACC discount rate</v>
      </c>
      <c r="B34" s="750"/>
      <c r="C34" s="750"/>
      <c r="D34" s="750"/>
      <c r="E34" s="750"/>
      <c r="F34" s="750"/>
      <c r="I34" s="749" t="s">
        <v>957</v>
      </c>
      <c r="J34" s="750"/>
      <c r="K34" s="750"/>
      <c r="L34" s="750"/>
      <c r="M34" s="750"/>
      <c r="N34" s="750"/>
      <c r="O34" s="750"/>
      <c r="P34" s="750"/>
      <c r="Q34" s="750"/>
    </row>
    <row r="36" spans="1:21" x14ac:dyDescent="0.35">
      <c r="A36" s="724" t="s">
        <v>1006</v>
      </c>
      <c r="F36" s="734">
        <f ca="1">SUM(I30:R30)</f>
        <v>2209.9032208053609</v>
      </c>
      <c r="G36" s="735">
        <f ca="1">F36/F38</f>
        <v>0.40769638771149924</v>
      </c>
      <c r="M36" s="751" t="s">
        <v>933</v>
      </c>
      <c r="N36" s="752"/>
      <c r="O36" s="752"/>
      <c r="P36" s="752"/>
      <c r="Q36" s="752"/>
    </row>
    <row r="37" spans="1:21" x14ac:dyDescent="0.35">
      <c r="A37" s="724" t="str">
        <f>"DCF of Terminal Value @ "&amp;TEXT($F$49,"#,##x")&amp;" EBITDA Multiple"</f>
        <v>DCF of Terminal Value @ 7,7x EBITDA Multiple</v>
      </c>
      <c r="F37" s="734">
        <f ca="1">SUM(I31:R31)</f>
        <v>3210.5598674503258</v>
      </c>
      <c r="G37" s="753">
        <f ca="1">F37/F38</f>
        <v>0.59230361228850081</v>
      </c>
      <c r="I37" s="754"/>
      <c r="L37" s="755">
        <f ca="1">F42</f>
        <v>220.65395657034048</v>
      </c>
      <c r="M37" s="756">
        <v>9.5000000000000001E-2</v>
      </c>
      <c r="N37" s="756">
        <v>9.8188938542277809E-2</v>
      </c>
      <c r="O37" s="757">
        <v>0.10045133477313212</v>
      </c>
      <c r="P37" s="756">
        <v>0.11</v>
      </c>
      <c r="Q37" s="756">
        <v>0.12</v>
      </c>
    </row>
    <row r="38" spans="1:21" x14ac:dyDescent="0.35">
      <c r="A38" s="733" t="s">
        <v>958</v>
      </c>
      <c r="F38" s="738">
        <f ca="1">SUM(F36:F37)</f>
        <v>5420.4630882556867</v>
      </c>
      <c r="G38" s="735">
        <f ca="1">F38/F38</f>
        <v>1</v>
      </c>
      <c r="I38" s="754"/>
      <c r="K38" s="758" t="s">
        <v>959</v>
      </c>
      <c r="L38" s="759">
        <v>7.7</v>
      </c>
      <c r="M38" s="760">
        <f t="dataTable" ref="M38:Q40" dt2D="1" dtr="1" r1="F48" r2="F49" ca="1"/>
        <v>230.64710286865017</v>
      </c>
      <c r="N38" s="760">
        <v>224.74015961505694</v>
      </c>
      <c r="O38" s="761">
        <v>220.65395657034009</v>
      </c>
      <c r="P38" s="760">
        <v>204.31487825153283</v>
      </c>
      <c r="Q38" s="760">
        <v>188.66245854224212</v>
      </c>
    </row>
    <row r="39" spans="1:21" x14ac:dyDescent="0.35">
      <c r="A39" s="724" t="str">
        <f>"Less: "&amp;TEXT(F57,"M/D/YYYY")&amp;" (Net Debt)/Cash"</f>
        <v>Less: 12/31/2016 (Net Debt)/Cash</v>
      </c>
      <c r="F39" s="734">
        <f>-F55</f>
        <v>-406.48145</v>
      </c>
      <c r="I39" s="754"/>
      <c r="K39" s="758" t="s">
        <v>111</v>
      </c>
      <c r="L39" s="759">
        <v>10</v>
      </c>
      <c r="M39" s="760">
        <v>274.99919257341276</v>
      </c>
      <c r="N39" s="760">
        <v>267.82104586307798</v>
      </c>
      <c r="O39" s="761">
        <v>262.8573005402987</v>
      </c>
      <c r="P39" s="760">
        <v>243.02508500150358</v>
      </c>
      <c r="Q39" s="760">
        <v>224.0520094950671</v>
      </c>
    </row>
    <row r="40" spans="1:21" x14ac:dyDescent="0.35">
      <c r="A40" s="733" t="s">
        <v>960</v>
      </c>
      <c r="F40" s="738">
        <f ca="1">F38+F39</f>
        <v>5013.9816382556864</v>
      </c>
      <c r="I40" s="754"/>
      <c r="K40" s="758" t="s">
        <v>401</v>
      </c>
      <c r="L40" s="759">
        <v>13</v>
      </c>
      <c r="M40" s="760">
        <v>332.84974436223354</v>
      </c>
      <c r="N40" s="760">
        <v>324.01350618658375</v>
      </c>
      <c r="O40" s="761">
        <v>317.9051405011142</v>
      </c>
      <c r="P40" s="760">
        <v>293.51665902320468</v>
      </c>
      <c r="Q40" s="760">
        <v>270.21229334657789</v>
      </c>
    </row>
    <row r="41" spans="1:21" x14ac:dyDescent="0.35">
      <c r="A41" s="724" t="s">
        <v>980</v>
      </c>
      <c r="D41" s="762"/>
      <c r="E41" s="762"/>
      <c r="F41" s="763">
        <f>'LBO Model'!F18</f>
        <v>22.723279999999999</v>
      </c>
      <c r="I41" s="754"/>
      <c r="L41" s="764"/>
      <c r="U41" s="765"/>
    </row>
    <row r="42" spans="1:21" x14ac:dyDescent="0.35">
      <c r="A42" s="733" t="s">
        <v>961</v>
      </c>
      <c r="F42" s="766">
        <f ca="1">F40/F41</f>
        <v>220.65395657034048</v>
      </c>
      <c r="L42" s="767">
        <f ca="1">F43</f>
        <v>-8.9364623677959831E-2</v>
      </c>
      <c r="M42" s="756">
        <v>9.5000000000000001E-2</v>
      </c>
      <c r="N42" s="756">
        <v>9.8188938542277809E-2</v>
      </c>
      <c r="O42" s="757">
        <v>0.10045133477313212</v>
      </c>
      <c r="P42" s="756">
        <v>0.11</v>
      </c>
      <c r="Q42" s="756">
        <v>0.12</v>
      </c>
    </row>
    <row r="43" spans="1:21" x14ac:dyDescent="0.35">
      <c r="A43" s="743" t="s">
        <v>981</v>
      </c>
      <c r="B43" s="743"/>
      <c r="C43" s="743"/>
      <c r="D43" s="872">
        <f>'LBO Model'!F14</f>
        <v>242.30769230769229</v>
      </c>
      <c r="E43" s="743"/>
      <c r="F43" s="798">
        <f ca="1">F42/D43-1</f>
        <v>-8.9364623677959831E-2</v>
      </c>
      <c r="K43" s="758" t="s">
        <v>959</v>
      </c>
      <c r="L43" s="759">
        <v>7.7</v>
      </c>
      <c r="M43" s="799">
        <f t="dataTable" ref="M43:Q45" dt2D="1" dtr="1" r1="F48" r2="F49" ca="1"/>
        <v>-4.8123067526205654E-2</v>
      </c>
      <c r="N43" s="799">
        <v>-7.2500928572780787E-2</v>
      </c>
      <c r="O43" s="800">
        <v>-8.9364623677961497E-2</v>
      </c>
      <c r="P43" s="799">
        <v>-0.15679574054922951</v>
      </c>
      <c r="Q43" s="799">
        <v>-0.22139302823836582</v>
      </c>
    </row>
    <row r="44" spans="1:21" x14ac:dyDescent="0.35">
      <c r="A44" s="768" t="s">
        <v>962</v>
      </c>
      <c r="F44" s="732">
        <v>2016</v>
      </c>
      <c r="G44" s="732">
        <v>2017</v>
      </c>
      <c r="K44" s="758" t="s">
        <v>111</v>
      </c>
      <c r="L44" s="759">
        <v>10</v>
      </c>
      <c r="M44" s="799">
        <v>0.13491730268392566</v>
      </c>
      <c r="N44" s="799">
        <v>0.10529320514921081</v>
      </c>
      <c r="O44" s="800">
        <v>8.4807906991708926E-2</v>
      </c>
      <c r="P44" s="799">
        <v>2.9606682601734935E-3</v>
      </c>
      <c r="Q44" s="799">
        <v>-7.5340913194961168E-2</v>
      </c>
    </row>
    <row r="45" spans="1:21" x14ac:dyDescent="0.35">
      <c r="A45" s="724" t="s">
        <v>963</v>
      </c>
      <c r="F45" s="769">
        <f ca="1">$F38/H11</f>
        <v>13.443942280948646</v>
      </c>
      <c r="G45" s="769">
        <f ca="1">$F38/I11</f>
        <v>12.294087294750936</v>
      </c>
      <c r="K45" s="758" t="s">
        <v>401</v>
      </c>
      <c r="L45" s="759">
        <v>13</v>
      </c>
      <c r="M45" s="799">
        <v>0.3736656116536623</v>
      </c>
      <c r="N45" s="799">
        <v>0.33719859696050447</v>
      </c>
      <c r="O45" s="800">
        <v>0.31198946873475708</v>
      </c>
      <c r="P45" s="799">
        <v>0.21133859279417821</v>
      </c>
      <c r="Q45" s="799">
        <v>0.11516184555730558</v>
      </c>
    </row>
    <row r="46" spans="1:21" x14ac:dyDescent="0.35">
      <c r="L46" s="764"/>
    </row>
    <row r="47" spans="1:21" x14ac:dyDescent="0.35">
      <c r="A47" s="731" t="s">
        <v>964</v>
      </c>
      <c r="B47" s="770"/>
      <c r="C47" s="770"/>
      <c r="D47" s="770"/>
      <c r="E47" s="770"/>
      <c r="F47" s="770"/>
      <c r="L47" s="767">
        <f ca="1">F45</f>
        <v>13.443942280948646</v>
      </c>
      <c r="M47" s="756">
        <v>9.5000000000000001E-2</v>
      </c>
      <c r="N47" s="756">
        <v>9.8188938542277809E-2</v>
      </c>
      <c r="O47" s="757">
        <v>0.10045133477313201</v>
      </c>
      <c r="P47" s="756">
        <v>0.11</v>
      </c>
      <c r="Q47" s="756">
        <v>0.12</v>
      </c>
    </row>
    <row r="48" spans="1:21" x14ac:dyDescent="0.35">
      <c r="A48" s="724" t="s">
        <v>933</v>
      </c>
      <c r="F48" s="771">
        <v>0.10045133477313201</v>
      </c>
      <c r="I48" s="733"/>
      <c r="K48" s="758" t="s">
        <v>959</v>
      </c>
      <c r="L48" s="759">
        <v>7.7</v>
      </c>
      <c r="M48" s="772">
        <f t="dataTable" ref="M48:Q50" dt2D="1" dtr="1" r1="F48" r2="F49" ca="1"/>
        <v>14.007143405523795</v>
      </c>
      <c r="N48" s="772">
        <v>13.674235532075768</v>
      </c>
      <c r="O48" s="775">
        <v>13.443942280948646</v>
      </c>
      <c r="P48" s="772">
        <v>12.523092429562958</v>
      </c>
      <c r="Q48" s="772">
        <v>11.64094179157161</v>
      </c>
    </row>
    <row r="49" spans="1:20" x14ac:dyDescent="0.35">
      <c r="A49" s="724" t="s">
        <v>965</v>
      </c>
      <c r="F49" s="773">
        <v>7.7</v>
      </c>
      <c r="I49" s="774"/>
      <c r="K49" s="758" t="s">
        <v>111</v>
      </c>
      <c r="L49" s="759">
        <v>10</v>
      </c>
      <c r="M49" s="772">
        <v>16.506771255784063</v>
      </c>
      <c r="N49" s="772">
        <v>16.102219958430418</v>
      </c>
      <c r="O49" s="775">
        <v>15.822469531043344</v>
      </c>
      <c r="P49" s="772">
        <v>14.704750870589459</v>
      </c>
      <c r="Q49" s="772">
        <v>13.635452259031887</v>
      </c>
      <c r="T49" s="776"/>
    </row>
    <row r="50" spans="1:20" x14ac:dyDescent="0.35">
      <c r="A50" s="724" t="s">
        <v>966</v>
      </c>
      <c r="F50" s="649">
        <f ca="1">((F48*R24)-R23)/(R23+R24)</f>
        <v>3.0170177242424399E-2</v>
      </c>
      <c r="I50" s="774"/>
      <c r="K50" s="758" t="s">
        <v>401</v>
      </c>
      <c r="L50" s="759">
        <v>13</v>
      </c>
      <c r="M50" s="772">
        <v>19.767155408297455</v>
      </c>
      <c r="N50" s="772">
        <v>19.269156166719096</v>
      </c>
      <c r="O50" s="775">
        <v>18.924896378992948</v>
      </c>
      <c r="P50" s="772">
        <v>17.55039231540664</v>
      </c>
      <c r="Q50" s="772">
        <v>16.236987651371376</v>
      </c>
    </row>
    <row r="51" spans="1:20" x14ac:dyDescent="0.35">
      <c r="L51" s="764"/>
    </row>
    <row r="52" spans="1:20" x14ac:dyDescent="0.35">
      <c r="L52" s="767">
        <f ca="1">F50</f>
        <v>3.0170177242424399E-2</v>
      </c>
      <c r="M52" s="756">
        <v>9.5000000000000001E-2</v>
      </c>
      <c r="N52" s="756">
        <v>9.8188938542277809E-2</v>
      </c>
      <c r="O52" s="757">
        <v>0.10045133477313212</v>
      </c>
      <c r="P52" s="756">
        <v>0.11</v>
      </c>
      <c r="Q52" s="756">
        <v>0.12</v>
      </c>
    </row>
    <row r="53" spans="1:20" x14ac:dyDescent="0.35">
      <c r="A53" s="724" t="str">
        <f>"Total Debt as of "&amp;TEXT(F57,"M/D/YYYY")</f>
        <v>Total Debt as of 12/31/2016</v>
      </c>
      <c r="F53" s="777">
        <f>'LBO Model'!F24+'LBO Model'!F25</f>
        <v>427.82299999999998</v>
      </c>
      <c r="I53" s="733"/>
      <c r="K53" s="758" t="s">
        <v>959</v>
      </c>
      <c r="L53" s="759">
        <v>7.7</v>
      </c>
      <c r="M53" s="778">
        <f t="dataTable" ref="M53:Q55" dt2D="1" dtr="1" r1="F48" r2="F49" ca="1"/>
        <v>2.5066996091207987E-2</v>
      </c>
      <c r="N53" s="778">
        <v>2.8052270659474819E-2</v>
      </c>
      <c r="O53" s="780">
        <v>3.0170177242424503E-2</v>
      </c>
      <c r="P53" s="778">
        <v>3.9109009736293027E-2</v>
      </c>
      <c r="Q53" s="778">
        <v>4.847035216634972E-2</v>
      </c>
    </row>
    <row r="54" spans="1:20" x14ac:dyDescent="0.35">
      <c r="A54" s="724" t="str">
        <f>"Total Cash as of "&amp;TEXT(F57,"M/D/YYYY")</f>
        <v>Total Cash as of 12/31/2016</v>
      </c>
      <c r="F54" s="779">
        <f>'LBO Model'!F26</f>
        <v>-21.341550000000002</v>
      </c>
      <c r="I54" s="774"/>
      <c r="K54" s="758" t="s">
        <v>111</v>
      </c>
      <c r="L54" s="759">
        <v>10</v>
      </c>
      <c r="M54" s="778">
        <v>4.034880886089983E-2</v>
      </c>
      <c r="N54" s="778">
        <v>4.3378588234406067E-2</v>
      </c>
      <c r="O54" s="780">
        <v>4.5528068804214894E-2</v>
      </c>
      <c r="P54" s="778">
        <v>5.4600162406939559E-2</v>
      </c>
      <c r="Q54" s="778">
        <v>6.4101064770966026E-2</v>
      </c>
    </row>
    <row r="55" spans="1:20" x14ac:dyDescent="0.35">
      <c r="A55" s="774" t="str">
        <f>"Net Debt/(Cash) as of "&amp;TEXT(F57,"M/D/YYYY")</f>
        <v>Net Debt/(Cash) as of 12/31/2016</v>
      </c>
      <c r="F55" s="734">
        <f>F53+F54</f>
        <v>406.48145</v>
      </c>
      <c r="I55" s="774"/>
      <c r="K55" s="758" t="s">
        <v>401</v>
      </c>
      <c r="L55" s="759">
        <v>13</v>
      </c>
      <c r="M55" s="778">
        <v>5.2470786121307539E-2</v>
      </c>
      <c r="N55" s="778">
        <v>5.5535867997548338E-2</v>
      </c>
      <c r="O55" s="780">
        <v>5.7710393969790448E-2</v>
      </c>
      <c r="P55" s="778">
        <v>6.6888194150366564E-2</v>
      </c>
      <c r="Q55" s="778">
        <v>7.6499799503072549E-2</v>
      </c>
    </row>
    <row r="56" spans="1:20" x14ac:dyDescent="0.35">
      <c r="A56" s="770"/>
      <c r="B56" s="770"/>
      <c r="C56" s="770"/>
      <c r="D56" s="770"/>
      <c r="E56" s="770"/>
      <c r="F56" s="770"/>
      <c r="L56" s="759"/>
    </row>
    <row r="57" spans="1:20" x14ac:dyDescent="0.35">
      <c r="A57" s="781" t="s">
        <v>967</v>
      </c>
      <c r="B57" s="781"/>
      <c r="C57" s="781"/>
      <c r="D57" s="781"/>
      <c r="E57" s="781"/>
      <c r="F57" s="782">
        <v>42735</v>
      </c>
    </row>
    <row r="59" spans="1:20" x14ac:dyDescent="0.35">
      <c r="A59" s="731" t="s">
        <v>968</v>
      </c>
      <c r="B59" s="770"/>
      <c r="C59" s="770"/>
      <c r="D59" s="770"/>
      <c r="E59" s="770"/>
      <c r="F59" s="770"/>
      <c r="G59" s="770"/>
      <c r="H59" s="770"/>
      <c r="I59" s="770"/>
      <c r="J59" s="770"/>
      <c r="K59" s="770"/>
      <c r="L59" s="770"/>
      <c r="M59" s="770"/>
      <c r="N59" s="770"/>
      <c r="O59" s="770"/>
      <c r="P59" s="770"/>
      <c r="Q59" s="770"/>
      <c r="R59" s="770"/>
    </row>
    <row r="60" spans="1:20" x14ac:dyDescent="0.35">
      <c r="A60" s="733"/>
    </row>
    <row r="61" spans="1:20" x14ac:dyDescent="0.35">
      <c r="G61" s="770">
        <f t="shared" ref="G61:O61" si="12">G6</f>
        <v>2015</v>
      </c>
      <c r="H61" s="770">
        <f t="shared" si="12"/>
        <v>2016</v>
      </c>
      <c r="I61" s="770">
        <f t="shared" si="12"/>
        <v>2017</v>
      </c>
      <c r="J61" s="770">
        <f t="shared" si="12"/>
        <v>2018</v>
      </c>
      <c r="K61" s="770">
        <f t="shared" si="12"/>
        <v>2019</v>
      </c>
      <c r="L61" s="770">
        <f t="shared" si="12"/>
        <v>2020</v>
      </c>
      <c r="M61" s="770">
        <f t="shared" si="12"/>
        <v>2021</v>
      </c>
      <c r="N61" s="770">
        <f t="shared" si="12"/>
        <v>2022</v>
      </c>
      <c r="O61" s="770">
        <f t="shared" si="12"/>
        <v>2023</v>
      </c>
      <c r="P61" s="770">
        <f>O61+1</f>
        <v>2024</v>
      </c>
      <c r="Q61" s="770">
        <f>P61+1</f>
        <v>2025</v>
      </c>
      <c r="R61" s="770">
        <f>Q61+1</f>
        <v>2026</v>
      </c>
    </row>
    <row r="62" spans="1:20" x14ac:dyDescent="0.35">
      <c r="A62" s="724" t="s">
        <v>948</v>
      </c>
      <c r="G62" s="735">
        <f t="shared" ref="G62:R62" si="13">G11/G8</f>
        <v>0.14696559491046318</v>
      </c>
      <c r="H62" s="735">
        <f t="shared" si="13"/>
        <v>0.14423518932232468</v>
      </c>
      <c r="I62" s="735">
        <f t="shared" ca="1" si="13"/>
        <v>0.15491288628461541</v>
      </c>
      <c r="J62" s="735">
        <f t="shared" ca="1" si="13"/>
        <v>0.15873404938955882</v>
      </c>
      <c r="K62" s="735">
        <f t="shared" ca="1" si="13"/>
        <v>0.16628042745123617</v>
      </c>
      <c r="L62" s="735">
        <f t="shared" ca="1" si="13"/>
        <v>0.16249490917033693</v>
      </c>
      <c r="M62" s="735">
        <f t="shared" ca="1" si="13"/>
        <v>0.16400442842762394</v>
      </c>
      <c r="N62" s="735">
        <f t="shared" ca="1" si="13"/>
        <v>0.16400442842762394</v>
      </c>
      <c r="O62" s="735">
        <f t="shared" ca="1" si="13"/>
        <v>0.16400442842762394</v>
      </c>
      <c r="P62" s="735">
        <f t="shared" ca="1" si="13"/>
        <v>0.16400442842762386</v>
      </c>
      <c r="Q62" s="735">
        <f t="shared" ca="1" si="13"/>
        <v>0.16400442842762386</v>
      </c>
      <c r="R62" s="735">
        <f t="shared" ca="1" si="13"/>
        <v>0.16400442842762397</v>
      </c>
    </row>
    <row r="63" spans="1:20" ht="10.5" customHeight="1" x14ac:dyDescent="0.35">
      <c r="G63" s="735"/>
      <c r="H63" s="735"/>
      <c r="I63" s="735"/>
      <c r="J63" s="735"/>
      <c r="K63" s="735"/>
      <c r="L63" s="735"/>
      <c r="M63" s="735"/>
      <c r="N63" s="735"/>
      <c r="O63" s="735"/>
      <c r="P63" s="735"/>
      <c r="Q63" s="735"/>
      <c r="R63" s="735"/>
    </row>
    <row r="64" spans="1:20" x14ac:dyDescent="0.35">
      <c r="A64" s="724" t="s">
        <v>950</v>
      </c>
      <c r="G64" s="735">
        <f>G14/G8</f>
        <v>9.6473720716890754E-2</v>
      </c>
      <c r="H64" s="735">
        <f t="shared" ref="H64:R64" si="14">H14/H8</f>
        <v>8.9016997780254153E-2</v>
      </c>
      <c r="I64" s="735">
        <f t="shared" ca="1" si="14"/>
        <v>5.1888040283975263E-2</v>
      </c>
      <c r="J64" s="735">
        <f t="shared" ca="1" si="14"/>
        <v>6.1998141315468144E-2</v>
      </c>
      <c r="K64" s="735">
        <f t="shared" ca="1" si="14"/>
        <v>7.4082554201906847E-2</v>
      </c>
      <c r="L64" s="735">
        <f t="shared" ca="1" si="14"/>
        <v>7.573884952009155E-2</v>
      </c>
      <c r="M64" s="735">
        <f t="shared" ca="1" si="14"/>
        <v>8.0760665039023238E-2</v>
      </c>
      <c r="N64" s="735">
        <f t="shared" ca="1" si="14"/>
        <v>8.3283042369011628E-2</v>
      </c>
      <c r="O64" s="735">
        <f t="shared" ca="1" si="14"/>
        <v>8.5668755563496776E-2</v>
      </c>
      <c r="P64" s="735">
        <f t="shared" ca="1" si="14"/>
        <v>8.7917111131140396E-2</v>
      </c>
      <c r="Q64" s="735">
        <f t="shared" ca="1" si="14"/>
        <v>9.0028550962197085E-2</v>
      </c>
      <c r="R64" s="735">
        <f t="shared" ca="1" si="14"/>
        <v>9.2004544517209866E-2</v>
      </c>
    </row>
    <row r="65" spans="1:18" x14ac:dyDescent="0.35">
      <c r="A65" s="724" t="s">
        <v>969</v>
      </c>
      <c r="G65" s="735">
        <f>-G17/G8</f>
        <v>3.302458768082242E-2</v>
      </c>
      <c r="H65" s="735">
        <f t="shared" ref="H65:R65" si="15">-H17/H8</f>
        <v>3.1258024342339263E-2</v>
      </c>
      <c r="I65" s="735">
        <f t="shared" ca="1" si="15"/>
        <v>1.8160814099391343E-2</v>
      </c>
      <c r="J65" s="735">
        <f t="shared" ca="1" si="15"/>
        <v>2.1699349460413853E-2</v>
      </c>
      <c r="K65" s="735">
        <f t="shared" ca="1" si="15"/>
        <v>2.5928893970667395E-2</v>
      </c>
      <c r="L65" s="735">
        <f t="shared" ca="1" si="15"/>
        <v>2.6508597332032043E-2</v>
      </c>
      <c r="M65" s="735">
        <f t="shared" ca="1" si="15"/>
        <v>2.8266232763658132E-2</v>
      </c>
      <c r="N65" s="735">
        <f t="shared" ca="1" si="15"/>
        <v>2.9149064829154067E-2</v>
      </c>
      <c r="O65" s="735">
        <f t="shared" ca="1" si="15"/>
        <v>2.998406444722387E-2</v>
      </c>
      <c r="P65" s="735">
        <f t="shared" ca="1" si="15"/>
        <v>3.0770988895899139E-2</v>
      </c>
      <c r="Q65" s="735">
        <f t="shared" ca="1" si="15"/>
        <v>3.1509992836768974E-2</v>
      </c>
      <c r="R65" s="735">
        <f t="shared" ca="1" si="15"/>
        <v>3.2201590581023454E-2</v>
      </c>
    </row>
    <row r="66" spans="1:18" x14ac:dyDescent="0.35">
      <c r="A66" s="724" t="s">
        <v>970</v>
      </c>
      <c r="E66" s="771"/>
      <c r="G66" s="783">
        <f t="shared" ref="G66:R66" si="16">+G19/G8</f>
        <v>5.0491874193572435E-2</v>
      </c>
      <c r="H66" s="783">
        <f t="shared" si="16"/>
        <v>5.5218191542070527E-2</v>
      </c>
      <c r="I66" s="783">
        <f t="shared" ca="1" si="16"/>
        <v>0.10302484600064014</v>
      </c>
      <c r="J66" s="783">
        <f t="shared" ca="1" si="16"/>
        <v>9.6735908074090673E-2</v>
      </c>
      <c r="K66" s="783">
        <f t="shared" ca="1" si="16"/>
        <v>9.2197873249329335E-2</v>
      </c>
      <c r="L66" s="783">
        <f t="shared" ca="1" si="16"/>
        <v>8.6756059650245396E-2</v>
      </c>
      <c r="M66" s="783">
        <f t="shared" ca="1" si="16"/>
        <v>8.3243763388600706E-2</v>
      </c>
      <c r="N66" s="783">
        <f t="shared" ca="1" si="16"/>
        <v>8.0721386058612316E-2</v>
      </c>
      <c r="O66" s="783">
        <f t="shared" ca="1" si="16"/>
        <v>7.8335672864127168E-2</v>
      </c>
      <c r="P66" s="783">
        <f t="shared" ca="1" si="16"/>
        <v>7.608731729648345E-2</v>
      </c>
      <c r="Q66" s="783">
        <f t="shared" ca="1" si="16"/>
        <v>7.3975877465426776E-2</v>
      </c>
      <c r="R66" s="783">
        <f t="shared" ca="1" si="16"/>
        <v>7.199988391041412E-2</v>
      </c>
    </row>
    <row r="67" spans="1:18" x14ac:dyDescent="0.35">
      <c r="A67" s="724" t="s">
        <v>971</v>
      </c>
      <c r="E67" s="771"/>
      <c r="G67" s="783">
        <f t="shared" ref="G67:R67" si="17">-G20/G8</f>
        <v>8.3507484393529188E-2</v>
      </c>
      <c r="H67" s="783">
        <f t="shared" si="17"/>
        <v>7.1569544585411912E-2</v>
      </c>
      <c r="I67" s="783">
        <f t="shared" ca="1" si="17"/>
        <v>7.409879680627382E-2</v>
      </c>
      <c r="J67" s="783">
        <f t="shared" ca="1" si="17"/>
        <v>6.4794726496988628E-2</v>
      </c>
      <c r="K67" s="783">
        <f t="shared" ca="1" si="17"/>
        <v>5.804967964865073E-2</v>
      </c>
      <c r="L67" s="783">
        <f t="shared" ca="1" si="17"/>
        <v>5.0519554060044387E-2</v>
      </c>
      <c r="M67" s="783">
        <f t="shared" ca="1" si="17"/>
        <v>4.566436840878027E-2</v>
      </c>
      <c r="N67" s="783">
        <f t="shared" ca="1" si="17"/>
        <v>4.6931494727024216E-2</v>
      </c>
      <c r="O67" s="783">
        <f t="shared" ca="1" si="17"/>
        <v>4.8198621045268161E-2</v>
      </c>
      <c r="P67" s="783">
        <f t="shared" ca="1" si="17"/>
        <v>4.9465747363512114E-2</v>
      </c>
      <c r="Q67" s="783">
        <f t="shared" ca="1" si="17"/>
        <v>5.0732873681756052E-2</v>
      </c>
      <c r="R67" s="783">
        <f t="shared" ca="1" si="17"/>
        <v>5.2000000000000005E-2</v>
      </c>
    </row>
    <row r="68" spans="1:18" x14ac:dyDescent="0.35">
      <c r="A68" s="724" t="s">
        <v>972</v>
      </c>
      <c r="E68" s="771"/>
      <c r="F68" s="784"/>
      <c r="G68" s="735">
        <f t="shared" ref="G68:R68" si="18">+-G21/G8</f>
        <v>0</v>
      </c>
      <c r="H68" s="735">
        <f t="shared" si="18"/>
        <v>0</v>
      </c>
      <c r="I68" s="735">
        <f t="shared" ca="1" si="18"/>
        <v>7.8137096078478852E-3</v>
      </c>
      <c r="J68" s="735">
        <f t="shared" ca="1" si="18"/>
        <v>-4.874116824855417E-3</v>
      </c>
      <c r="K68" s="735">
        <f t="shared" ca="1" si="18"/>
        <v>-4.9018106220147326E-3</v>
      </c>
      <c r="L68" s="735">
        <f t="shared" ca="1" si="18"/>
        <v>-9.8794274011357857E-3</v>
      </c>
      <c r="M68" s="735">
        <f t="shared" ca="1" si="18"/>
        <v>-5.1892891302969873E-3</v>
      </c>
      <c r="N68" s="735">
        <f t="shared" ca="1" si="18"/>
        <v>-5.6839660619154766E-3</v>
      </c>
      <c r="O68" s="735">
        <f t="shared" ca="1" si="18"/>
        <v>-5.8521154235047276E-3</v>
      </c>
      <c r="P68" s="735">
        <f t="shared" ca="1" si="18"/>
        <v>-6.1326504598216989E-3</v>
      </c>
      <c r="Q68" s="735">
        <f t="shared" ca="1" si="18"/>
        <v>-6.0825486235145387E-3</v>
      </c>
      <c r="R68" s="735">
        <f t="shared" ca="1" si="18"/>
        <v>-6.3513182337123063E-3</v>
      </c>
    </row>
    <row r="69" spans="1:18" x14ac:dyDescent="0.35">
      <c r="A69" s="724" t="s">
        <v>973</v>
      </c>
      <c r="E69" s="771"/>
      <c r="F69" s="784"/>
      <c r="G69" s="789" t="s">
        <v>976</v>
      </c>
      <c r="H69" s="789" t="s">
        <v>976</v>
      </c>
      <c r="I69" s="735">
        <f t="shared" ref="I69:R69" ca="1" si="19">I23/I8</f>
        <v>5.4839565771102369E-2</v>
      </c>
      <c r="J69" s="735">
        <f t="shared" ca="1" si="19"/>
        <v>7.7114090257011741E-2</v>
      </c>
      <c r="K69" s="735">
        <f t="shared" ca="1" si="19"/>
        <v>8.720366445393278E-2</v>
      </c>
      <c r="L69" s="735">
        <f t="shared" ca="1" si="19"/>
        <v>9.5346185179396317E-2</v>
      </c>
      <c r="M69" s="735">
        <f t="shared" ca="1" si="19"/>
        <v>9.526311638548253E-2</v>
      </c>
      <c r="N69" s="735">
        <f t="shared" ca="1" si="19"/>
        <v>9.3607834933361125E-2</v>
      </c>
      <c r="O69" s="735">
        <f t="shared" ca="1" si="19"/>
        <v>9.1673858358636645E-2</v>
      </c>
      <c r="P69" s="735">
        <f t="shared" ca="1" si="19"/>
        <v>8.9900342628034299E-2</v>
      </c>
      <c r="Q69" s="735">
        <f t="shared" ca="1" si="19"/>
        <v>8.7844110532613359E-2</v>
      </c>
      <c r="R69" s="735">
        <f t="shared" ca="1" si="19"/>
        <v>8.6154156080312835E-2</v>
      </c>
    </row>
    <row r="70" spans="1:18" ht="10.5" customHeight="1" x14ac:dyDescent="0.35">
      <c r="E70" s="771"/>
      <c r="F70" s="784"/>
      <c r="G70" s="785"/>
      <c r="H70" s="785"/>
      <c r="I70" s="785">
        <f ca="1">I64-I65+I66-I67-I68-I69</f>
        <v>0</v>
      </c>
      <c r="J70" s="785">
        <f t="shared" ref="J70:R70" ca="1" si="20">J64-J65+J66-J67-J68-J69</f>
        <v>0</v>
      </c>
      <c r="K70" s="785">
        <f t="shared" ca="1" si="20"/>
        <v>0</v>
      </c>
      <c r="L70" s="785">
        <f t="shared" ca="1" si="20"/>
        <v>0</v>
      </c>
      <c r="M70" s="785">
        <f t="shared" ca="1" si="20"/>
        <v>0</v>
      </c>
      <c r="N70" s="785">
        <f t="shared" ca="1" si="20"/>
        <v>0</v>
      </c>
      <c r="O70" s="785">
        <f t="shared" ca="1" si="20"/>
        <v>0</v>
      </c>
      <c r="P70" s="785">
        <f t="shared" ca="1" si="20"/>
        <v>0</v>
      </c>
      <c r="Q70" s="785">
        <f t="shared" ca="1" si="20"/>
        <v>0</v>
      </c>
      <c r="R70" s="785">
        <f t="shared" ca="1" si="20"/>
        <v>0</v>
      </c>
    </row>
    <row r="71" spans="1:18" x14ac:dyDescent="0.35">
      <c r="A71" s="724" t="s">
        <v>974</v>
      </c>
      <c r="E71" s="771"/>
      <c r="F71" s="783"/>
      <c r="G71" s="783">
        <f>'LBO Model'!G191</f>
        <v>0.34231692771273442</v>
      </c>
      <c r="H71" s="783">
        <f>'LBO Model'!H191</f>
        <v>0.3511466924497082</v>
      </c>
      <c r="I71" s="783">
        <f ca="1">'LBO Model'!I191</f>
        <v>0.35</v>
      </c>
      <c r="J71" s="783">
        <f ca="1">'LBO Model'!J191</f>
        <v>0.35</v>
      </c>
      <c r="K71" s="783">
        <f ca="1">'LBO Model'!K191</f>
        <v>0.35</v>
      </c>
      <c r="L71" s="783">
        <f ca="1">'LBO Model'!L191</f>
        <v>0.35</v>
      </c>
      <c r="M71" s="783">
        <f ca="1">'LBO Model'!M191</f>
        <v>0.35</v>
      </c>
      <c r="N71" s="783">
        <f ca="1">'LBO Model'!N191</f>
        <v>0.35</v>
      </c>
      <c r="O71" s="783">
        <f ca="1">'LBO Model'!O191</f>
        <v>0.35</v>
      </c>
      <c r="P71" s="783">
        <f ca="1">'LBO Model'!P191</f>
        <v>0.35</v>
      </c>
      <c r="Q71" s="783">
        <f ca="1">'LBO Model'!Q191</f>
        <v>0.35</v>
      </c>
      <c r="R71" s="783">
        <f ca="1">'LBO Model'!R191</f>
        <v>0.35</v>
      </c>
    </row>
    <row r="72" spans="1:18" x14ac:dyDescent="0.35">
      <c r="E72" s="771"/>
    </row>
    <row r="74" spans="1:18" x14ac:dyDescent="0.35">
      <c r="F74" s="771"/>
    </row>
    <row r="75" spans="1:18" x14ac:dyDescent="0.35">
      <c r="F75" s="786"/>
    </row>
    <row r="76" spans="1:18" x14ac:dyDescent="0.35">
      <c r="F76" s="771"/>
    </row>
    <row r="81" spans="6:6" x14ac:dyDescent="0.35">
      <c r="F81" s="771"/>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375F-CCA4-4EB7-B748-050193C3DD43}">
  <dimension ref="A1:IU96"/>
  <sheetViews>
    <sheetView showGridLines="0" topLeftCell="A49" zoomScale="83" workbookViewId="0">
      <selection activeCell="R53" sqref="R53"/>
    </sheetView>
  </sheetViews>
  <sheetFormatPr baseColWidth="10" defaultColWidth="8.25" defaultRowHeight="15.5" x14ac:dyDescent="0.35"/>
  <cols>
    <col min="1" max="1" width="5.4140625" style="724" customWidth="1"/>
    <col min="2" max="2" width="11.83203125" style="724" customWidth="1"/>
    <col min="3" max="3" width="10.4140625" style="724" customWidth="1"/>
    <col min="4" max="4" width="10.08203125" style="724" customWidth="1"/>
    <col min="5" max="5" width="1.58203125" style="724" customWidth="1"/>
    <col min="6" max="6" width="8.58203125" style="724" customWidth="1"/>
    <col min="7" max="17" width="7.75" style="724" customWidth="1"/>
    <col min="18" max="18" width="8.5" style="724" customWidth="1"/>
    <col min="19" max="19" width="0.75" style="724" customWidth="1"/>
    <col min="20" max="20" width="4.83203125" style="724" customWidth="1"/>
    <col min="21" max="21" width="9.08203125" style="724" customWidth="1"/>
    <col min="22" max="22" width="5.58203125" style="724" customWidth="1"/>
    <col min="23" max="255" width="8.25" style="724"/>
    <col min="256" max="16384" width="8.25" style="663"/>
  </cols>
  <sheetData>
    <row r="1" spans="1:255" ht="21.5" thickBot="1" x14ac:dyDescent="0.55000000000000004">
      <c r="A1" s="660" t="s">
        <v>1005</v>
      </c>
      <c r="B1" s="661"/>
      <c r="C1" s="661"/>
      <c r="D1" s="661"/>
      <c r="E1" s="661"/>
      <c r="F1" s="661"/>
      <c r="G1" s="661"/>
      <c r="H1" s="661"/>
      <c r="I1" s="661"/>
      <c r="J1" s="661"/>
      <c r="K1" s="661"/>
      <c r="L1" s="661"/>
      <c r="M1" s="661"/>
      <c r="N1" s="661"/>
      <c r="O1" s="661"/>
      <c r="P1" s="721"/>
      <c r="Q1" s="721"/>
      <c r="R1" s="721"/>
      <c r="S1" s="721"/>
      <c r="T1" s="721"/>
      <c r="U1" s="722"/>
      <c r="V1" s="722"/>
      <c r="W1" s="722"/>
      <c r="X1" s="722"/>
      <c r="Y1" s="722"/>
      <c r="Z1" s="722"/>
      <c r="AA1" s="722"/>
      <c r="AB1" s="722"/>
      <c r="AC1" s="722"/>
      <c r="AD1" s="722"/>
      <c r="AE1" s="722"/>
      <c r="AF1" s="722"/>
      <c r="AG1" s="722"/>
      <c r="AH1" s="722"/>
      <c r="AI1" s="722"/>
      <c r="AJ1" s="722"/>
      <c r="AK1" s="722"/>
      <c r="AL1" s="722"/>
      <c r="AM1" s="722"/>
      <c r="AN1" s="722"/>
      <c r="AO1" s="722"/>
      <c r="AP1" s="722"/>
      <c r="AQ1" s="722"/>
      <c r="AR1" s="722"/>
      <c r="AS1" s="722"/>
      <c r="AT1" s="722"/>
      <c r="AU1" s="722"/>
      <c r="AV1" s="722"/>
      <c r="AW1" s="722"/>
      <c r="AX1" s="722"/>
      <c r="AY1" s="722"/>
      <c r="AZ1" s="722"/>
      <c r="BA1" s="722"/>
      <c r="BB1" s="722"/>
      <c r="BC1" s="722"/>
      <c r="BD1" s="722"/>
      <c r="BE1" s="722"/>
      <c r="BF1" s="722"/>
      <c r="BG1" s="722"/>
      <c r="BH1" s="722"/>
      <c r="BI1" s="722"/>
      <c r="BJ1" s="722"/>
      <c r="BK1" s="722"/>
      <c r="BL1" s="722"/>
      <c r="BM1" s="722"/>
      <c r="BN1" s="722"/>
      <c r="BO1" s="722"/>
      <c r="BP1" s="722"/>
      <c r="BQ1" s="722"/>
      <c r="BR1" s="722"/>
      <c r="BS1" s="722"/>
      <c r="BT1" s="722"/>
      <c r="BU1" s="722"/>
      <c r="BV1" s="722"/>
      <c r="BW1" s="722"/>
      <c r="BX1" s="722"/>
      <c r="BY1" s="722"/>
      <c r="BZ1" s="722"/>
      <c r="CA1" s="722"/>
      <c r="CB1" s="722"/>
      <c r="CC1" s="722"/>
      <c r="CD1" s="722"/>
      <c r="CE1" s="722"/>
      <c r="CF1" s="722"/>
      <c r="CG1" s="722"/>
      <c r="CH1" s="722"/>
      <c r="CI1" s="722"/>
      <c r="CJ1" s="722"/>
      <c r="CK1" s="722"/>
      <c r="CL1" s="722"/>
      <c r="CM1" s="722"/>
      <c r="CN1" s="722"/>
      <c r="CO1" s="722"/>
      <c r="CP1" s="722"/>
      <c r="CQ1" s="722"/>
      <c r="CR1" s="722"/>
      <c r="CS1" s="722"/>
      <c r="CT1" s="722"/>
      <c r="CU1" s="722"/>
      <c r="CV1" s="722"/>
      <c r="CW1" s="722"/>
      <c r="CX1" s="722"/>
      <c r="CY1" s="722"/>
      <c r="CZ1" s="722"/>
      <c r="DA1" s="722"/>
      <c r="DB1" s="722"/>
      <c r="DC1" s="722"/>
      <c r="DD1" s="722"/>
      <c r="DE1" s="722"/>
      <c r="DF1" s="722"/>
      <c r="DG1" s="722"/>
      <c r="DH1" s="722"/>
      <c r="DI1" s="722"/>
      <c r="DJ1" s="722"/>
      <c r="DK1" s="722"/>
      <c r="DL1" s="722"/>
      <c r="DM1" s="722"/>
      <c r="DN1" s="722"/>
      <c r="DO1" s="722"/>
      <c r="DP1" s="722"/>
      <c r="DQ1" s="722"/>
      <c r="DR1" s="722"/>
      <c r="DS1" s="722"/>
      <c r="DT1" s="722"/>
      <c r="DU1" s="722"/>
      <c r="DV1" s="722"/>
      <c r="DW1" s="722"/>
      <c r="DX1" s="722"/>
      <c r="DY1" s="722"/>
      <c r="DZ1" s="722"/>
      <c r="EA1" s="722"/>
      <c r="EB1" s="722"/>
      <c r="EC1" s="722"/>
      <c r="ED1" s="722"/>
      <c r="EE1" s="722"/>
      <c r="EF1" s="722"/>
      <c r="EG1" s="722"/>
      <c r="EH1" s="722"/>
      <c r="EI1" s="722"/>
      <c r="EJ1" s="722"/>
      <c r="EK1" s="722"/>
      <c r="EL1" s="722"/>
      <c r="EM1" s="722"/>
      <c r="EN1" s="722"/>
      <c r="EO1" s="722"/>
      <c r="EP1" s="722"/>
      <c r="EQ1" s="722"/>
      <c r="ER1" s="722"/>
      <c r="ES1" s="722"/>
      <c r="ET1" s="722"/>
      <c r="EU1" s="722"/>
      <c r="EV1" s="722"/>
      <c r="EW1" s="722"/>
      <c r="EX1" s="722"/>
      <c r="EY1" s="722"/>
      <c r="EZ1" s="722"/>
      <c r="FA1" s="722"/>
      <c r="FB1" s="722"/>
      <c r="FC1" s="722"/>
      <c r="FD1" s="722"/>
      <c r="FE1" s="722"/>
      <c r="FF1" s="722"/>
      <c r="FG1" s="722"/>
      <c r="FH1" s="722"/>
      <c r="FI1" s="722"/>
      <c r="FJ1" s="722"/>
      <c r="FK1" s="722"/>
      <c r="FL1" s="722"/>
      <c r="FM1" s="722"/>
      <c r="FN1" s="722"/>
      <c r="FO1" s="722"/>
      <c r="FP1" s="722"/>
      <c r="FQ1" s="722"/>
      <c r="FR1" s="722"/>
      <c r="FS1" s="722"/>
      <c r="FT1" s="722"/>
      <c r="FU1" s="722"/>
      <c r="FV1" s="722"/>
      <c r="FW1" s="722"/>
      <c r="FX1" s="722"/>
      <c r="FY1" s="722"/>
      <c r="FZ1" s="722"/>
      <c r="GA1" s="722"/>
      <c r="GB1" s="722"/>
      <c r="GC1" s="722"/>
      <c r="GD1" s="722"/>
      <c r="GE1" s="722"/>
      <c r="GF1" s="722"/>
      <c r="GG1" s="722"/>
      <c r="GH1" s="722"/>
      <c r="GI1" s="722"/>
      <c r="GJ1" s="722"/>
      <c r="GK1" s="722"/>
      <c r="GL1" s="722"/>
      <c r="GM1" s="722"/>
      <c r="GN1" s="722"/>
      <c r="GO1" s="722"/>
      <c r="GP1" s="722"/>
      <c r="GQ1" s="722"/>
      <c r="GR1" s="722"/>
      <c r="GS1" s="722"/>
      <c r="GT1" s="722"/>
      <c r="GU1" s="722"/>
      <c r="GV1" s="722"/>
      <c r="GW1" s="722"/>
      <c r="GX1" s="722"/>
      <c r="GY1" s="722"/>
      <c r="GZ1" s="722"/>
      <c r="HA1" s="722"/>
      <c r="HB1" s="722"/>
      <c r="HC1" s="722"/>
      <c r="HD1" s="722"/>
      <c r="HE1" s="722"/>
      <c r="HF1" s="722"/>
      <c r="HG1" s="722"/>
      <c r="HH1" s="722"/>
      <c r="HI1" s="722"/>
      <c r="HJ1" s="722"/>
      <c r="HK1" s="722"/>
      <c r="HL1" s="722"/>
      <c r="HM1" s="722"/>
      <c r="HN1" s="722"/>
      <c r="HO1" s="722"/>
      <c r="HP1" s="722"/>
      <c r="HQ1" s="722"/>
      <c r="HR1" s="722"/>
      <c r="HS1" s="722"/>
      <c r="HT1" s="722"/>
      <c r="HU1" s="722"/>
      <c r="HV1" s="722"/>
      <c r="HW1" s="722"/>
      <c r="HX1" s="722"/>
      <c r="HY1" s="722"/>
      <c r="HZ1" s="722"/>
      <c r="IA1" s="722"/>
      <c r="IB1" s="722"/>
      <c r="IC1" s="722"/>
      <c r="ID1" s="722"/>
      <c r="IE1" s="722"/>
      <c r="IF1" s="722"/>
      <c r="IG1" s="722"/>
      <c r="IH1" s="722"/>
      <c r="II1" s="722"/>
      <c r="IJ1" s="722"/>
      <c r="IK1" s="722"/>
      <c r="IL1" s="722"/>
      <c r="IM1" s="722"/>
      <c r="IN1" s="722"/>
      <c r="IO1" s="722"/>
      <c r="IP1" s="722"/>
      <c r="IQ1" s="722"/>
      <c r="IR1" s="722"/>
      <c r="IS1" s="722"/>
      <c r="IT1" s="722"/>
      <c r="IU1" s="722"/>
    </row>
    <row r="2" spans="1:255" ht="16" thickTop="1" x14ac:dyDescent="0.35">
      <c r="A2" s="723" t="s">
        <v>944</v>
      </c>
    </row>
    <row r="3" spans="1:255" ht="10.5" customHeight="1" thickBot="1" x14ac:dyDescent="0.4">
      <c r="A3" s="725"/>
    </row>
    <row r="4" spans="1:255" ht="16.5" thickTop="1" thickBot="1" x14ac:dyDescent="0.4">
      <c r="G4" s="726" t="s">
        <v>945</v>
      </c>
      <c r="H4" s="727"/>
      <c r="I4" s="728" t="s">
        <v>946</v>
      </c>
      <c r="J4" s="729"/>
      <c r="K4" s="729"/>
      <c r="L4" s="729"/>
      <c r="M4" s="729"/>
      <c r="N4" s="729"/>
      <c r="O4" s="729"/>
      <c r="P4" s="729"/>
      <c r="Q4" s="729"/>
      <c r="R4" s="730"/>
    </row>
    <row r="5" spans="1:255" ht="4.5" customHeight="1" x14ac:dyDescent="0.35"/>
    <row r="6" spans="1:255" x14ac:dyDescent="0.35">
      <c r="G6" s="731">
        <v>2015</v>
      </c>
      <c r="H6" s="731">
        <v>2016</v>
      </c>
      <c r="I6" s="731">
        <f>H6+1</f>
        <v>2017</v>
      </c>
      <c r="J6" s="731">
        <f t="shared" ref="J6:R6" si="0">I6+1</f>
        <v>2018</v>
      </c>
      <c r="K6" s="731">
        <f t="shared" si="0"/>
        <v>2019</v>
      </c>
      <c r="L6" s="731">
        <f t="shared" si="0"/>
        <v>2020</v>
      </c>
      <c r="M6" s="731">
        <f t="shared" si="0"/>
        <v>2021</v>
      </c>
      <c r="N6" s="731">
        <f t="shared" si="0"/>
        <v>2022</v>
      </c>
      <c r="O6" s="731">
        <f t="shared" si="0"/>
        <v>2023</v>
      </c>
      <c r="P6" s="731">
        <f t="shared" si="0"/>
        <v>2024</v>
      </c>
      <c r="Q6" s="731">
        <f t="shared" si="0"/>
        <v>2025</v>
      </c>
      <c r="R6" s="731">
        <f t="shared" si="0"/>
        <v>2026</v>
      </c>
      <c r="T6" s="732" t="s">
        <v>145</v>
      </c>
    </row>
    <row r="7" spans="1:255" ht="13.5" customHeight="1" x14ac:dyDescent="0.4">
      <c r="A7" s="848" t="s">
        <v>1008</v>
      </c>
      <c r="G7" s="733"/>
      <c r="H7" s="733"/>
      <c r="I7" s="733"/>
      <c r="J7" s="733"/>
      <c r="K7" s="733"/>
      <c r="L7" s="733"/>
      <c r="M7" s="733"/>
      <c r="N7" s="733"/>
      <c r="O7" s="733"/>
    </row>
    <row r="8" spans="1:255" ht="13.5" customHeight="1" x14ac:dyDescent="0.35">
      <c r="A8" s="724" t="s">
        <v>417</v>
      </c>
      <c r="G8" s="734">
        <f>'LBO Model'!G148</f>
        <v>2681.58</v>
      </c>
      <c r="H8" s="734">
        <f>'LBO Model'!H148</f>
        <v>2795.3650000000002</v>
      </c>
      <c r="I8" s="734">
        <f ca="1">'LBO Model'!I148</f>
        <v>2846.1157142857151</v>
      </c>
      <c r="J8" s="734">
        <f ca="1">'LBO Model'!J148</f>
        <v>3083.1444285714297</v>
      </c>
      <c r="K8" s="734">
        <f ca="1">'LBO Model'!K148</f>
        <v>3374.4200000000014</v>
      </c>
      <c r="L8" s="734">
        <f ca="1">'LBO Model'!L148</f>
        <v>3886.8910000000014</v>
      </c>
      <c r="M8" s="734">
        <f ca="1">'LBO Model'!M148</f>
        <v>4220.0080000000016</v>
      </c>
      <c r="N8" s="734">
        <f ca="1">'LBO Model'!N148</f>
        <v>4593.740977397968</v>
      </c>
      <c r="O8" s="734">
        <f ca="1">'LBO Model'!O148</f>
        <v>5013.7081816123136</v>
      </c>
      <c r="P8" s="734">
        <f ca="1">'LBO Model'!P148</f>
        <v>5486.405976275908</v>
      </c>
      <c r="Q8" s="734">
        <f ca="1">'LBO Model'!Q148</f>
        <v>6019.3584004222148</v>
      </c>
      <c r="R8" s="734">
        <f ca="1">'LBO Model'!R148</f>
        <v>6621.2942404644364</v>
      </c>
      <c r="T8" s="735">
        <f ca="1">((R8/H8)^(1/10)-1)</f>
        <v>9.0060082958479448E-2</v>
      </c>
    </row>
    <row r="9" spans="1:255" ht="13.5" customHeight="1" x14ac:dyDescent="0.35">
      <c r="A9" s="736" t="s">
        <v>947</v>
      </c>
      <c r="G9" s="735">
        <f>'LBO Model'!G148/'LBO Model'!F148-1</f>
        <v>6.0250395876948915E-2</v>
      </c>
      <c r="H9" s="735">
        <f>H8/G8-1</f>
        <v>4.2432073628234201E-2</v>
      </c>
      <c r="I9" s="735">
        <f t="shared" ref="I9:R9" ca="1" si="1">I8/H8-1</f>
        <v>1.8155308621848887E-2</v>
      </c>
      <c r="J9" s="735">
        <f t="shared" ca="1" si="1"/>
        <v>8.3281474852192172E-2</v>
      </c>
      <c r="K9" s="735">
        <f t="shared" ca="1" si="1"/>
        <v>9.4473540950377632E-2</v>
      </c>
      <c r="L9" s="735">
        <f t="shared" ca="1" si="1"/>
        <v>0.15186935828972081</v>
      </c>
      <c r="M9" s="735">
        <f t="shared" ca="1" si="1"/>
        <v>8.5702686285774377E-2</v>
      </c>
      <c r="N9" s="735">
        <f t="shared" ca="1" si="1"/>
        <v>8.8562149028619475E-2</v>
      </c>
      <c r="O9" s="735">
        <f t="shared" ca="1" si="1"/>
        <v>9.1421611771464573E-2</v>
      </c>
      <c r="P9" s="735">
        <f t="shared" ca="1" si="1"/>
        <v>9.4281074514309671E-2</v>
      </c>
      <c r="Q9" s="735">
        <f t="shared" ca="1" si="1"/>
        <v>9.7140537257154769E-2</v>
      </c>
      <c r="R9" s="735">
        <f t="shared" ca="1" si="1"/>
        <v>0.10000000000000009</v>
      </c>
    </row>
    <row r="10" spans="1:255" ht="5.4" customHeight="1" x14ac:dyDescent="0.35">
      <c r="U10" s="737"/>
    </row>
    <row r="11" spans="1:255" ht="13.75" customHeight="1" x14ac:dyDescent="0.35">
      <c r="A11" s="724" t="s">
        <v>111</v>
      </c>
      <c r="G11" s="734">
        <f>'LBO Model'!G162</f>
        <v>394.09999999999985</v>
      </c>
      <c r="H11" s="734">
        <f>'LBO Model'!H162</f>
        <v>403.19000000000017</v>
      </c>
      <c r="I11" s="734">
        <f ca="1">'LBO Model'!I162</f>
        <v>440.89999999999992</v>
      </c>
      <c r="J11" s="734">
        <f ca="1">'LBO Model'!J162</f>
        <v>489.40000000000043</v>
      </c>
      <c r="K11" s="734">
        <f ca="1">'LBO Model'!K162</f>
        <v>561.10000000000059</v>
      </c>
      <c r="L11" s="734">
        <f ca="1">'LBO Model'!L162</f>
        <v>631.60000000000036</v>
      </c>
      <c r="M11" s="734">
        <f ca="1">'LBO Model'!M162</f>
        <v>692.1000000000007</v>
      </c>
      <c r="N11" s="734">
        <f ca="1">'LBO Model'!N162</f>
        <v>753.3938633427083</v>
      </c>
      <c r="O11" s="734">
        <f ca="1">'LBO Model'!O162</f>
        <v>822.27034462822928</v>
      </c>
      <c r="P11" s="734">
        <f ca="1">'LBO Model'!P162</f>
        <v>899.79487626102991</v>
      </c>
      <c r="Q11" s="734">
        <f ca="1">'LBO Model'!Q162</f>
        <v>987.2014339622616</v>
      </c>
      <c r="R11" s="734">
        <f ca="1">'LBO Model'!R162</f>
        <v>1085.9215773584885</v>
      </c>
      <c r="T11" s="735">
        <f ca="1">((R11/H11)^(1/10)-1)</f>
        <v>0.1041520193530947</v>
      </c>
      <c r="U11" s="737"/>
    </row>
    <row r="12" spans="1:255" ht="13.75" customHeight="1" x14ac:dyDescent="0.35">
      <c r="A12" s="736" t="s">
        <v>948</v>
      </c>
      <c r="G12" s="735">
        <f t="shared" ref="G12:R12" si="2">G11/G8</f>
        <v>0.14696559491046318</v>
      </c>
      <c r="H12" s="735">
        <f t="shared" si="2"/>
        <v>0.14423518932232468</v>
      </c>
      <c r="I12" s="735">
        <f t="shared" ca="1" si="2"/>
        <v>0.15491288628461541</v>
      </c>
      <c r="J12" s="735">
        <f t="shared" ca="1" si="2"/>
        <v>0.15873404938955882</v>
      </c>
      <c r="K12" s="735">
        <f t="shared" ca="1" si="2"/>
        <v>0.16628042745123617</v>
      </c>
      <c r="L12" s="735">
        <f t="shared" ca="1" si="2"/>
        <v>0.16249490917033693</v>
      </c>
      <c r="M12" s="735">
        <f t="shared" ca="1" si="2"/>
        <v>0.16400442842762394</v>
      </c>
      <c r="N12" s="735">
        <f t="shared" ca="1" si="2"/>
        <v>0.16400442842762394</v>
      </c>
      <c r="O12" s="735">
        <f t="shared" ca="1" si="2"/>
        <v>0.16400442842762394</v>
      </c>
      <c r="P12" s="735">
        <f t="shared" ca="1" si="2"/>
        <v>0.16400442842762386</v>
      </c>
      <c r="Q12" s="735">
        <f t="shared" ca="1" si="2"/>
        <v>0.16400442842762386</v>
      </c>
      <c r="R12" s="735">
        <f t="shared" ca="1" si="2"/>
        <v>0.16400442842762397</v>
      </c>
      <c r="U12" s="737"/>
    </row>
    <row r="13" spans="1:255" ht="4.25" customHeight="1" x14ac:dyDescent="0.35">
      <c r="U13" s="737"/>
    </row>
    <row r="14" spans="1:255" ht="13.75" customHeight="1" x14ac:dyDescent="0.35">
      <c r="A14" s="724" t="s">
        <v>949</v>
      </c>
      <c r="G14" s="734">
        <f>'LBO Model'!G166</f>
        <v>258.70199999999988</v>
      </c>
      <c r="H14" s="734">
        <f>'LBO Model'!H166</f>
        <v>248.83500000000018</v>
      </c>
      <c r="I14" s="734">
        <f ca="1">'LBO Model'!I166</f>
        <v>147.67936683571222</v>
      </c>
      <c r="J14" s="734">
        <f ca="1">'LBO Model'!J166</f>
        <v>191.14922397856978</v>
      </c>
      <c r="K14" s="734">
        <f ca="1">'LBO Model'!K166</f>
        <v>249.9856525499986</v>
      </c>
      <c r="L14" s="734">
        <f ca="1">'LBO Model'!L166</f>
        <v>294.38865254999826</v>
      </c>
      <c r="M14" s="734">
        <f ca="1">'LBO Model'!M166</f>
        <v>340.81065254999851</v>
      </c>
      <c r="N14" s="734">
        <f ca="1">'LBO Model'!N166</f>
        <v>382.58072445289986</v>
      </c>
      <c r="O14" s="734">
        <f ca="1">'LBO Model'!O166</f>
        <v>429.51814067724922</v>
      </c>
      <c r="P14" s="734">
        <f ca="1">'LBO Model'!P166</f>
        <v>482.34896392680184</v>
      </c>
      <c r="Q14" s="734">
        <f ca="1">'LBO Model'!Q166</f>
        <v>541.91411451214049</v>
      </c>
      <c r="R14" s="734">
        <f ca="1">'LBO Model'!R166</f>
        <v>609.18916070835553</v>
      </c>
      <c r="T14" s="735">
        <f ca="1">((R14/H14)^(1/10)-1)</f>
        <v>9.3664386251182785E-2</v>
      </c>
      <c r="U14" s="737"/>
    </row>
    <row r="15" spans="1:255" ht="13.75" customHeight="1" x14ac:dyDescent="0.35">
      <c r="A15" s="736" t="s">
        <v>950</v>
      </c>
      <c r="G15" s="735">
        <f t="shared" ref="G15:R15" si="3">G14/G8</f>
        <v>9.6473720716890754E-2</v>
      </c>
      <c r="H15" s="735">
        <f t="shared" si="3"/>
        <v>8.9016997780254153E-2</v>
      </c>
      <c r="I15" s="735">
        <f t="shared" ca="1" si="3"/>
        <v>5.1888040283975263E-2</v>
      </c>
      <c r="J15" s="735">
        <f t="shared" ca="1" si="3"/>
        <v>6.1998141315468144E-2</v>
      </c>
      <c r="K15" s="735">
        <f t="shared" ca="1" si="3"/>
        <v>7.4082554201906847E-2</v>
      </c>
      <c r="L15" s="735">
        <f t="shared" ca="1" si="3"/>
        <v>7.573884952009155E-2</v>
      </c>
      <c r="M15" s="735">
        <f t="shared" ca="1" si="3"/>
        <v>8.0760665039023238E-2</v>
      </c>
      <c r="N15" s="735">
        <f t="shared" ca="1" si="3"/>
        <v>8.3283042369011628E-2</v>
      </c>
      <c r="O15" s="735">
        <f t="shared" ca="1" si="3"/>
        <v>8.5668755563496776E-2</v>
      </c>
      <c r="P15" s="735">
        <f t="shared" ca="1" si="3"/>
        <v>8.7917111131140396E-2</v>
      </c>
      <c r="Q15" s="735">
        <f t="shared" ca="1" si="3"/>
        <v>9.0028550962197085E-2</v>
      </c>
      <c r="R15" s="735">
        <f t="shared" ca="1" si="3"/>
        <v>9.2004544517209866E-2</v>
      </c>
      <c r="U15" s="737"/>
    </row>
    <row r="16" spans="1:255" ht="5.4" customHeight="1" x14ac:dyDescent="0.35">
      <c r="U16" s="737"/>
    </row>
    <row r="17" spans="1:23" ht="13.75" customHeight="1" x14ac:dyDescent="0.35">
      <c r="A17" s="724" t="s">
        <v>470</v>
      </c>
      <c r="B17" s="724" t="s">
        <v>951</v>
      </c>
      <c r="G17" s="734">
        <f t="shared" ref="G17:R17" si="4">-G86*G14</f>
        <v>-88.558073833139787</v>
      </c>
      <c r="H17" s="734">
        <f t="shared" si="4"/>
        <v>-87.377587215723196</v>
      </c>
      <c r="I17" s="734">
        <f t="shared" ca="1" si="4"/>
        <v>-51.687778392499276</v>
      </c>
      <c r="J17" s="734">
        <f t="shared" ca="1" si="4"/>
        <v>-66.902228392499424</v>
      </c>
      <c r="K17" s="734">
        <f t="shared" ca="1" si="4"/>
        <v>-87.494978392499505</v>
      </c>
      <c r="L17" s="734">
        <f t="shared" ca="1" si="4"/>
        <v>-103.03602839249939</v>
      </c>
      <c r="M17" s="734">
        <f t="shared" ca="1" si="4"/>
        <v>-119.28372839249947</v>
      </c>
      <c r="N17" s="734">
        <f t="shared" ca="1" si="4"/>
        <v>-133.90325355851493</v>
      </c>
      <c r="O17" s="734">
        <f t="shared" ca="1" si="4"/>
        <v>-150.33134923703722</v>
      </c>
      <c r="P17" s="734">
        <f t="shared" ca="1" si="4"/>
        <v>-168.82213737438065</v>
      </c>
      <c r="Q17" s="734">
        <f t="shared" ca="1" si="4"/>
        <v>-189.66994007924916</v>
      </c>
      <c r="R17" s="734">
        <f t="shared" ca="1" si="4"/>
        <v>-213.21620624792442</v>
      </c>
      <c r="U17" s="737"/>
    </row>
    <row r="18" spans="1:23" ht="13.75" customHeight="1" x14ac:dyDescent="0.35">
      <c r="A18" s="733" t="s">
        <v>952</v>
      </c>
      <c r="G18" s="738">
        <f t="shared" ref="G18:R18" si="5">G14+G17</f>
        <v>170.1439261668601</v>
      </c>
      <c r="H18" s="738">
        <f t="shared" si="5"/>
        <v>161.45741278427698</v>
      </c>
      <c r="I18" s="738">
        <f t="shared" ca="1" si="5"/>
        <v>95.991588443212947</v>
      </c>
      <c r="J18" s="738">
        <f t="shared" ca="1" si="5"/>
        <v>124.24699558607035</v>
      </c>
      <c r="K18" s="738">
        <f t="shared" ca="1" si="5"/>
        <v>162.49067415749909</v>
      </c>
      <c r="L18" s="738">
        <f t="shared" ca="1" si="5"/>
        <v>191.35262415749887</v>
      </c>
      <c r="M18" s="738">
        <f t="shared" ca="1" si="5"/>
        <v>221.52692415749902</v>
      </c>
      <c r="N18" s="738">
        <f t="shared" ca="1" si="5"/>
        <v>248.67747089438492</v>
      </c>
      <c r="O18" s="738">
        <f t="shared" ca="1" si="5"/>
        <v>279.186791440212</v>
      </c>
      <c r="P18" s="738">
        <f t="shared" ca="1" si="5"/>
        <v>313.5268265524212</v>
      </c>
      <c r="Q18" s="738">
        <f t="shared" ca="1" si="5"/>
        <v>352.24417443289133</v>
      </c>
      <c r="R18" s="738">
        <f t="shared" ca="1" si="5"/>
        <v>395.97295446043108</v>
      </c>
      <c r="U18" s="737"/>
    </row>
    <row r="19" spans="1:23" ht="13.75" customHeight="1" x14ac:dyDescent="0.35">
      <c r="A19" s="724" t="s">
        <v>469</v>
      </c>
      <c r="B19" s="724" t="s">
        <v>953</v>
      </c>
      <c r="G19" s="734">
        <f t="shared" ref="G19:R19" si="6">G11-G14</f>
        <v>135.39799999999997</v>
      </c>
      <c r="H19" s="734">
        <f t="shared" si="6"/>
        <v>154.35499999999999</v>
      </c>
      <c r="I19" s="734">
        <f t="shared" ca="1" si="6"/>
        <v>293.22063316428773</v>
      </c>
      <c r="J19" s="734">
        <f t="shared" ca="1" si="6"/>
        <v>298.25077602143062</v>
      </c>
      <c r="K19" s="734">
        <f t="shared" ca="1" si="6"/>
        <v>311.11434745000201</v>
      </c>
      <c r="L19" s="734">
        <f t="shared" ca="1" si="6"/>
        <v>337.21134745000211</v>
      </c>
      <c r="M19" s="734">
        <f t="shared" ca="1" si="6"/>
        <v>351.2893474500022</v>
      </c>
      <c r="N19" s="734">
        <f t="shared" ca="1" si="6"/>
        <v>370.81313888980844</v>
      </c>
      <c r="O19" s="734">
        <f t="shared" ca="1" si="6"/>
        <v>392.75220395098006</v>
      </c>
      <c r="P19" s="734">
        <f t="shared" ca="1" si="6"/>
        <v>417.44591233422807</v>
      </c>
      <c r="Q19" s="734">
        <f t="shared" ca="1" si="6"/>
        <v>445.28731945012112</v>
      </c>
      <c r="R19" s="734">
        <f t="shared" ca="1" si="6"/>
        <v>476.73241665013302</v>
      </c>
      <c r="U19" s="737"/>
    </row>
    <row r="20" spans="1:23" ht="13.75" customHeight="1" x14ac:dyDescent="0.35">
      <c r="A20" s="724" t="s">
        <v>470</v>
      </c>
      <c r="B20" s="724" t="s">
        <v>184</v>
      </c>
      <c r="G20" s="734">
        <f>-'LBO Model'!G201</f>
        <v>-223.93199999999999</v>
      </c>
      <c r="H20" s="734">
        <f>-'LBO Model'!H201</f>
        <v>-200.06299999999999</v>
      </c>
      <c r="I20" s="734">
        <f ca="1">-'LBO Model'!I201</f>
        <v>-210.89375000000007</v>
      </c>
      <c r="J20" s="734">
        <f ca="1">-'LBO Model'!J201</f>
        <v>-199.77150000000009</v>
      </c>
      <c r="K20" s="734">
        <f ca="1">-'LBO Model'!K201</f>
        <v>-195.88400000000007</v>
      </c>
      <c r="L20" s="734">
        <f ca="1">-'LBO Model'!L201</f>
        <v>-196.36400000000006</v>
      </c>
      <c r="M20" s="734">
        <f ca="1">-'LBO Model'!M201</f>
        <v>-192.70400000000009</v>
      </c>
      <c r="N20" s="734">
        <f ca="1">-'LBO Model'!N201</f>
        <v>-215.59113045806779</v>
      </c>
      <c r="O20" s="734">
        <f ca="1">-'LBO Model'!O201</f>
        <v>-241.65382067709243</v>
      </c>
      <c r="P20" s="734">
        <f ca="1">-'LBO Model'!P201</f>
        <v>-271.38917195612709</v>
      </c>
      <c r="Q20" s="734">
        <f ca="1">-'LBO Model'!Q201</f>
        <v>-305.37934937383739</v>
      </c>
      <c r="R20" s="734">
        <f ca="1">-'LBO Model'!R201</f>
        <v>-344.3073005041507</v>
      </c>
      <c r="U20" s="737"/>
    </row>
    <row r="21" spans="1:23" ht="13.75" customHeight="1" x14ac:dyDescent="0.35">
      <c r="A21" s="724" t="s">
        <v>470</v>
      </c>
      <c r="B21" s="724" t="s">
        <v>954</v>
      </c>
      <c r="G21" s="734"/>
      <c r="H21" s="734"/>
      <c r="I21" s="734">
        <f ca="1">'LBO Model'!I204</f>
        <v>-22.238721701761136</v>
      </c>
      <c r="J21" s="734">
        <f ca="1">'LBO Model'!J204</f>
        <v>15.027606132759246</v>
      </c>
      <c r="K21" s="734">
        <f ca="1">'LBO Model'!K204</f>
        <v>16.540767799138962</v>
      </c>
      <c r="L21" s="734">
        <f ca="1">'LBO Model'!L204</f>
        <v>38.400257450628089</v>
      </c>
      <c r="M21" s="734">
        <f ca="1">'LBO Model'!M204</f>
        <v>21.898841644166339</v>
      </c>
      <c r="N21" s="734">
        <f ca="1">'LBO Model'!N204</f>
        <v>26.110667812760482</v>
      </c>
      <c r="O21" s="734">
        <f ca="1">'LBO Model'!O204</f>
        <v>29.34079897856526</v>
      </c>
      <c r="P21" s="734">
        <f ca="1">'LBO Model'!P204</f>
        <v>33.646210133176965</v>
      </c>
      <c r="Q21" s="734">
        <f ca="1">'LBO Model'!Q204</f>
        <v>36.613040152928818</v>
      </c>
      <c r="R21" s="734">
        <f ca="1">'LBO Model'!R204</f>
        <v>42.053946840236051</v>
      </c>
    </row>
    <row r="22" spans="1:23" ht="5.4" customHeight="1" x14ac:dyDescent="0.35">
      <c r="G22" s="788"/>
      <c r="H22" s="788"/>
      <c r="I22" s="739"/>
      <c r="J22" s="739"/>
      <c r="K22" s="739"/>
      <c r="L22" s="739"/>
      <c r="M22" s="739"/>
      <c r="N22" s="739"/>
      <c r="O22" s="739"/>
      <c r="P22" s="739"/>
      <c r="Q22" s="739"/>
      <c r="R22" s="739"/>
    </row>
    <row r="23" spans="1:23" ht="13.75" customHeight="1" x14ac:dyDescent="0.35">
      <c r="A23" s="733" t="s">
        <v>1034</v>
      </c>
      <c r="G23" s="787"/>
      <c r="H23" s="787"/>
      <c r="I23" s="738">
        <f t="shared" ref="I23:R23" ca="1" si="7">SUM(I18:I21)</f>
        <v>156.07974990573948</v>
      </c>
      <c r="J23" s="738">
        <f t="shared" ca="1" si="7"/>
        <v>237.75387774026012</v>
      </c>
      <c r="K23" s="738">
        <f t="shared" ca="1" si="7"/>
        <v>294.26178940663999</v>
      </c>
      <c r="L23" s="738">
        <f t="shared" ca="1" si="7"/>
        <v>370.60022905812906</v>
      </c>
      <c r="M23" s="738">
        <f t="shared" ca="1" si="7"/>
        <v>402.0111132516675</v>
      </c>
      <c r="N23" s="738">
        <f t="shared" ca="1" si="7"/>
        <v>430.010147138886</v>
      </c>
      <c r="O23" s="738">
        <f t="shared" ca="1" si="7"/>
        <v>459.6259736926649</v>
      </c>
      <c r="P23" s="738">
        <f t="shared" ca="1" si="7"/>
        <v>493.22977706369915</v>
      </c>
      <c r="Q23" s="738">
        <f t="shared" ca="1" si="7"/>
        <v>528.76518466210382</v>
      </c>
      <c r="R23" s="738">
        <f t="shared" ca="1" si="7"/>
        <v>570.45201744664951</v>
      </c>
      <c r="T23" s="735">
        <f ca="1">((R23/L23)^(1/6)-1)</f>
        <v>7.4530893231851136E-2</v>
      </c>
    </row>
    <row r="24" spans="1:23" ht="13.75" customHeight="1" x14ac:dyDescent="0.35">
      <c r="A24" s="733" t="str">
        <f>"Terminal Cash Flows @ "&amp;TEXT($F$65,"#,#x")&amp;" EBITDA Multiple …....................................................................................................................................................................................................................."</f>
        <v>Terminal Cash Flows @ 7,1x EBITDA Multiple ….....................................................................................................................................................................................................................</v>
      </c>
      <c r="G24" s="739"/>
      <c r="H24" s="739"/>
      <c r="I24" s="739"/>
      <c r="J24" s="739"/>
      <c r="K24" s="739"/>
      <c r="L24" s="739"/>
      <c r="M24" s="739"/>
      <c r="N24" s="739"/>
      <c r="P24" s="740"/>
      <c r="Q24" s="740"/>
      <c r="R24" s="741">
        <f ca="1">R11*F65</f>
        <v>7680.7233166565902</v>
      </c>
      <c r="U24" s="742">
        <f ca="1">R23*(1+F66)/(F63-F66)</f>
        <v>7680.7233166565911</v>
      </c>
      <c r="V24" s="743" t="s">
        <v>906</v>
      </c>
      <c r="W24" s="744">
        <f ca="1">R24-U24</f>
        <v>0</v>
      </c>
    </row>
    <row r="25" spans="1:23" ht="13.75" customHeight="1" x14ac:dyDescent="0.35">
      <c r="A25" s="733" t="s">
        <v>1037</v>
      </c>
      <c r="G25" s="745"/>
      <c r="H25" s="745"/>
      <c r="I25" s="738">
        <f t="shared" ref="I25:Q25" ca="1" si="8">SUM(I23:I24)</f>
        <v>156.07974990573948</v>
      </c>
      <c r="J25" s="738">
        <f t="shared" ca="1" si="8"/>
        <v>237.75387774026012</v>
      </c>
      <c r="K25" s="738">
        <f t="shared" ca="1" si="8"/>
        <v>294.26178940663999</v>
      </c>
      <c r="L25" s="738">
        <f t="shared" ca="1" si="8"/>
        <v>370.60022905812906</v>
      </c>
      <c r="M25" s="738">
        <f t="shared" ca="1" si="8"/>
        <v>402.0111132516675</v>
      </c>
      <c r="N25" s="738">
        <f t="shared" ca="1" si="8"/>
        <v>430.010147138886</v>
      </c>
      <c r="O25" s="738">
        <f t="shared" ca="1" si="8"/>
        <v>459.6259736926649</v>
      </c>
      <c r="P25" s="738">
        <f t="shared" ca="1" si="8"/>
        <v>493.22977706369915</v>
      </c>
      <c r="Q25" s="738">
        <f t="shared" ca="1" si="8"/>
        <v>528.76518466210382</v>
      </c>
      <c r="R25" s="738">
        <f ca="1">SUM(R23:R24)</f>
        <v>8251.1753341032399</v>
      </c>
    </row>
    <row r="26" spans="1:23" ht="6" customHeight="1" x14ac:dyDescent="0.35"/>
    <row r="27" spans="1:23" ht="13.75" customHeight="1" x14ac:dyDescent="0.35">
      <c r="A27" s="724" t="s">
        <v>955</v>
      </c>
      <c r="G27" s="746"/>
      <c r="H27" s="746"/>
      <c r="I27" s="747">
        <v>1</v>
      </c>
      <c r="J27" s="747">
        <f>I27+1</f>
        <v>2</v>
      </c>
      <c r="K27" s="747">
        <f t="shared" ref="K27:R27" si="9">J27+1</f>
        <v>3</v>
      </c>
      <c r="L27" s="747">
        <f t="shared" si="9"/>
        <v>4</v>
      </c>
      <c r="M27" s="747">
        <f t="shared" si="9"/>
        <v>5</v>
      </c>
      <c r="N27" s="747">
        <f t="shared" si="9"/>
        <v>6</v>
      </c>
      <c r="O27" s="747">
        <f t="shared" si="9"/>
        <v>7</v>
      </c>
      <c r="P27" s="747">
        <f t="shared" si="9"/>
        <v>8</v>
      </c>
      <c r="Q27" s="747">
        <f t="shared" si="9"/>
        <v>9</v>
      </c>
      <c r="R27" s="747">
        <f t="shared" si="9"/>
        <v>10</v>
      </c>
    </row>
    <row r="28" spans="1:23" s="724" customFormat="1" ht="13.75" customHeight="1" x14ac:dyDescent="0.35">
      <c r="A28" s="724" t="s">
        <v>1011</v>
      </c>
      <c r="G28" s="748"/>
      <c r="H28" s="748"/>
      <c r="I28" s="748">
        <f t="shared" ref="I28:R28" si="10">1/((1+$F$63)^I27)</f>
        <v>0.90413843618384937</v>
      </c>
      <c r="J28" s="748">
        <f t="shared" si="10"/>
        <v>0.81746631178497664</v>
      </c>
      <c r="K28" s="748">
        <f t="shared" si="10"/>
        <v>0.73910271277024786</v>
      </c>
      <c r="L28" s="748">
        <f t="shared" si="10"/>
        <v>0.66825117090333264</v>
      </c>
      <c r="M28" s="748">
        <f t="shared" si="10"/>
        <v>0.60419156863856549</v>
      </c>
      <c r="N28" s="748">
        <f t="shared" si="10"/>
        <v>0.54627282002433941</v>
      </c>
      <c r="O28" s="748">
        <f t="shared" si="10"/>
        <v>0.49390625322654769</v>
      </c>
      <c r="P28" s="748">
        <f t="shared" si="10"/>
        <v>0.44655962741367516</v>
      </c>
      <c r="Q28" s="748">
        <f t="shared" si="10"/>
        <v>0.40375172319264269</v>
      </c>
      <c r="R28" s="748">
        <f t="shared" si="10"/>
        <v>0.36504745161393043</v>
      </c>
    </row>
    <row r="29" spans="1:23" s="724" customFormat="1" ht="6" customHeight="1" x14ac:dyDescent="0.35">
      <c r="G29" s="748"/>
      <c r="H29" s="748"/>
      <c r="I29" s="748"/>
      <c r="J29" s="748"/>
      <c r="K29" s="748"/>
      <c r="L29" s="748"/>
      <c r="M29" s="748"/>
      <c r="N29" s="748"/>
      <c r="O29" s="748"/>
      <c r="P29" s="748"/>
      <c r="Q29" s="748"/>
      <c r="R29" s="748"/>
    </row>
    <row r="30" spans="1:23" s="724" customFormat="1" ht="13.75" customHeight="1" x14ac:dyDescent="0.35">
      <c r="A30" s="724" t="str">
        <f>"DCF of Free Cash Flows @ "&amp;TEXT(F63,"#,#%")&amp;" Ke disc. rate …..................................................................................................................................................................."</f>
        <v>DCF of Free Cash Flows @ 10,6% Ke disc. rate …...................................................................................................................................................................</v>
      </c>
      <c r="F30" s="734">
        <f ca="1">SUM(I30:R30)</f>
        <v>2147.4123489467315</v>
      </c>
      <c r="G30" s="739"/>
      <c r="H30" s="739"/>
      <c r="I30" s="734">
        <f t="shared" ref="I30:R30" ca="1" si="11">I23*I28</f>
        <v>141.1177009997416</v>
      </c>
      <c r="J30" s="734">
        <f t="shared" ca="1" si="11"/>
        <v>194.35578554890671</v>
      </c>
      <c r="K30" s="734">
        <f t="shared" ca="1" si="11"/>
        <v>217.489686815075</v>
      </c>
      <c r="L30" s="734">
        <f t="shared" ca="1" si="11"/>
        <v>247.65403700513804</v>
      </c>
      <c r="M30" s="734">
        <f t="shared" ca="1" si="11"/>
        <v>242.891725125661</v>
      </c>
      <c r="N30" s="734">
        <f t="shared" ca="1" si="11"/>
        <v>234.90285571664037</v>
      </c>
      <c r="O30" s="734">
        <f t="shared" ca="1" si="11"/>
        <v>227.01214255214791</v>
      </c>
      <c r="P30" s="734">
        <f t="shared" ca="1" si="11"/>
        <v>220.25650547489556</v>
      </c>
      <c r="Q30" s="734">
        <f t="shared" ca="1" si="11"/>
        <v>213.48985447160032</v>
      </c>
      <c r="R30" s="734">
        <f t="shared" ca="1" si="11"/>
        <v>208.24205523692478</v>
      </c>
    </row>
    <row r="31" spans="1:23" s="724" customFormat="1" ht="13.75" customHeight="1" x14ac:dyDescent="0.35">
      <c r="A31" s="724" t="str">
        <f>"DCF of Terminal Value @ "&amp;TEXT(F63,"#,#%")&amp;" Ke disc. rate ….............................................................................................................................................................................................................................................."</f>
        <v>DCF of Terminal Value @ 10,6% Ke disc. rate …..............................................................................................................................................................................................................................................</v>
      </c>
      <c r="F31" s="734">
        <f ca="1">SUM(I31:R31)</f>
        <v>2803.8284732971838</v>
      </c>
      <c r="G31" s="739"/>
      <c r="H31" s="739"/>
      <c r="I31" s="734"/>
      <c r="J31" s="739"/>
      <c r="K31" s="739"/>
      <c r="L31" s="739"/>
      <c r="M31" s="739"/>
      <c r="N31" s="739"/>
      <c r="O31" s="739"/>
      <c r="P31" s="739"/>
      <c r="Q31" s="739"/>
      <c r="R31" s="734">
        <f ca="1">R24*R28</f>
        <v>2803.8284732971838</v>
      </c>
    </row>
    <row r="32" spans="1:23" s="724" customFormat="1" ht="13.75" customHeight="1" x14ac:dyDescent="0.35">
      <c r="A32" s="733" t="s">
        <v>1069</v>
      </c>
      <c r="F32" s="738">
        <f ca="1">SUM(F30:F31)</f>
        <v>4951.2408222439153</v>
      </c>
      <c r="G32" s="739"/>
      <c r="H32" s="739"/>
      <c r="I32" s="734"/>
      <c r="J32" s="739"/>
      <c r="K32" s="739"/>
      <c r="L32" s="739"/>
      <c r="M32" s="739"/>
      <c r="N32" s="739"/>
      <c r="O32" s="739"/>
      <c r="P32" s="739"/>
      <c r="Q32" s="739"/>
      <c r="R32" s="734"/>
    </row>
    <row r="33" spans="1:18" s="724" customFormat="1" ht="9.65" customHeight="1" x14ac:dyDescent="0.35">
      <c r="F33" s="787"/>
      <c r="G33" s="739"/>
      <c r="H33" s="739"/>
      <c r="I33" s="734"/>
      <c r="J33" s="739"/>
      <c r="K33" s="739"/>
      <c r="L33" s="739"/>
      <c r="M33" s="739"/>
      <c r="N33" s="739"/>
      <c r="O33" s="739"/>
      <c r="P33" s="739"/>
      <c r="Q33" s="739"/>
      <c r="R33" s="734"/>
    </row>
    <row r="34" spans="1:18" s="724" customFormat="1" ht="13.75" customHeight="1" x14ac:dyDescent="0.4">
      <c r="A34" s="848" t="s">
        <v>1029</v>
      </c>
      <c r="B34" s="845"/>
      <c r="F34" s="787"/>
      <c r="G34" s="739"/>
      <c r="H34" s="739"/>
      <c r="I34" s="734"/>
      <c r="J34" s="739"/>
      <c r="K34" s="739"/>
      <c r="L34" s="739"/>
      <c r="M34" s="739"/>
      <c r="N34" s="739"/>
      <c r="O34" s="739"/>
      <c r="P34" s="739"/>
      <c r="Q34" s="739"/>
      <c r="R34" s="734"/>
    </row>
    <row r="35" spans="1:18" s="724" customFormat="1" ht="13.75" customHeight="1" x14ac:dyDescent="0.35">
      <c r="A35" s="846" t="s">
        <v>1010</v>
      </c>
      <c r="B35" s="847"/>
      <c r="F35" s="787"/>
      <c r="G35" s="739"/>
      <c r="H35" s="739"/>
      <c r="I35" s="734">
        <f ca="1">'LBO Model'!I169+'LBO Model'!I171-'LBO Model'!I170</f>
        <v>174.13839668673876</v>
      </c>
      <c r="J35" s="734">
        <f ca="1">'LBO Model'!J169+'LBO Model'!J171-'LBO Model'!J170</f>
        <v>170.86082758578993</v>
      </c>
      <c r="K35" s="734">
        <f ca="1">'LBO Model'!K169+'LBO Model'!K171-'LBO Model'!K170</f>
        <v>164.48245205870492</v>
      </c>
      <c r="L35" s="734">
        <f ca="1">'LBO Model'!L169+'LBO Model'!L171-'LBO Model'!L170</f>
        <v>155.72268489242822</v>
      </c>
      <c r="M35" s="734">
        <f ca="1">'LBO Model'!M169+'LBO Model'!M171-'LBO Model'!M170</f>
        <v>141.98782935250091</v>
      </c>
      <c r="N35" s="734">
        <f ca="1">'LBO Model'!N169+'LBO Model'!N171-'LBO Model'!N170</f>
        <v>122.1260019370594</v>
      </c>
      <c r="O35" s="734">
        <f ca="1">'LBO Model'!O169+'LBO Model'!O171-'LBO Model'!O170</f>
        <v>98.250166015708103</v>
      </c>
      <c r="P35" s="734">
        <f ca="1">'LBO Model'!P169+'LBO Model'!P171-'LBO Model'!P170</f>
        <v>68.959550854041439</v>
      </c>
      <c r="Q35" s="734">
        <f ca="1">'LBO Model'!Q169+'LBO Model'!Q171-'LBO Model'!Q170</f>
        <v>38.759634731858739</v>
      </c>
      <c r="R35" s="734">
        <f ca="1">'LBO Model'!R169+'LBO Model'!R171-'LBO Model'!R170</f>
        <v>9.0185683519550164</v>
      </c>
    </row>
    <row r="36" spans="1:18" s="724" customFormat="1" ht="13.75" customHeight="1" x14ac:dyDescent="0.35">
      <c r="A36" s="871" t="s">
        <v>1031</v>
      </c>
      <c r="B36" s="847"/>
      <c r="F36" s="787"/>
      <c r="G36" s="739"/>
      <c r="H36" s="739"/>
      <c r="I36" s="734">
        <f ca="1">-'LBO Model'!I236</f>
        <v>0</v>
      </c>
      <c r="J36" s="734">
        <f ca="1">-'LBO Model'!J236</f>
        <v>20.288396392779848</v>
      </c>
      <c r="K36" s="734">
        <f ca="1">-'LBO Model'!K236</f>
        <v>6.1706334585055096</v>
      </c>
      <c r="L36" s="734">
        <f ca="1">-'LBO Model'!L236</f>
        <v>0</v>
      </c>
      <c r="M36" s="734">
        <f ca="1">-'LBO Model'!M236</f>
        <v>0</v>
      </c>
      <c r="N36" s="734">
        <f ca="1">-'LBO Model'!N236</f>
        <v>0</v>
      </c>
      <c r="O36" s="734">
        <f ca="1">-'LBO Model'!O236</f>
        <v>0</v>
      </c>
      <c r="P36" s="734">
        <f ca="1">-'LBO Model'!P236</f>
        <v>0</v>
      </c>
      <c r="Q36" s="734">
        <f ca="1">-'LBO Model'!Q236</f>
        <v>0</v>
      </c>
      <c r="R36" s="734">
        <f ca="1">-'LBO Model'!R236</f>
        <v>0</v>
      </c>
    </row>
    <row r="37" spans="1:18" s="724" customFormat="1" ht="13.75" customHeight="1" x14ac:dyDescent="0.35">
      <c r="A37" s="483" t="s">
        <v>1030</v>
      </c>
      <c r="B37" s="873"/>
      <c r="C37" s="733"/>
      <c r="D37" s="733"/>
      <c r="E37" s="733"/>
      <c r="F37" s="787"/>
      <c r="G37" s="745"/>
      <c r="H37" s="745"/>
      <c r="I37" s="874">
        <f ca="1">(I35+I36)*'LBO Model'!I191</f>
        <v>60.948438840358563</v>
      </c>
      <c r="J37" s="874">
        <f ca="1">(J35+J36)*'LBO Model'!J191</f>
        <v>66.902228392499424</v>
      </c>
      <c r="K37" s="874">
        <f ca="1">(K35+K36)*'LBO Model'!K191</f>
        <v>59.728579931023646</v>
      </c>
      <c r="L37" s="874">
        <f ca="1">(L35+L36)*'LBO Model'!L191</f>
        <v>54.502939712349871</v>
      </c>
      <c r="M37" s="874">
        <f ca="1">(M35+M36)*'LBO Model'!M191</f>
        <v>49.695740273375314</v>
      </c>
      <c r="N37" s="874">
        <f ca="1">(N35+N36)*'LBO Model'!N191</f>
        <v>42.744100677970785</v>
      </c>
      <c r="O37" s="874">
        <f ca="1">(O35+O36)*'LBO Model'!O191</f>
        <v>34.387558105497831</v>
      </c>
      <c r="P37" s="874">
        <f ca="1">(P35+P36)*'LBO Model'!P191</f>
        <v>24.135842798914503</v>
      </c>
      <c r="Q37" s="874">
        <f ca="1">(Q35+Q36)*'LBO Model'!Q191</f>
        <v>13.565872156150558</v>
      </c>
      <c r="R37" s="874">
        <f ca="1">(R35+R36)*'LBO Model'!R191</f>
        <v>3.1564989231842557</v>
      </c>
    </row>
    <row r="38" spans="1:18" s="724" customFormat="1" ht="13.75" customHeight="1" x14ac:dyDescent="0.35">
      <c r="A38" s="483" t="s">
        <v>1033</v>
      </c>
      <c r="B38" s="845"/>
      <c r="F38" s="787"/>
      <c r="G38" s="739"/>
      <c r="H38" s="739"/>
      <c r="I38" s="734"/>
      <c r="J38" s="739"/>
      <c r="K38" s="739"/>
      <c r="L38" s="739"/>
      <c r="M38" s="739"/>
      <c r="N38" s="739"/>
      <c r="O38" s="739"/>
      <c r="P38" s="739"/>
      <c r="Q38" s="739"/>
      <c r="R38" s="874">
        <f ca="1">R37*(1+0.03)/(F64-0.03)</f>
        <v>104.88643205729437</v>
      </c>
    </row>
    <row r="39" spans="1:18" s="724" customFormat="1" ht="3.9" customHeight="1" x14ac:dyDescent="0.35">
      <c r="F39" s="787"/>
      <c r="G39" s="739"/>
      <c r="H39" s="739"/>
      <c r="I39" s="734"/>
      <c r="J39" s="739"/>
      <c r="K39" s="739"/>
      <c r="L39" s="739"/>
      <c r="M39" s="739"/>
      <c r="N39" s="739"/>
      <c r="O39" s="739"/>
      <c r="P39" s="739"/>
      <c r="Q39" s="739"/>
      <c r="R39" s="734"/>
    </row>
    <row r="40" spans="1:18" s="724" customFormat="1" ht="13.75" customHeight="1" x14ac:dyDescent="0.35">
      <c r="A40" s="724" t="s">
        <v>955</v>
      </c>
      <c r="G40" s="746"/>
      <c r="H40" s="746"/>
      <c r="I40" s="747">
        <v>1</v>
      </c>
      <c r="J40" s="747">
        <f t="shared" ref="J40:R40" si="12">I40+1</f>
        <v>2</v>
      </c>
      <c r="K40" s="747">
        <f t="shared" si="12"/>
        <v>3</v>
      </c>
      <c r="L40" s="747">
        <f t="shared" si="12"/>
        <v>4</v>
      </c>
      <c r="M40" s="747">
        <f t="shared" si="12"/>
        <v>5</v>
      </c>
      <c r="N40" s="747">
        <f t="shared" si="12"/>
        <v>6</v>
      </c>
      <c r="O40" s="747">
        <f t="shared" si="12"/>
        <v>7</v>
      </c>
      <c r="P40" s="747">
        <f t="shared" si="12"/>
        <v>8</v>
      </c>
      <c r="Q40" s="747">
        <f t="shared" si="12"/>
        <v>9</v>
      </c>
      <c r="R40" s="747">
        <f t="shared" si="12"/>
        <v>10</v>
      </c>
    </row>
    <row r="41" spans="1:18" s="724" customFormat="1" ht="13.75" customHeight="1" x14ac:dyDescent="0.35">
      <c r="A41" s="724" t="s">
        <v>1012</v>
      </c>
      <c r="G41" s="748"/>
      <c r="H41" s="748"/>
      <c r="I41" s="748">
        <f>1/((1+$F$64)^I40)</f>
        <v>0.94250948683228031</v>
      </c>
      <c r="J41" s="748">
        <f t="shared" ref="J41:R41" si="13">1/((1+$F$64)^J40)</f>
        <v>0.88832413276884836</v>
      </c>
      <c r="K41" s="748">
        <f t="shared" si="13"/>
        <v>0.83725392251669761</v>
      </c>
      <c r="L41" s="748">
        <f t="shared" si="13"/>
        <v>0.78911976485952651</v>
      </c>
      <c r="M41" s="748">
        <f t="shared" si="13"/>
        <v>0.74375286462696211</v>
      </c>
      <c r="N41" s="748">
        <f t="shared" si="13"/>
        <v>0.70099413076959649</v>
      </c>
      <c r="O41" s="748">
        <f t="shared" si="13"/>
        <v>0.66069361846409269</v>
      </c>
      <c r="P41" s="748">
        <f t="shared" si="13"/>
        <v>0.62271000329195436</v>
      </c>
      <c r="Q41" s="748">
        <f t="shared" si="13"/>
        <v>0.58691008564802749</v>
      </c>
      <c r="R41" s="748">
        <f t="shared" si="13"/>
        <v>0.55316832364081203</v>
      </c>
    </row>
    <row r="42" spans="1:18" s="724" customFormat="1" ht="6.25" customHeight="1" x14ac:dyDescent="0.35">
      <c r="F42" s="787"/>
      <c r="G42" s="739"/>
      <c r="H42" s="739"/>
      <c r="I42" s="734"/>
      <c r="J42" s="739"/>
      <c r="K42" s="739"/>
      <c r="L42" s="739"/>
      <c r="M42" s="739"/>
      <c r="N42" s="739"/>
      <c r="O42" s="739"/>
      <c r="P42" s="739"/>
      <c r="Q42" s="739"/>
      <c r="R42" s="734"/>
    </row>
    <row r="43" spans="1:18" s="724" customFormat="1" ht="13.75" customHeight="1" x14ac:dyDescent="0.35">
      <c r="A43" s="724" t="str">
        <f>"DCF of Tax Shields @ "&amp;TEXT(F64,"#,#0.0%")&amp;" Kd disc. rate …..................................................................................................................................................................."</f>
        <v>DCF of Tax Shields @ 6,100% Kd disc. rate …...................................................................................................................................................................</v>
      </c>
      <c r="F43" s="734">
        <f ca="1">SUM(I43:R43)</f>
        <v>324.27468733005304</v>
      </c>
      <c r="G43" s="739"/>
      <c r="H43" s="739"/>
      <c r="I43" s="734">
        <f t="shared" ref="I43:R43" ca="1" si="14">I37*I41</f>
        <v>57.444481814654971</v>
      </c>
      <c r="J43" s="734">
        <f t="shared" ca="1" si="14"/>
        <v>59.430864017070476</v>
      </c>
      <c r="K43" s="734">
        <f t="shared" ca="1" si="14"/>
        <v>50.007987833601653</v>
      </c>
      <c r="L43" s="734">
        <f t="shared" ca="1" si="14"/>
        <v>43.009346969962479</v>
      </c>
      <c r="M43" s="734">
        <f t="shared" ca="1" si="14"/>
        <v>36.961349188080376</v>
      </c>
      <c r="N43" s="734">
        <f t="shared" ca="1" si="14"/>
        <v>29.963363700282251</v>
      </c>
      <c r="O43" s="734">
        <f t="shared" ca="1" si="14"/>
        <v>22.719640194865601</v>
      </c>
      <c r="P43" s="734">
        <f t="shared" ca="1" si="14"/>
        <v>15.029630748766143</v>
      </c>
      <c r="Q43" s="734">
        <f t="shared" ca="1" si="14"/>
        <v>7.9619471890565157</v>
      </c>
      <c r="R43" s="734">
        <f t="shared" ca="1" si="14"/>
        <v>1.746075217911863</v>
      </c>
    </row>
    <row r="44" spans="1:18" s="724" customFormat="1" ht="13.75" customHeight="1" x14ac:dyDescent="0.35">
      <c r="A44" s="724" t="str">
        <f>"DCF of Terminal Value @ "&amp;TEXT(F64,"#,#0.0%")&amp;" Kd disc. rate ….............................................................................................................................................................................................................................................."</f>
        <v>DCF of Terminal Value @ 6,100% Kd disc. rate …..............................................................................................................................................................................................................................................</v>
      </c>
      <c r="F44" s="734">
        <f ca="1">SUM(I44:R44)</f>
        <v>58.019865039990329</v>
      </c>
      <c r="G44" s="739"/>
      <c r="H44" s="739"/>
      <c r="I44" s="734"/>
      <c r="J44" s="739"/>
      <c r="K44" s="739"/>
      <c r="L44" s="739"/>
      <c r="M44" s="739"/>
      <c r="N44" s="739"/>
      <c r="O44" s="739"/>
      <c r="P44" s="739"/>
      <c r="Q44" s="739"/>
      <c r="R44" s="734">
        <f ca="1">R38*R41</f>
        <v>58.019851793799454</v>
      </c>
    </row>
    <row r="45" spans="1:18" s="724" customFormat="1" ht="13.75" customHeight="1" x14ac:dyDescent="0.35">
      <c r="A45" s="733" t="s">
        <v>1070</v>
      </c>
      <c r="F45" s="738">
        <f ca="1">SUM(F43:F44)</f>
        <v>382.29455237004339</v>
      </c>
      <c r="G45" s="739"/>
      <c r="H45" s="739"/>
      <c r="I45" s="734"/>
      <c r="J45" s="739"/>
      <c r="K45" s="739"/>
      <c r="L45" s="739"/>
      <c r="M45" s="739"/>
      <c r="N45" s="739"/>
      <c r="O45" s="739"/>
      <c r="P45" s="739"/>
      <c r="Q45" s="739"/>
      <c r="R45" s="734"/>
    </row>
    <row r="46" spans="1:18" s="724" customFormat="1" ht="3.65" customHeight="1" x14ac:dyDescent="0.35">
      <c r="F46" s="741"/>
      <c r="G46" s="739"/>
      <c r="H46" s="739"/>
      <c r="I46" s="734"/>
      <c r="J46" s="739"/>
      <c r="K46" s="739"/>
      <c r="L46" s="739"/>
      <c r="M46" s="739"/>
      <c r="N46" s="739"/>
      <c r="O46" s="739"/>
      <c r="P46" s="739"/>
      <c r="Q46" s="739"/>
      <c r="R46" s="734"/>
    </row>
    <row r="47" spans="1:18" s="724" customFormat="1" x14ac:dyDescent="0.35">
      <c r="A47" s="733" t="s">
        <v>1071</v>
      </c>
      <c r="F47" s="738">
        <f ca="1">F32+F45</f>
        <v>5333.535374613959</v>
      </c>
      <c r="G47" s="739"/>
      <c r="H47" s="739"/>
      <c r="I47" s="734"/>
      <c r="J47" s="739"/>
      <c r="K47" s="739"/>
      <c r="L47" s="739"/>
      <c r="M47" s="739"/>
      <c r="N47" s="739"/>
      <c r="O47" s="739"/>
      <c r="P47" s="739"/>
      <c r="Q47" s="739"/>
      <c r="R47" s="734"/>
    </row>
    <row r="49" spans="1:21" s="724" customFormat="1" ht="16" thickBot="1" x14ac:dyDescent="0.4">
      <c r="A49" s="749" t="str">
        <f>"APV Calculation @ "&amp;TEXT(F63,"#,#%")&amp;" Ke and "&amp;TEXT(F64,"#,#%")&amp;" Kd disc. rates"</f>
        <v>APV Calculation @ 10,6% Ke and 6,1% Kd disc. rates</v>
      </c>
      <c r="B49" s="750"/>
      <c r="C49" s="750"/>
      <c r="D49" s="750"/>
      <c r="E49" s="750"/>
      <c r="F49" s="750"/>
      <c r="I49" s="749" t="s">
        <v>957</v>
      </c>
      <c r="J49" s="750"/>
      <c r="K49" s="750"/>
      <c r="L49" s="750"/>
      <c r="M49" s="750"/>
      <c r="N49" s="750"/>
      <c r="O49" s="750"/>
      <c r="P49" s="750"/>
      <c r="Q49" s="750"/>
    </row>
    <row r="51" spans="1:21" s="724" customFormat="1" x14ac:dyDescent="0.35">
      <c r="A51" s="724" t="str">
        <f>"DCF of FCFF @ "&amp;TEXT(F63,"#,#%")&amp;" Ke disc. rate …..................................................................................................................................................................."</f>
        <v>DCF of FCFF @ 10,6% Ke disc. rate …...................................................................................................................................................................</v>
      </c>
      <c r="F51" s="734">
        <f ca="1">F32</f>
        <v>4951.2408222439153</v>
      </c>
      <c r="G51" s="735">
        <f ca="1">F51/F53</f>
        <v>0.9283224830651774</v>
      </c>
      <c r="M51" s="751" t="s">
        <v>933</v>
      </c>
      <c r="N51" s="752"/>
      <c r="O51" s="752"/>
      <c r="P51" s="752"/>
      <c r="Q51" s="752"/>
    </row>
    <row r="52" spans="1:21" s="724" customFormat="1" x14ac:dyDescent="0.35">
      <c r="A52" s="724" t="str">
        <f>"DCF of Tax Shields @ "&amp;TEXT(F64,"#,#%")&amp;" Kd disc. rate …..................................................................................................................................................................."</f>
        <v>DCF of Tax Shields @ 6,1% Kd disc. rate …...................................................................................................................................................................</v>
      </c>
      <c r="F52" s="734">
        <f ca="1">F45</f>
        <v>382.29455237004339</v>
      </c>
      <c r="G52" s="753">
        <f ca="1">F52/F53</f>
        <v>7.1677512942626545E-2</v>
      </c>
      <c r="I52" s="754"/>
      <c r="L52" s="755">
        <f ca="1">F57</f>
        <v>216.82846604479977</v>
      </c>
      <c r="M52" s="756">
        <v>9.5000000000000001E-2</v>
      </c>
      <c r="N52" s="756">
        <v>9.8188938542277809E-2</v>
      </c>
      <c r="O52" s="757">
        <v>0.106025316455696</v>
      </c>
      <c r="P52" s="756">
        <v>0.11</v>
      </c>
      <c r="Q52" s="756">
        <v>0.12</v>
      </c>
    </row>
    <row r="53" spans="1:21" s="724" customFormat="1" x14ac:dyDescent="0.35">
      <c r="A53" s="733" t="s">
        <v>958</v>
      </c>
      <c r="F53" s="738">
        <f ca="1">SUM(F51:F52)</f>
        <v>5333.535374613959</v>
      </c>
      <c r="G53" s="735">
        <f ca="1">F53/F53</f>
        <v>1</v>
      </c>
      <c r="I53" s="754"/>
      <c r="K53" s="758" t="s">
        <v>959</v>
      </c>
      <c r="L53" s="759">
        <v>7.0730000000000004</v>
      </c>
      <c r="M53" s="760">
        <f t="dataTable" ref="M53:Q55" dt2D="1" dtr="1" r1="F63" r2="F65" ca="1"/>
        <v>235.38025294488534</v>
      </c>
      <c r="N53" s="760">
        <v>229.81985080754299</v>
      </c>
      <c r="O53" s="761">
        <v>216.82846457803061</v>
      </c>
      <c r="P53" s="760">
        <v>210.58605468109604</v>
      </c>
      <c r="Q53" s="760">
        <v>195.8388746173751</v>
      </c>
    </row>
    <row r="54" spans="1:21" s="724" customFormat="1" x14ac:dyDescent="0.35">
      <c r="A54" s="724" t="str">
        <f>"Less: "&amp;TEXT(F72,"M/D/YYYY")&amp;" (Net Debt)/Cash"</f>
        <v>Less: 12/31/2016 (Net Debt)/Cash</v>
      </c>
      <c r="F54" s="734">
        <f>-F70</f>
        <v>-406.48145</v>
      </c>
      <c r="I54" s="754"/>
      <c r="K54" s="758" t="s">
        <v>111</v>
      </c>
      <c r="L54" s="759">
        <v>10</v>
      </c>
      <c r="M54" s="760">
        <v>291.82310797351147</v>
      </c>
      <c r="N54" s="760">
        <v>284.64496126317675</v>
      </c>
      <c r="O54" s="761">
        <v>267.89066032511352</v>
      </c>
      <c r="P54" s="760">
        <v>259.84900040160232</v>
      </c>
      <c r="Q54" s="760">
        <v>240.87592489516584</v>
      </c>
      <c r="T54" s="724" t="s">
        <v>1097</v>
      </c>
    </row>
    <row r="55" spans="1:21" s="724" customFormat="1" x14ac:dyDescent="0.35">
      <c r="A55" s="733" t="s">
        <v>960</v>
      </c>
      <c r="F55" s="738">
        <f ca="1">F53+F54</f>
        <v>4927.0539246139588</v>
      </c>
      <c r="I55" s="754"/>
      <c r="K55" s="758" t="s">
        <v>401</v>
      </c>
      <c r="L55" s="759">
        <v>13</v>
      </c>
      <c r="M55" s="760">
        <v>349.67365976233231</v>
      </c>
      <c r="N55" s="760">
        <v>340.83742158668252</v>
      </c>
      <c r="O55" s="761">
        <v>320.22635805017291</v>
      </c>
      <c r="P55" s="760">
        <v>310.34057442330339</v>
      </c>
      <c r="Q55" s="760">
        <v>287.03620874667666</v>
      </c>
    </row>
    <row r="56" spans="1:21" s="724" customFormat="1" x14ac:dyDescent="0.35">
      <c r="A56" s="724" t="s">
        <v>980</v>
      </c>
      <c r="D56" s="762"/>
      <c r="E56" s="762"/>
      <c r="F56" s="763">
        <f>'LBO Model'!F18</f>
        <v>22.723279999999999</v>
      </c>
      <c r="I56" s="754"/>
      <c r="L56" s="764"/>
      <c r="U56" s="765"/>
    </row>
    <row r="57" spans="1:21" s="724" customFormat="1" x14ac:dyDescent="0.35">
      <c r="A57" s="733" t="s">
        <v>961</v>
      </c>
      <c r="F57" s="766">
        <f ca="1">F55/F56</f>
        <v>216.82846510776432</v>
      </c>
      <c r="L57" s="767">
        <f ca="1">F58</f>
        <v>-0.10515236235479453</v>
      </c>
      <c r="M57" s="756">
        <v>9.5000000000000001E-2</v>
      </c>
      <c r="N57" s="756">
        <v>9.8188938542277809E-2</v>
      </c>
      <c r="O57" s="757">
        <v>0.106025316455696</v>
      </c>
      <c r="P57" s="756">
        <v>0.11</v>
      </c>
      <c r="Q57" s="756">
        <v>0.12</v>
      </c>
    </row>
    <row r="58" spans="1:21" s="724" customFormat="1" x14ac:dyDescent="0.35">
      <c r="A58" s="743" t="s">
        <v>981</v>
      </c>
      <c r="B58" s="743"/>
      <c r="C58" s="743"/>
      <c r="D58" s="872">
        <f>'LBO Model'!F14</f>
        <v>242.30769230769229</v>
      </c>
      <c r="E58" s="743"/>
      <c r="F58" s="798">
        <f ca="1">F57/D58-1</f>
        <v>-0.10515236622192503</v>
      </c>
      <c r="K58" s="758" t="s">
        <v>959</v>
      </c>
      <c r="L58" s="759">
        <v>7.0730000000000004</v>
      </c>
      <c r="M58" s="799">
        <f t="dataTable" ref="M58:Q60" dt2D="1" dtr="1" r1="F63" r2="F65" ca="1"/>
        <v>-2.8589432290949346E-2</v>
      </c>
      <c r="N58" s="799">
        <v>-5.1537123651409833E-2</v>
      </c>
      <c r="O58" s="800">
        <v>-0.10515236840812758</v>
      </c>
      <c r="P58" s="799">
        <v>-0.13091469496690511</v>
      </c>
      <c r="Q58" s="799">
        <v>-0.19177607300765831</v>
      </c>
    </row>
    <row r="59" spans="1:21" s="724" customFormat="1" x14ac:dyDescent="0.35">
      <c r="A59" s="768" t="s">
        <v>962</v>
      </c>
      <c r="F59" s="732">
        <v>2016</v>
      </c>
      <c r="G59" s="732">
        <v>2017</v>
      </c>
      <c r="K59" s="758" t="s">
        <v>111</v>
      </c>
      <c r="L59" s="759">
        <v>10</v>
      </c>
      <c r="M59" s="799">
        <v>0.20434933449385695</v>
      </c>
      <c r="N59" s="799">
        <v>0.17472523695914233</v>
      </c>
      <c r="O59" s="800">
        <v>0.10558050292903998</v>
      </c>
      <c r="P59" s="799">
        <v>7.2392700070105009E-2</v>
      </c>
      <c r="Q59" s="799">
        <v>-5.9088813850297628E-3</v>
      </c>
    </row>
    <row r="60" spans="1:21" s="724" customFormat="1" x14ac:dyDescent="0.35">
      <c r="A60" s="724" t="s">
        <v>963</v>
      </c>
      <c r="F60" s="769">
        <f ca="1">$F53/H11</f>
        <v>13.228342405848252</v>
      </c>
      <c r="G60" s="769">
        <f ca="1">$F53/I11</f>
        <v>12.096927590414969</v>
      </c>
      <c r="K60" s="758" t="s">
        <v>401</v>
      </c>
      <c r="L60" s="759">
        <v>13</v>
      </c>
      <c r="M60" s="799">
        <v>0.44309764346359382</v>
      </c>
      <c r="N60" s="799">
        <v>0.40663062877043599</v>
      </c>
      <c r="O60" s="800">
        <v>0.32156909671499934</v>
      </c>
      <c r="P60" s="799">
        <v>0.28077062460410929</v>
      </c>
      <c r="Q60" s="799">
        <v>0.18459387736723709</v>
      </c>
    </row>
    <row r="61" spans="1:21" s="724" customFormat="1" x14ac:dyDescent="0.35">
      <c r="L61" s="764"/>
    </row>
    <row r="62" spans="1:21" s="724" customFormat="1" x14ac:dyDescent="0.35">
      <c r="A62" s="731" t="s">
        <v>964</v>
      </c>
      <c r="B62" s="770"/>
      <c r="C62" s="770"/>
      <c r="D62" s="770"/>
      <c r="E62" s="770"/>
      <c r="F62" s="770"/>
      <c r="L62" s="767">
        <f ca="1">F60</f>
        <v>13.228342405848252</v>
      </c>
      <c r="M62" s="756">
        <v>9.5000000000000001E-2</v>
      </c>
      <c r="N62" s="756">
        <v>9.8188938542277809E-2</v>
      </c>
      <c r="O62" s="757">
        <v>0.106025316455696</v>
      </c>
      <c r="P62" s="756">
        <v>0.11</v>
      </c>
      <c r="Q62" s="756">
        <v>0.12</v>
      </c>
    </row>
    <row r="63" spans="1:21" s="724" customFormat="1" x14ac:dyDescent="0.35">
      <c r="A63" s="724" t="s">
        <v>922</v>
      </c>
      <c r="F63" s="771">
        <v>0.106025316455696</v>
      </c>
      <c r="G63" s="844"/>
      <c r="I63" s="733"/>
      <c r="K63" s="758" t="s">
        <v>959</v>
      </c>
      <c r="L63" s="759">
        <v>7.0730000000000004</v>
      </c>
      <c r="M63" s="772">
        <f t="dataTable" ref="M63:Q65" dt2D="1" dtr="1" r1="F63" r2="F65" ca="1"/>
        <v>14.273897775583352</v>
      </c>
      <c r="N63" s="772">
        <v>13.960520522478294</v>
      </c>
      <c r="O63" s="775">
        <v>13.228342375993128</v>
      </c>
      <c r="P63" s="772">
        <v>12.876528025531025</v>
      </c>
      <c r="Q63" s="772">
        <v>12.045395552507514</v>
      </c>
    </row>
    <row r="64" spans="1:21" s="724" customFormat="1" x14ac:dyDescent="0.35">
      <c r="A64" s="724" t="s">
        <v>1009</v>
      </c>
      <c r="F64" s="771">
        <v>6.099727798066211E-2</v>
      </c>
      <c r="I64" s="774"/>
      <c r="K64" s="758" t="s">
        <v>111</v>
      </c>
      <c r="L64" s="759">
        <v>10</v>
      </c>
      <c r="M64" s="772">
        <v>17.45494591371892</v>
      </c>
      <c r="N64" s="772">
        <v>17.050394616365278</v>
      </c>
      <c r="O64" s="775">
        <v>16.106143341730803</v>
      </c>
      <c r="P64" s="772">
        <v>15.652925528524317</v>
      </c>
      <c r="Q64" s="772">
        <v>14.583626916966745</v>
      </c>
      <c r="T64" s="776"/>
    </row>
    <row r="65" spans="1:18" s="724" customFormat="1" x14ac:dyDescent="0.35">
      <c r="A65" s="724" t="s">
        <v>965</v>
      </c>
      <c r="F65" s="773">
        <v>7.0730000000000004</v>
      </c>
      <c r="I65" s="774"/>
      <c r="K65" s="758" t="s">
        <v>401</v>
      </c>
      <c r="L65" s="759">
        <v>13</v>
      </c>
      <c r="M65" s="772">
        <v>20.715330066232312</v>
      </c>
      <c r="N65" s="772">
        <v>20.217330824653953</v>
      </c>
      <c r="O65" s="775">
        <v>19.055717273132593</v>
      </c>
      <c r="P65" s="772">
        <v>18.4985669733415</v>
      </c>
      <c r="Q65" s="772">
        <v>17.185162309306232</v>
      </c>
    </row>
    <row r="66" spans="1:18" s="724" customFormat="1" x14ac:dyDescent="0.35">
      <c r="A66" s="724" t="s">
        <v>966</v>
      </c>
      <c r="F66" s="649">
        <f ca="1">((F63*R24)-R23)/(R23+R24)</f>
        <v>2.9559316453068207E-2</v>
      </c>
      <c r="L66" s="764"/>
    </row>
    <row r="67" spans="1:18" s="724" customFormat="1" x14ac:dyDescent="0.35">
      <c r="L67" s="767">
        <f ca="1">F66</f>
        <v>2.9559316453068207E-2</v>
      </c>
      <c r="M67" s="756">
        <v>9.5000000000000001E-2</v>
      </c>
      <c r="N67" s="756">
        <v>9.8188938542277809E-2</v>
      </c>
      <c r="O67" s="757">
        <v>0.106025316455696</v>
      </c>
      <c r="P67" s="756">
        <v>0.11</v>
      </c>
      <c r="Q67" s="756">
        <v>0.12</v>
      </c>
    </row>
    <row r="68" spans="1:18" s="724" customFormat="1" x14ac:dyDescent="0.35">
      <c r="A68" s="724" t="str">
        <f>"Total Debt as of "&amp;TEXT(F72,"M/D/YYYY")</f>
        <v>Total Debt as of 12/31/2016</v>
      </c>
      <c r="F68" s="777">
        <f>'LBO Model'!F24+'LBO Model'!F25</f>
        <v>427.82299999999998</v>
      </c>
      <c r="I68" s="733"/>
      <c r="K68" s="758" t="s">
        <v>959</v>
      </c>
      <c r="L68" s="759">
        <v>7.0730000000000004</v>
      </c>
      <c r="M68" s="778">
        <f t="dataTable" ref="M68:Q70" dt2D="1" dtr="1" r1="F63" r2="F65" ca="1"/>
        <v>1.9296244618346923E-2</v>
      </c>
      <c r="N68" s="778">
        <v>2.2264713184979329E-2</v>
      </c>
      <c r="O68" s="780">
        <v>2.9559316453068207E-2</v>
      </c>
      <c r="P68" s="778">
        <v>3.3259206873392774E-2</v>
      </c>
      <c r="Q68" s="778">
        <v>4.2567848376756673E-2</v>
      </c>
    </row>
    <row r="69" spans="1:18" s="724" customFormat="1" x14ac:dyDescent="0.35">
      <c r="A69" s="724" t="str">
        <f>"Total Cash as of "&amp;TEXT(F72,"M/D/YYYY")</f>
        <v>Total Cash as of 12/31/2016</v>
      </c>
      <c r="F69" s="779">
        <f>'LBO Model'!F26</f>
        <v>-21.341550000000002</v>
      </c>
      <c r="I69" s="774"/>
      <c r="K69" s="758" t="s">
        <v>111</v>
      </c>
      <c r="L69" s="759">
        <v>10</v>
      </c>
      <c r="M69" s="778">
        <v>4.034880886089983E-2</v>
      </c>
      <c r="N69" s="778">
        <v>4.3378588234406067E-2</v>
      </c>
      <c r="O69" s="780">
        <v>5.0823854378706061E-2</v>
      </c>
      <c r="P69" s="778">
        <v>5.4600162406939559E-2</v>
      </c>
      <c r="Q69" s="778">
        <v>6.4101064770966026E-2</v>
      </c>
    </row>
    <row r="70" spans="1:18" s="724" customFormat="1" x14ac:dyDescent="0.35">
      <c r="A70" s="774" t="str">
        <f>"Net Debt/(Cash) as of "&amp;TEXT(F72,"M/D/YYYY")</f>
        <v>Net Debt/(Cash) as of 12/31/2016</v>
      </c>
      <c r="F70" s="734">
        <f>F68+F69</f>
        <v>406.48145</v>
      </c>
      <c r="I70" s="774"/>
      <c r="K70" s="758" t="s">
        <v>401</v>
      </c>
      <c r="L70" s="759">
        <v>13</v>
      </c>
      <c r="M70" s="778">
        <v>5.2470786121307539E-2</v>
      </c>
      <c r="N70" s="778">
        <v>5.5535867997548338E-2</v>
      </c>
      <c r="O70" s="780">
        <v>6.3067885187392078E-2</v>
      </c>
      <c r="P70" s="778">
        <v>6.6888194150366564E-2</v>
      </c>
      <c r="Q70" s="778">
        <v>7.6499799503072549E-2</v>
      </c>
    </row>
    <row r="71" spans="1:18" s="724" customFormat="1" x14ac:dyDescent="0.35">
      <c r="A71" s="770"/>
      <c r="B71" s="770"/>
      <c r="C71" s="770"/>
      <c r="D71" s="770"/>
      <c r="E71" s="770"/>
      <c r="F71" s="770"/>
    </row>
    <row r="72" spans="1:18" s="724" customFormat="1" x14ac:dyDescent="0.35">
      <c r="A72" s="781" t="s">
        <v>967</v>
      </c>
      <c r="B72" s="781"/>
      <c r="C72" s="781"/>
      <c r="D72" s="781"/>
      <c r="E72" s="781"/>
      <c r="F72" s="782">
        <v>42735</v>
      </c>
    </row>
    <row r="74" spans="1:18" s="724" customFormat="1" x14ac:dyDescent="0.35">
      <c r="A74" s="731" t="s">
        <v>968</v>
      </c>
      <c r="B74" s="770"/>
      <c r="C74" s="770"/>
      <c r="D74" s="770"/>
      <c r="E74" s="770"/>
      <c r="F74" s="770"/>
      <c r="G74" s="770"/>
      <c r="H74" s="770"/>
      <c r="I74" s="770"/>
      <c r="J74" s="770"/>
      <c r="K74" s="770"/>
      <c r="L74" s="770"/>
      <c r="M74" s="770"/>
      <c r="N74" s="770"/>
      <c r="O74" s="770"/>
      <c r="P74" s="770"/>
      <c r="Q74" s="770"/>
      <c r="R74" s="770"/>
    </row>
    <row r="75" spans="1:18" s="724" customFormat="1" x14ac:dyDescent="0.35">
      <c r="A75" s="733"/>
    </row>
    <row r="76" spans="1:18" s="724" customFormat="1" x14ac:dyDescent="0.35">
      <c r="G76" s="770">
        <f t="shared" ref="G76:O76" si="15">G6</f>
        <v>2015</v>
      </c>
      <c r="H76" s="770">
        <f t="shared" si="15"/>
        <v>2016</v>
      </c>
      <c r="I76" s="770">
        <f t="shared" si="15"/>
        <v>2017</v>
      </c>
      <c r="J76" s="770">
        <f t="shared" si="15"/>
        <v>2018</v>
      </c>
      <c r="K76" s="770">
        <f t="shared" si="15"/>
        <v>2019</v>
      </c>
      <c r="L76" s="770">
        <f t="shared" si="15"/>
        <v>2020</v>
      </c>
      <c r="M76" s="770">
        <f t="shared" si="15"/>
        <v>2021</v>
      </c>
      <c r="N76" s="770">
        <f t="shared" si="15"/>
        <v>2022</v>
      </c>
      <c r="O76" s="770">
        <f t="shared" si="15"/>
        <v>2023</v>
      </c>
      <c r="P76" s="770">
        <f>O76+1</f>
        <v>2024</v>
      </c>
      <c r="Q76" s="770">
        <f>P76+1</f>
        <v>2025</v>
      </c>
      <c r="R76" s="770">
        <f>Q76+1</f>
        <v>2026</v>
      </c>
    </row>
    <row r="77" spans="1:18" s="724" customFormat="1" x14ac:dyDescent="0.35">
      <c r="A77" s="724" t="s">
        <v>948</v>
      </c>
      <c r="G77" s="735">
        <f t="shared" ref="G77:R77" si="16">G11/G8</f>
        <v>0.14696559491046318</v>
      </c>
      <c r="H77" s="735">
        <f t="shared" si="16"/>
        <v>0.14423518932232468</v>
      </c>
      <c r="I77" s="735">
        <f t="shared" ca="1" si="16"/>
        <v>0.15491288628461541</v>
      </c>
      <c r="J77" s="735">
        <f t="shared" ca="1" si="16"/>
        <v>0.15873404938955882</v>
      </c>
      <c r="K77" s="735">
        <f t="shared" ca="1" si="16"/>
        <v>0.16628042745123617</v>
      </c>
      <c r="L77" s="735">
        <f t="shared" ca="1" si="16"/>
        <v>0.16249490917033693</v>
      </c>
      <c r="M77" s="735">
        <f t="shared" ca="1" si="16"/>
        <v>0.16400442842762394</v>
      </c>
      <c r="N77" s="735">
        <f t="shared" ca="1" si="16"/>
        <v>0.16400442842762394</v>
      </c>
      <c r="O77" s="735">
        <f t="shared" ca="1" si="16"/>
        <v>0.16400442842762394</v>
      </c>
      <c r="P77" s="735">
        <f t="shared" ca="1" si="16"/>
        <v>0.16400442842762386</v>
      </c>
      <c r="Q77" s="735">
        <f t="shared" ca="1" si="16"/>
        <v>0.16400442842762386</v>
      </c>
      <c r="R77" s="735">
        <f t="shared" ca="1" si="16"/>
        <v>0.16400442842762397</v>
      </c>
    </row>
    <row r="78" spans="1:18" s="724" customFormat="1" ht="10.5" customHeight="1" x14ac:dyDescent="0.35">
      <c r="G78" s="735"/>
      <c r="H78" s="735"/>
      <c r="I78" s="735"/>
      <c r="J78" s="735"/>
      <c r="K78" s="735"/>
      <c r="L78" s="735"/>
      <c r="M78" s="735"/>
      <c r="N78" s="735"/>
      <c r="O78" s="735"/>
      <c r="P78" s="735"/>
      <c r="Q78" s="735"/>
      <c r="R78" s="735"/>
    </row>
    <row r="79" spans="1:18" s="724" customFormat="1" x14ac:dyDescent="0.35">
      <c r="A79" s="724" t="s">
        <v>950</v>
      </c>
      <c r="G79" s="735">
        <f t="shared" ref="G79:R79" si="17">G14/G8</f>
        <v>9.6473720716890754E-2</v>
      </c>
      <c r="H79" s="735">
        <f t="shared" si="17"/>
        <v>8.9016997780254153E-2</v>
      </c>
      <c r="I79" s="735">
        <f t="shared" ca="1" si="17"/>
        <v>5.1888040283975263E-2</v>
      </c>
      <c r="J79" s="735">
        <f t="shared" ca="1" si="17"/>
        <v>6.1998141315468144E-2</v>
      </c>
      <c r="K79" s="735">
        <f t="shared" ca="1" si="17"/>
        <v>7.4082554201906847E-2</v>
      </c>
      <c r="L79" s="735">
        <f t="shared" ca="1" si="17"/>
        <v>7.573884952009155E-2</v>
      </c>
      <c r="M79" s="735">
        <f t="shared" ca="1" si="17"/>
        <v>8.0760665039023238E-2</v>
      </c>
      <c r="N79" s="735">
        <f t="shared" ca="1" si="17"/>
        <v>8.3283042369011628E-2</v>
      </c>
      <c r="O79" s="735">
        <f t="shared" ca="1" si="17"/>
        <v>8.5668755563496776E-2</v>
      </c>
      <c r="P79" s="735">
        <f t="shared" ca="1" si="17"/>
        <v>8.7917111131140396E-2</v>
      </c>
      <c r="Q79" s="735">
        <f t="shared" ca="1" si="17"/>
        <v>9.0028550962197085E-2</v>
      </c>
      <c r="R79" s="735">
        <f t="shared" ca="1" si="17"/>
        <v>9.2004544517209866E-2</v>
      </c>
    </row>
    <row r="80" spans="1:18" s="724" customFormat="1" x14ac:dyDescent="0.35">
      <c r="A80" s="724" t="s">
        <v>969</v>
      </c>
      <c r="G80" s="735">
        <f t="shared" ref="G80:R80" si="18">-G17/G8</f>
        <v>3.302458768082242E-2</v>
      </c>
      <c r="H80" s="735">
        <f t="shared" si="18"/>
        <v>3.1258024342339263E-2</v>
      </c>
      <c r="I80" s="735">
        <f t="shared" ca="1" si="18"/>
        <v>1.8160814099391343E-2</v>
      </c>
      <c r="J80" s="735">
        <f t="shared" ca="1" si="18"/>
        <v>2.1699349460413853E-2</v>
      </c>
      <c r="K80" s="735">
        <f t="shared" ca="1" si="18"/>
        <v>2.5928893970667395E-2</v>
      </c>
      <c r="L80" s="735">
        <f t="shared" ca="1" si="18"/>
        <v>2.6508597332032043E-2</v>
      </c>
      <c r="M80" s="735">
        <f t="shared" ca="1" si="18"/>
        <v>2.8266232763658132E-2</v>
      </c>
      <c r="N80" s="735">
        <f t="shared" ca="1" si="18"/>
        <v>2.9149064829154067E-2</v>
      </c>
      <c r="O80" s="735">
        <f t="shared" ca="1" si="18"/>
        <v>2.998406444722387E-2</v>
      </c>
      <c r="P80" s="735">
        <f t="shared" ca="1" si="18"/>
        <v>3.0770988895899139E-2</v>
      </c>
      <c r="Q80" s="735">
        <f t="shared" ca="1" si="18"/>
        <v>3.1509992836768974E-2</v>
      </c>
      <c r="R80" s="735">
        <f t="shared" ca="1" si="18"/>
        <v>3.2201590581023454E-2</v>
      </c>
    </row>
    <row r="81" spans="1:18" s="724" customFormat="1" x14ac:dyDescent="0.35">
      <c r="A81" s="724" t="s">
        <v>970</v>
      </c>
      <c r="E81" s="771"/>
      <c r="G81" s="783">
        <f t="shared" ref="G81:R81" si="19">+G19/G8</f>
        <v>5.0491874193572435E-2</v>
      </c>
      <c r="H81" s="783">
        <f t="shared" si="19"/>
        <v>5.5218191542070527E-2</v>
      </c>
      <c r="I81" s="783">
        <f t="shared" ca="1" si="19"/>
        <v>0.10302484600064014</v>
      </c>
      <c r="J81" s="783">
        <f t="shared" ca="1" si="19"/>
        <v>9.6735908074090673E-2</v>
      </c>
      <c r="K81" s="783">
        <f t="shared" ca="1" si="19"/>
        <v>9.2197873249329335E-2</v>
      </c>
      <c r="L81" s="783">
        <f t="shared" ca="1" si="19"/>
        <v>8.6756059650245396E-2</v>
      </c>
      <c r="M81" s="783">
        <f t="shared" ca="1" si="19"/>
        <v>8.3243763388600706E-2</v>
      </c>
      <c r="N81" s="783">
        <f t="shared" ca="1" si="19"/>
        <v>8.0721386058612316E-2</v>
      </c>
      <c r="O81" s="783">
        <f t="shared" ca="1" si="19"/>
        <v>7.8335672864127168E-2</v>
      </c>
      <c r="P81" s="783">
        <f t="shared" ca="1" si="19"/>
        <v>7.608731729648345E-2</v>
      </c>
      <c r="Q81" s="783">
        <f t="shared" ca="1" si="19"/>
        <v>7.3975877465426776E-2</v>
      </c>
      <c r="R81" s="783">
        <f t="shared" ca="1" si="19"/>
        <v>7.199988391041412E-2</v>
      </c>
    </row>
    <row r="82" spans="1:18" s="724" customFormat="1" x14ac:dyDescent="0.35">
      <c r="A82" s="724" t="s">
        <v>971</v>
      </c>
      <c r="E82" s="771"/>
      <c r="G82" s="783">
        <f t="shared" ref="G82:R82" si="20">-G20/G8</f>
        <v>8.3507484393529188E-2</v>
      </c>
      <c r="H82" s="783">
        <f t="shared" si="20"/>
        <v>7.1569544585411912E-2</v>
      </c>
      <c r="I82" s="783">
        <f t="shared" ca="1" si="20"/>
        <v>7.409879680627382E-2</v>
      </c>
      <c r="J82" s="783">
        <f t="shared" ca="1" si="20"/>
        <v>6.4794726496988628E-2</v>
      </c>
      <c r="K82" s="783">
        <f t="shared" ca="1" si="20"/>
        <v>5.804967964865073E-2</v>
      </c>
      <c r="L82" s="783">
        <f t="shared" ca="1" si="20"/>
        <v>5.0519554060044387E-2</v>
      </c>
      <c r="M82" s="783">
        <f t="shared" ca="1" si="20"/>
        <v>4.566436840878027E-2</v>
      </c>
      <c r="N82" s="783">
        <f t="shared" ca="1" si="20"/>
        <v>4.6931494727024216E-2</v>
      </c>
      <c r="O82" s="783">
        <f t="shared" ca="1" si="20"/>
        <v>4.8198621045268161E-2</v>
      </c>
      <c r="P82" s="783">
        <f t="shared" ca="1" si="20"/>
        <v>4.9465747363512114E-2</v>
      </c>
      <c r="Q82" s="783">
        <f t="shared" ca="1" si="20"/>
        <v>5.0732873681756052E-2</v>
      </c>
      <c r="R82" s="783">
        <f t="shared" ca="1" si="20"/>
        <v>5.2000000000000005E-2</v>
      </c>
    </row>
    <row r="83" spans="1:18" s="724" customFormat="1" x14ac:dyDescent="0.35">
      <c r="A83" s="724" t="s">
        <v>972</v>
      </c>
      <c r="E83" s="771"/>
      <c r="F83" s="784"/>
      <c r="G83" s="735">
        <f t="shared" ref="G83:R83" si="21">+-G21/G8</f>
        <v>0</v>
      </c>
      <c r="H83" s="735">
        <f t="shared" si="21"/>
        <v>0</v>
      </c>
      <c r="I83" s="735">
        <f t="shared" ca="1" si="21"/>
        <v>7.8137096078478852E-3</v>
      </c>
      <c r="J83" s="735">
        <f t="shared" ca="1" si="21"/>
        <v>-4.874116824855417E-3</v>
      </c>
      <c r="K83" s="735">
        <f t="shared" ca="1" si="21"/>
        <v>-4.9018106220147326E-3</v>
      </c>
      <c r="L83" s="735">
        <f t="shared" ca="1" si="21"/>
        <v>-9.8794274011357857E-3</v>
      </c>
      <c r="M83" s="735">
        <f t="shared" ca="1" si="21"/>
        <v>-5.1892891302969873E-3</v>
      </c>
      <c r="N83" s="735">
        <f t="shared" ca="1" si="21"/>
        <v>-5.6839660619154766E-3</v>
      </c>
      <c r="O83" s="735">
        <f t="shared" ca="1" si="21"/>
        <v>-5.8521154235047276E-3</v>
      </c>
      <c r="P83" s="735">
        <f t="shared" ca="1" si="21"/>
        <v>-6.1326504598216989E-3</v>
      </c>
      <c r="Q83" s="735">
        <f t="shared" ca="1" si="21"/>
        <v>-6.0825486235145387E-3</v>
      </c>
      <c r="R83" s="735">
        <f t="shared" ca="1" si="21"/>
        <v>-6.3513182337123063E-3</v>
      </c>
    </row>
    <row r="84" spans="1:18" s="724" customFormat="1" x14ac:dyDescent="0.35">
      <c r="A84" s="724" t="s">
        <v>973</v>
      </c>
      <c r="E84" s="771"/>
      <c r="F84" s="784"/>
      <c r="G84" s="789" t="s">
        <v>976</v>
      </c>
      <c r="H84" s="789" t="s">
        <v>976</v>
      </c>
      <c r="I84" s="735">
        <f t="shared" ref="I84:R84" ca="1" si="22">I23/I8</f>
        <v>5.4839565771102369E-2</v>
      </c>
      <c r="J84" s="735">
        <f t="shared" ca="1" si="22"/>
        <v>7.7114090257011741E-2</v>
      </c>
      <c r="K84" s="735">
        <f t="shared" ca="1" si="22"/>
        <v>8.720366445393278E-2</v>
      </c>
      <c r="L84" s="735">
        <f t="shared" ca="1" si="22"/>
        <v>9.5346185179396317E-2</v>
      </c>
      <c r="M84" s="735">
        <f t="shared" ca="1" si="22"/>
        <v>9.526311638548253E-2</v>
      </c>
      <c r="N84" s="735">
        <f t="shared" ca="1" si="22"/>
        <v>9.3607834933361125E-2</v>
      </c>
      <c r="O84" s="735">
        <f t="shared" ca="1" si="22"/>
        <v>9.1673858358636645E-2</v>
      </c>
      <c r="P84" s="735">
        <f t="shared" ca="1" si="22"/>
        <v>8.9900342628034299E-2</v>
      </c>
      <c r="Q84" s="735">
        <f t="shared" ca="1" si="22"/>
        <v>8.7844110532613359E-2</v>
      </c>
      <c r="R84" s="735">
        <f t="shared" ca="1" si="22"/>
        <v>8.6154156080312835E-2</v>
      </c>
    </row>
    <row r="85" spans="1:18" s="724" customFormat="1" ht="10.5" customHeight="1" x14ac:dyDescent="0.35">
      <c r="E85" s="771"/>
      <c r="F85" s="784"/>
      <c r="G85" s="785"/>
      <c r="H85" s="785"/>
      <c r="I85" s="785">
        <f ca="1">I79-I80+I81-I82-I83-I84</f>
        <v>0</v>
      </c>
      <c r="J85" s="785">
        <f t="shared" ref="J85:R85" ca="1" si="23">J79-J80+J81-J82-J83-J84</f>
        <v>0</v>
      </c>
      <c r="K85" s="785">
        <f t="shared" ca="1" si="23"/>
        <v>0</v>
      </c>
      <c r="L85" s="785">
        <f t="shared" ca="1" si="23"/>
        <v>0</v>
      </c>
      <c r="M85" s="785">
        <f t="shared" ca="1" si="23"/>
        <v>0</v>
      </c>
      <c r="N85" s="785">
        <f t="shared" ca="1" si="23"/>
        <v>0</v>
      </c>
      <c r="O85" s="785">
        <f t="shared" ca="1" si="23"/>
        <v>0</v>
      </c>
      <c r="P85" s="785">
        <f t="shared" ca="1" si="23"/>
        <v>0</v>
      </c>
      <c r="Q85" s="785">
        <f t="shared" ca="1" si="23"/>
        <v>0</v>
      </c>
      <c r="R85" s="785">
        <f t="shared" ca="1" si="23"/>
        <v>0</v>
      </c>
    </row>
    <row r="86" spans="1:18" s="724" customFormat="1" x14ac:dyDescent="0.35">
      <c r="A86" s="724" t="s">
        <v>974</v>
      </c>
      <c r="E86" s="771"/>
      <c r="F86" s="783"/>
      <c r="G86" s="783">
        <f>'LBO Model'!G191</f>
        <v>0.34231692771273442</v>
      </c>
      <c r="H86" s="783">
        <f>'LBO Model'!H191</f>
        <v>0.3511466924497082</v>
      </c>
      <c r="I86" s="783">
        <f ca="1">'LBO Model'!I191</f>
        <v>0.35</v>
      </c>
      <c r="J86" s="783">
        <f ca="1">'LBO Model'!J191</f>
        <v>0.35</v>
      </c>
      <c r="K86" s="783">
        <f ca="1">'LBO Model'!K191</f>
        <v>0.35</v>
      </c>
      <c r="L86" s="783">
        <f ca="1">'LBO Model'!L191</f>
        <v>0.35</v>
      </c>
      <c r="M86" s="783">
        <f ca="1">'LBO Model'!M191</f>
        <v>0.35</v>
      </c>
      <c r="N86" s="783">
        <f ca="1">'LBO Model'!N191</f>
        <v>0.35</v>
      </c>
      <c r="O86" s="783">
        <f ca="1">'LBO Model'!O191</f>
        <v>0.35</v>
      </c>
      <c r="P86" s="783">
        <f ca="1">'LBO Model'!P191</f>
        <v>0.35</v>
      </c>
      <c r="Q86" s="783">
        <f ca="1">'LBO Model'!Q191</f>
        <v>0.35</v>
      </c>
      <c r="R86" s="783">
        <f ca="1">'LBO Model'!R191</f>
        <v>0.35</v>
      </c>
    </row>
    <row r="87" spans="1:18" s="724" customFormat="1" x14ac:dyDescent="0.35">
      <c r="E87" s="771"/>
    </row>
    <row r="89" spans="1:18" s="724" customFormat="1" x14ac:dyDescent="0.35">
      <c r="F89" s="771"/>
    </row>
    <row r="90" spans="1:18" s="724" customFormat="1" x14ac:dyDescent="0.35">
      <c r="F90" s="786"/>
    </row>
    <row r="91" spans="1:18" s="724" customFormat="1" x14ac:dyDescent="0.35">
      <c r="F91" s="771"/>
    </row>
    <row r="96" spans="1:18" s="724" customFormat="1" x14ac:dyDescent="0.35">
      <c r="F96" s="771"/>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C882B-AAAA-488C-85E8-EDE91C809569}">
  <dimension ref="A1:S52"/>
  <sheetViews>
    <sheetView showGridLines="0" topLeftCell="A5" zoomScale="92" zoomScaleNormal="92" workbookViewId="0">
      <selection activeCell="K5" sqref="K5"/>
    </sheetView>
  </sheetViews>
  <sheetFormatPr baseColWidth="10" defaultColWidth="8.25" defaultRowHeight="13" x14ac:dyDescent="0.3"/>
  <cols>
    <col min="1" max="1" width="6.75" style="804" customWidth="1"/>
    <col min="2" max="2" width="22.6640625" style="804" customWidth="1"/>
    <col min="3" max="11" width="10.08203125" style="804" customWidth="1"/>
    <col min="12" max="12" width="5.4140625" style="804" customWidth="1"/>
    <col min="13" max="13" width="9.6640625" style="804" customWidth="1"/>
    <col min="14" max="14" width="1.1640625" style="804" customWidth="1"/>
    <col min="15" max="15" width="5.1640625" style="804" customWidth="1"/>
    <col min="16" max="17" width="8.25" style="804"/>
    <col min="18" max="18" width="5.1640625" style="804" customWidth="1"/>
    <col min="19" max="256" width="8.25" style="804"/>
    <col min="257" max="257" width="15.33203125" style="804" customWidth="1"/>
    <col min="258" max="266" width="10.08203125" style="804" customWidth="1"/>
    <col min="267" max="267" width="9.6640625" style="804" customWidth="1"/>
    <col min="268" max="268" width="3.83203125" style="804" customWidth="1"/>
    <col min="269" max="269" width="9.6640625" style="804" customWidth="1"/>
    <col min="270" max="512" width="8.25" style="804"/>
    <col min="513" max="513" width="15.33203125" style="804" customWidth="1"/>
    <col min="514" max="522" width="10.08203125" style="804" customWidth="1"/>
    <col min="523" max="523" width="9.6640625" style="804" customWidth="1"/>
    <col min="524" max="524" width="3.83203125" style="804" customWidth="1"/>
    <col min="525" max="525" width="9.6640625" style="804" customWidth="1"/>
    <col min="526" max="768" width="8.25" style="804"/>
    <col min="769" max="769" width="15.33203125" style="804" customWidth="1"/>
    <col min="770" max="778" width="10.08203125" style="804" customWidth="1"/>
    <col min="779" max="779" width="9.6640625" style="804" customWidth="1"/>
    <col min="780" max="780" width="3.83203125" style="804" customWidth="1"/>
    <col min="781" max="781" width="9.6640625" style="804" customWidth="1"/>
    <col min="782" max="1024" width="8.25" style="804"/>
    <col min="1025" max="1025" width="15.33203125" style="804" customWidth="1"/>
    <col min="1026" max="1034" width="10.08203125" style="804" customWidth="1"/>
    <col min="1035" max="1035" width="9.6640625" style="804" customWidth="1"/>
    <col min="1036" max="1036" width="3.83203125" style="804" customWidth="1"/>
    <col min="1037" max="1037" width="9.6640625" style="804" customWidth="1"/>
    <col min="1038" max="1280" width="8.25" style="804"/>
    <col min="1281" max="1281" width="15.33203125" style="804" customWidth="1"/>
    <col min="1282" max="1290" width="10.08203125" style="804" customWidth="1"/>
    <col min="1291" max="1291" width="9.6640625" style="804" customWidth="1"/>
    <col min="1292" max="1292" width="3.83203125" style="804" customWidth="1"/>
    <col min="1293" max="1293" width="9.6640625" style="804" customWidth="1"/>
    <col min="1294" max="1536" width="8.25" style="804"/>
    <col min="1537" max="1537" width="15.33203125" style="804" customWidth="1"/>
    <col min="1538" max="1546" width="10.08203125" style="804" customWidth="1"/>
    <col min="1547" max="1547" width="9.6640625" style="804" customWidth="1"/>
    <col min="1548" max="1548" width="3.83203125" style="804" customWidth="1"/>
    <col min="1549" max="1549" width="9.6640625" style="804" customWidth="1"/>
    <col min="1550" max="1792" width="8.25" style="804"/>
    <col min="1793" max="1793" width="15.33203125" style="804" customWidth="1"/>
    <col min="1794" max="1802" width="10.08203125" style="804" customWidth="1"/>
    <col min="1803" max="1803" width="9.6640625" style="804" customWidth="1"/>
    <col min="1804" max="1804" width="3.83203125" style="804" customWidth="1"/>
    <col min="1805" max="1805" width="9.6640625" style="804" customWidth="1"/>
    <col min="1806" max="2048" width="8.25" style="804"/>
    <col min="2049" max="2049" width="15.33203125" style="804" customWidth="1"/>
    <col min="2050" max="2058" width="10.08203125" style="804" customWidth="1"/>
    <col min="2059" max="2059" width="9.6640625" style="804" customWidth="1"/>
    <col min="2060" max="2060" width="3.83203125" style="804" customWidth="1"/>
    <col min="2061" max="2061" width="9.6640625" style="804" customWidth="1"/>
    <col min="2062" max="2304" width="8.25" style="804"/>
    <col min="2305" max="2305" width="15.33203125" style="804" customWidth="1"/>
    <col min="2306" max="2314" width="10.08203125" style="804" customWidth="1"/>
    <col min="2315" max="2315" width="9.6640625" style="804" customWidth="1"/>
    <col min="2316" max="2316" width="3.83203125" style="804" customWidth="1"/>
    <col min="2317" max="2317" width="9.6640625" style="804" customWidth="1"/>
    <col min="2318" max="2560" width="8.25" style="804"/>
    <col min="2561" max="2561" width="15.33203125" style="804" customWidth="1"/>
    <col min="2562" max="2570" width="10.08203125" style="804" customWidth="1"/>
    <col min="2571" max="2571" width="9.6640625" style="804" customWidth="1"/>
    <col min="2572" max="2572" width="3.83203125" style="804" customWidth="1"/>
    <col min="2573" max="2573" width="9.6640625" style="804" customWidth="1"/>
    <col min="2574" max="2816" width="8.25" style="804"/>
    <col min="2817" max="2817" width="15.33203125" style="804" customWidth="1"/>
    <col min="2818" max="2826" width="10.08203125" style="804" customWidth="1"/>
    <col min="2827" max="2827" width="9.6640625" style="804" customWidth="1"/>
    <col min="2828" max="2828" width="3.83203125" style="804" customWidth="1"/>
    <col min="2829" max="2829" width="9.6640625" style="804" customWidth="1"/>
    <col min="2830" max="3072" width="8.25" style="804"/>
    <col min="3073" max="3073" width="15.33203125" style="804" customWidth="1"/>
    <col min="3074" max="3082" width="10.08203125" style="804" customWidth="1"/>
    <col min="3083" max="3083" width="9.6640625" style="804" customWidth="1"/>
    <col min="3084" max="3084" width="3.83203125" style="804" customWidth="1"/>
    <col min="3085" max="3085" width="9.6640625" style="804" customWidth="1"/>
    <col min="3086" max="3328" width="8.25" style="804"/>
    <col min="3329" max="3329" width="15.33203125" style="804" customWidth="1"/>
    <col min="3330" max="3338" width="10.08203125" style="804" customWidth="1"/>
    <col min="3339" max="3339" width="9.6640625" style="804" customWidth="1"/>
    <col min="3340" max="3340" width="3.83203125" style="804" customWidth="1"/>
    <col min="3341" max="3341" width="9.6640625" style="804" customWidth="1"/>
    <col min="3342" max="3584" width="8.25" style="804"/>
    <col min="3585" max="3585" width="15.33203125" style="804" customWidth="1"/>
    <col min="3586" max="3594" width="10.08203125" style="804" customWidth="1"/>
    <col min="3595" max="3595" width="9.6640625" style="804" customWidth="1"/>
    <col min="3596" max="3596" width="3.83203125" style="804" customWidth="1"/>
    <col min="3597" max="3597" width="9.6640625" style="804" customWidth="1"/>
    <col min="3598" max="3840" width="8.25" style="804"/>
    <col min="3841" max="3841" width="15.33203125" style="804" customWidth="1"/>
    <col min="3842" max="3850" width="10.08203125" style="804" customWidth="1"/>
    <col min="3851" max="3851" width="9.6640625" style="804" customWidth="1"/>
    <col min="3852" max="3852" width="3.83203125" style="804" customWidth="1"/>
    <col min="3853" max="3853" width="9.6640625" style="804" customWidth="1"/>
    <col min="3854" max="4096" width="8.25" style="804"/>
    <col min="4097" max="4097" width="15.33203125" style="804" customWidth="1"/>
    <col min="4098" max="4106" width="10.08203125" style="804" customWidth="1"/>
    <col min="4107" max="4107" width="9.6640625" style="804" customWidth="1"/>
    <col min="4108" max="4108" width="3.83203125" style="804" customWidth="1"/>
    <col min="4109" max="4109" width="9.6640625" style="804" customWidth="1"/>
    <col min="4110" max="4352" width="8.25" style="804"/>
    <col min="4353" max="4353" width="15.33203125" style="804" customWidth="1"/>
    <col min="4354" max="4362" width="10.08203125" style="804" customWidth="1"/>
    <col min="4363" max="4363" width="9.6640625" style="804" customWidth="1"/>
    <col min="4364" max="4364" width="3.83203125" style="804" customWidth="1"/>
    <col min="4365" max="4365" width="9.6640625" style="804" customWidth="1"/>
    <col min="4366" max="4608" width="8.25" style="804"/>
    <col min="4609" max="4609" width="15.33203125" style="804" customWidth="1"/>
    <col min="4610" max="4618" width="10.08203125" style="804" customWidth="1"/>
    <col min="4619" max="4619" width="9.6640625" style="804" customWidth="1"/>
    <col min="4620" max="4620" width="3.83203125" style="804" customWidth="1"/>
    <col min="4621" max="4621" width="9.6640625" style="804" customWidth="1"/>
    <col min="4622" max="4864" width="8.25" style="804"/>
    <col min="4865" max="4865" width="15.33203125" style="804" customWidth="1"/>
    <col min="4866" max="4874" width="10.08203125" style="804" customWidth="1"/>
    <col min="4875" max="4875" width="9.6640625" style="804" customWidth="1"/>
    <col min="4876" max="4876" width="3.83203125" style="804" customWidth="1"/>
    <col min="4877" max="4877" width="9.6640625" style="804" customWidth="1"/>
    <col min="4878" max="5120" width="8.25" style="804"/>
    <col min="5121" max="5121" width="15.33203125" style="804" customWidth="1"/>
    <col min="5122" max="5130" width="10.08203125" style="804" customWidth="1"/>
    <col min="5131" max="5131" width="9.6640625" style="804" customWidth="1"/>
    <col min="5132" max="5132" width="3.83203125" style="804" customWidth="1"/>
    <col min="5133" max="5133" width="9.6640625" style="804" customWidth="1"/>
    <col min="5134" max="5376" width="8.25" style="804"/>
    <col min="5377" max="5377" width="15.33203125" style="804" customWidth="1"/>
    <col min="5378" max="5386" width="10.08203125" style="804" customWidth="1"/>
    <col min="5387" max="5387" width="9.6640625" style="804" customWidth="1"/>
    <col min="5388" max="5388" width="3.83203125" style="804" customWidth="1"/>
    <col min="5389" max="5389" width="9.6640625" style="804" customWidth="1"/>
    <col min="5390" max="5632" width="8.25" style="804"/>
    <col min="5633" max="5633" width="15.33203125" style="804" customWidth="1"/>
    <col min="5634" max="5642" width="10.08203125" style="804" customWidth="1"/>
    <col min="5643" max="5643" width="9.6640625" style="804" customWidth="1"/>
    <col min="5644" max="5644" width="3.83203125" style="804" customWidth="1"/>
    <col min="5645" max="5645" width="9.6640625" style="804" customWidth="1"/>
    <col min="5646" max="5888" width="8.25" style="804"/>
    <col min="5889" max="5889" width="15.33203125" style="804" customWidth="1"/>
    <col min="5890" max="5898" width="10.08203125" style="804" customWidth="1"/>
    <col min="5899" max="5899" width="9.6640625" style="804" customWidth="1"/>
    <col min="5900" max="5900" width="3.83203125" style="804" customWidth="1"/>
    <col min="5901" max="5901" width="9.6640625" style="804" customWidth="1"/>
    <col min="5902" max="6144" width="8.25" style="804"/>
    <col min="6145" max="6145" width="15.33203125" style="804" customWidth="1"/>
    <col min="6146" max="6154" width="10.08203125" style="804" customWidth="1"/>
    <col min="6155" max="6155" width="9.6640625" style="804" customWidth="1"/>
    <col min="6156" max="6156" width="3.83203125" style="804" customWidth="1"/>
    <col min="6157" max="6157" width="9.6640625" style="804" customWidth="1"/>
    <col min="6158" max="6400" width="8.25" style="804"/>
    <col min="6401" max="6401" width="15.33203125" style="804" customWidth="1"/>
    <col min="6402" max="6410" width="10.08203125" style="804" customWidth="1"/>
    <col min="6411" max="6411" width="9.6640625" style="804" customWidth="1"/>
    <col min="6412" max="6412" width="3.83203125" style="804" customWidth="1"/>
    <col min="6413" max="6413" width="9.6640625" style="804" customWidth="1"/>
    <col min="6414" max="6656" width="8.25" style="804"/>
    <col min="6657" max="6657" width="15.33203125" style="804" customWidth="1"/>
    <col min="6658" max="6666" width="10.08203125" style="804" customWidth="1"/>
    <col min="6667" max="6667" width="9.6640625" style="804" customWidth="1"/>
    <col min="6668" max="6668" width="3.83203125" style="804" customWidth="1"/>
    <col min="6669" max="6669" width="9.6640625" style="804" customWidth="1"/>
    <col min="6670" max="6912" width="8.25" style="804"/>
    <col min="6913" max="6913" width="15.33203125" style="804" customWidth="1"/>
    <col min="6914" max="6922" width="10.08203125" style="804" customWidth="1"/>
    <col min="6923" max="6923" width="9.6640625" style="804" customWidth="1"/>
    <col min="6924" max="6924" width="3.83203125" style="804" customWidth="1"/>
    <col min="6925" max="6925" width="9.6640625" style="804" customWidth="1"/>
    <col min="6926" max="7168" width="8.25" style="804"/>
    <col min="7169" max="7169" width="15.33203125" style="804" customWidth="1"/>
    <col min="7170" max="7178" width="10.08203125" style="804" customWidth="1"/>
    <col min="7179" max="7179" width="9.6640625" style="804" customWidth="1"/>
    <col min="7180" max="7180" width="3.83203125" style="804" customWidth="1"/>
    <col min="7181" max="7181" width="9.6640625" style="804" customWidth="1"/>
    <col min="7182" max="7424" width="8.25" style="804"/>
    <col min="7425" max="7425" width="15.33203125" style="804" customWidth="1"/>
    <col min="7426" max="7434" width="10.08203125" style="804" customWidth="1"/>
    <col min="7435" max="7435" width="9.6640625" style="804" customWidth="1"/>
    <col min="7436" max="7436" width="3.83203125" style="804" customWidth="1"/>
    <col min="7437" max="7437" width="9.6640625" style="804" customWidth="1"/>
    <col min="7438" max="7680" width="8.25" style="804"/>
    <col min="7681" max="7681" width="15.33203125" style="804" customWidth="1"/>
    <col min="7682" max="7690" width="10.08203125" style="804" customWidth="1"/>
    <col min="7691" max="7691" width="9.6640625" style="804" customWidth="1"/>
    <col min="7692" max="7692" width="3.83203125" style="804" customWidth="1"/>
    <col min="7693" max="7693" width="9.6640625" style="804" customWidth="1"/>
    <col min="7694" max="7936" width="8.25" style="804"/>
    <col min="7937" max="7937" width="15.33203125" style="804" customWidth="1"/>
    <col min="7938" max="7946" width="10.08203125" style="804" customWidth="1"/>
    <col min="7947" max="7947" width="9.6640625" style="804" customWidth="1"/>
    <col min="7948" max="7948" width="3.83203125" style="804" customWidth="1"/>
    <col min="7949" max="7949" width="9.6640625" style="804" customWidth="1"/>
    <col min="7950" max="8192" width="8.25" style="804"/>
    <col min="8193" max="8193" width="15.33203125" style="804" customWidth="1"/>
    <col min="8194" max="8202" width="10.08203125" style="804" customWidth="1"/>
    <col min="8203" max="8203" width="9.6640625" style="804" customWidth="1"/>
    <col min="8204" max="8204" width="3.83203125" style="804" customWidth="1"/>
    <col min="8205" max="8205" width="9.6640625" style="804" customWidth="1"/>
    <col min="8206" max="8448" width="8.25" style="804"/>
    <col min="8449" max="8449" width="15.33203125" style="804" customWidth="1"/>
    <col min="8450" max="8458" width="10.08203125" style="804" customWidth="1"/>
    <col min="8459" max="8459" width="9.6640625" style="804" customWidth="1"/>
    <col min="8460" max="8460" width="3.83203125" style="804" customWidth="1"/>
    <col min="8461" max="8461" width="9.6640625" style="804" customWidth="1"/>
    <col min="8462" max="8704" width="8.25" style="804"/>
    <col min="8705" max="8705" width="15.33203125" style="804" customWidth="1"/>
    <col min="8706" max="8714" width="10.08203125" style="804" customWidth="1"/>
    <col min="8715" max="8715" width="9.6640625" style="804" customWidth="1"/>
    <col min="8716" max="8716" width="3.83203125" style="804" customWidth="1"/>
    <col min="8717" max="8717" width="9.6640625" style="804" customWidth="1"/>
    <col min="8718" max="8960" width="8.25" style="804"/>
    <col min="8961" max="8961" width="15.33203125" style="804" customWidth="1"/>
    <col min="8962" max="8970" width="10.08203125" style="804" customWidth="1"/>
    <col min="8971" max="8971" width="9.6640625" style="804" customWidth="1"/>
    <col min="8972" max="8972" width="3.83203125" style="804" customWidth="1"/>
    <col min="8973" max="8973" width="9.6640625" style="804" customWidth="1"/>
    <col min="8974" max="9216" width="8.25" style="804"/>
    <col min="9217" max="9217" width="15.33203125" style="804" customWidth="1"/>
    <col min="9218" max="9226" width="10.08203125" style="804" customWidth="1"/>
    <col min="9227" max="9227" width="9.6640625" style="804" customWidth="1"/>
    <col min="9228" max="9228" width="3.83203125" style="804" customWidth="1"/>
    <col min="9229" max="9229" width="9.6640625" style="804" customWidth="1"/>
    <col min="9230" max="9472" width="8.25" style="804"/>
    <col min="9473" max="9473" width="15.33203125" style="804" customWidth="1"/>
    <col min="9474" max="9482" width="10.08203125" style="804" customWidth="1"/>
    <col min="9483" max="9483" width="9.6640625" style="804" customWidth="1"/>
    <col min="9484" max="9484" width="3.83203125" style="804" customWidth="1"/>
    <col min="9485" max="9485" width="9.6640625" style="804" customWidth="1"/>
    <col min="9486" max="9728" width="8.25" style="804"/>
    <col min="9729" max="9729" width="15.33203125" style="804" customWidth="1"/>
    <col min="9730" max="9738" width="10.08203125" style="804" customWidth="1"/>
    <col min="9739" max="9739" width="9.6640625" style="804" customWidth="1"/>
    <col min="9740" max="9740" width="3.83203125" style="804" customWidth="1"/>
    <col min="9741" max="9741" width="9.6640625" style="804" customWidth="1"/>
    <col min="9742" max="9984" width="8.25" style="804"/>
    <col min="9985" max="9985" width="15.33203125" style="804" customWidth="1"/>
    <col min="9986" max="9994" width="10.08203125" style="804" customWidth="1"/>
    <col min="9995" max="9995" width="9.6640625" style="804" customWidth="1"/>
    <col min="9996" max="9996" width="3.83203125" style="804" customWidth="1"/>
    <col min="9997" max="9997" width="9.6640625" style="804" customWidth="1"/>
    <col min="9998" max="10240" width="8.25" style="804"/>
    <col min="10241" max="10241" width="15.33203125" style="804" customWidth="1"/>
    <col min="10242" max="10250" width="10.08203125" style="804" customWidth="1"/>
    <col min="10251" max="10251" width="9.6640625" style="804" customWidth="1"/>
    <col min="10252" max="10252" width="3.83203125" style="804" customWidth="1"/>
    <col min="10253" max="10253" width="9.6640625" style="804" customWidth="1"/>
    <col min="10254" max="10496" width="8.25" style="804"/>
    <col min="10497" max="10497" width="15.33203125" style="804" customWidth="1"/>
    <col min="10498" max="10506" width="10.08203125" style="804" customWidth="1"/>
    <col min="10507" max="10507" width="9.6640625" style="804" customWidth="1"/>
    <col min="10508" max="10508" width="3.83203125" style="804" customWidth="1"/>
    <col min="10509" max="10509" width="9.6640625" style="804" customWidth="1"/>
    <col min="10510" max="10752" width="8.25" style="804"/>
    <col min="10753" max="10753" width="15.33203125" style="804" customWidth="1"/>
    <col min="10754" max="10762" width="10.08203125" style="804" customWidth="1"/>
    <col min="10763" max="10763" width="9.6640625" style="804" customWidth="1"/>
    <col min="10764" max="10764" width="3.83203125" style="804" customWidth="1"/>
    <col min="10765" max="10765" width="9.6640625" style="804" customWidth="1"/>
    <col min="10766" max="11008" width="8.25" style="804"/>
    <col min="11009" max="11009" width="15.33203125" style="804" customWidth="1"/>
    <col min="11010" max="11018" width="10.08203125" style="804" customWidth="1"/>
    <col min="11019" max="11019" width="9.6640625" style="804" customWidth="1"/>
    <col min="11020" max="11020" width="3.83203125" style="804" customWidth="1"/>
    <col min="11021" max="11021" width="9.6640625" style="804" customWidth="1"/>
    <col min="11022" max="11264" width="8.25" style="804"/>
    <col min="11265" max="11265" width="15.33203125" style="804" customWidth="1"/>
    <col min="11266" max="11274" width="10.08203125" style="804" customWidth="1"/>
    <col min="11275" max="11275" width="9.6640625" style="804" customWidth="1"/>
    <col min="11276" max="11276" width="3.83203125" style="804" customWidth="1"/>
    <col min="11277" max="11277" width="9.6640625" style="804" customWidth="1"/>
    <col min="11278" max="11520" width="8.25" style="804"/>
    <col min="11521" max="11521" width="15.33203125" style="804" customWidth="1"/>
    <col min="11522" max="11530" width="10.08203125" style="804" customWidth="1"/>
    <col min="11531" max="11531" width="9.6640625" style="804" customWidth="1"/>
    <col min="11532" max="11532" width="3.83203125" style="804" customWidth="1"/>
    <col min="11533" max="11533" width="9.6640625" style="804" customWidth="1"/>
    <col min="11534" max="11776" width="8.25" style="804"/>
    <col min="11777" max="11777" width="15.33203125" style="804" customWidth="1"/>
    <col min="11778" max="11786" width="10.08203125" style="804" customWidth="1"/>
    <col min="11787" max="11787" width="9.6640625" style="804" customWidth="1"/>
    <col min="11788" max="11788" width="3.83203125" style="804" customWidth="1"/>
    <col min="11789" max="11789" width="9.6640625" style="804" customWidth="1"/>
    <col min="11790" max="12032" width="8.25" style="804"/>
    <col min="12033" max="12033" width="15.33203125" style="804" customWidth="1"/>
    <col min="12034" max="12042" width="10.08203125" style="804" customWidth="1"/>
    <col min="12043" max="12043" width="9.6640625" style="804" customWidth="1"/>
    <col min="12044" max="12044" width="3.83203125" style="804" customWidth="1"/>
    <col min="12045" max="12045" width="9.6640625" style="804" customWidth="1"/>
    <col min="12046" max="12288" width="8.25" style="804"/>
    <col min="12289" max="12289" width="15.33203125" style="804" customWidth="1"/>
    <col min="12290" max="12298" width="10.08203125" style="804" customWidth="1"/>
    <col min="12299" max="12299" width="9.6640625" style="804" customWidth="1"/>
    <col min="12300" max="12300" width="3.83203125" style="804" customWidth="1"/>
    <col min="12301" max="12301" width="9.6640625" style="804" customWidth="1"/>
    <col min="12302" max="12544" width="8.25" style="804"/>
    <col min="12545" max="12545" width="15.33203125" style="804" customWidth="1"/>
    <col min="12546" max="12554" width="10.08203125" style="804" customWidth="1"/>
    <col min="12555" max="12555" width="9.6640625" style="804" customWidth="1"/>
    <col min="12556" max="12556" width="3.83203125" style="804" customWidth="1"/>
    <col min="12557" max="12557" width="9.6640625" style="804" customWidth="1"/>
    <col min="12558" max="12800" width="8.25" style="804"/>
    <col min="12801" max="12801" width="15.33203125" style="804" customWidth="1"/>
    <col min="12802" max="12810" width="10.08203125" style="804" customWidth="1"/>
    <col min="12811" max="12811" width="9.6640625" style="804" customWidth="1"/>
    <col min="12812" max="12812" width="3.83203125" style="804" customWidth="1"/>
    <col min="12813" max="12813" width="9.6640625" style="804" customWidth="1"/>
    <col min="12814" max="13056" width="8.25" style="804"/>
    <col min="13057" max="13057" width="15.33203125" style="804" customWidth="1"/>
    <col min="13058" max="13066" width="10.08203125" style="804" customWidth="1"/>
    <col min="13067" max="13067" width="9.6640625" style="804" customWidth="1"/>
    <col min="13068" max="13068" width="3.83203125" style="804" customWidth="1"/>
    <col min="13069" max="13069" width="9.6640625" style="804" customWidth="1"/>
    <col min="13070" max="13312" width="8.25" style="804"/>
    <col min="13313" max="13313" width="15.33203125" style="804" customWidth="1"/>
    <col min="13314" max="13322" width="10.08203125" style="804" customWidth="1"/>
    <col min="13323" max="13323" width="9.6640625" style="804" customWidth="1"/>
    <col min="13324" max="13324" width="3.83203125" style="804" customWidth="1"/>
    <col min="13325" max="13325" width="9.6640625" style="804" customWidth="1"/>
    <col min="13326" max="13568" width="8.25" style="804"/>
    <col min="13569" max="13569" width="15.33203125" style="804" customWidth="1"/>
    <col min="13570" max="13578" width="10.08203125" style="804" customWidth="1"/>
    <col min="13579" max="13579" width="9.6640625" style="804" customWidth="1"/>
    <col min="13580" max="13580" width="3.83203125" style="804" customWidth="1"/>
    <col min="13581" max="13581" width="9.6640625" style="804" customWidth="1"/>
    <col min="13582" max="13824" width="8.25" style="804"/>
    <col min="13825" max="13825" width="15.33203125" style="804" customWidth="1"/>
    <col min="13826" max="13834" width="10.08203125" style="804" customWidth="1"/>
    <col min="13835" max="13835" width="9.6640625" style="804" customWidth="1"/>
    <col min="13836" max="13836" width="3.83203125" style="804" customWidth="1"/>
    <col min="13837" max="13837" width="9.6640625" style="804" customWidth="1"/>
    <col min="13838" max="14080" width="8.25" style="804"/>
    <col min="14081" max="14081" width="15.33203125" style="804" customWidth="1"/>
    <col min="14082" max="14090" width="10.08203125" style="804" customWidth="1"/>
    <col min="14091" max="14091" width="9.6640625" style="804" customWidth="1"/>
    <col min="14092" max="14092" width="3.83203125" style="804" customWidth="1"/>
    <col min="14093" max="14093" width="9.6640625" style="804" customWidth="1"/>
    <col min="14094" max="14336" width="8.25" style="804"/>
    <col min="14337" max="14337" width="15.33203125" style="804" customWidth="1"/>
    <col min="14338" max="14346" width="10.08203125" style="804" customWidth="1"/>
    <col min="14347" max="14347" width="9.6640625" style="804" customWidth="1"/>
    <col min="14348" max="14348" width="3.83203125" style="804" customWidth="1"/>
    <col min="14349" max="14349" width="9.6640625" style="804" customWidth="1"/>
    <col min="14350" max="14592" width="8.25" style="804"/>
    <col min="14593" max="14593" width="15.33203125" style="804" customWidth="1"/>
    <col min="14594" max="14602" width="10.08203125" style="804" customWidth="1"/>
    <col min="14603" max="14603" width="9.6640625" style="804" customWidth="1"/>
    <col min="14604" max="14604" width="3.83203125" style="804" customWidth="1"/>
    <col min="14605" max="14605" width="9.6640625" style="804" customWidth="1"/>
    <col min="14606" max="14848" width="8.25" style="804"/>
    <col min="14849" max="14849" width="15.33203125" style="804" customWidth="1"/>
    <col min="14850" max="14858" width="10.08203125" style="804" customWidth="1"/>
    <col min="14859" max="14859" width="9.6640625" style="804" customWidth="1"/>
    <col min="14860" max="14860" width="3.83203125" style="804" customWidth="1"/>
    <col min="14861" max="14861" width="9.6640625" style="804" customWidth="1"/>
    <col min="14862" max="15104" width="8.25" style="804"/>
    <col min="15105" max="15105" width="15.33203125" style="804" customWidth="1"/>
    <col min="15106" max="15114" width="10.08203125" style="804" customWidth="1"/>
    <col min="15115" max="15115" width="9.6640625" style="804" customWidth="1"/>
    <col min="15116" max="15116" width="3.83203125" style="804" customWidth="1"/>
    <col min="15117" max="15117" width="9.6640625" style="804" customWidth="1"/>
    <col min="15118" max="15360" width="8.25" style="804"/>
    <col min="15361" max="15361" width="15.33203125" style="804" customWidth="1"/>
    <col min="15362" max="15370" width="10.08203125" style="804" customWidth="1"/>
    <col min="15371" max="15371" width="9.6640625" style="804" customWidth="1"/>
    <col min="15372" max="15372" width="3.83203125" style="804" customWidth="1"/>
    <col min="15373" max="15373" width="9.6640625" style="804" customWidth="1"/>
    <col min="15374" max="15616" width="8.25" style="804"/>
    <col min="15617" max="15617" width="15.33203125" style="804" customWidth="1"/>
    <col min="15618" max="15626" width="10.08203125" style="804" customWidth="1"/>
    <col min="15627" max="15627" width="9.6640625" style="804" customWidth="1"/>
    <col min="15628" max="15628" width="3.83203125" style="804" customWidth="1"/>
    <col min="15629" max="15629" width="9.6640625" style="804" customWidth="1"/>
    <col min="15630" max="15872" width="8.25" style="804"/>
    <col min="15873" max="15873" width="15.33203125" style="804" customWidth="1"/>
    <col min="15874" max="15882" width="10.08203125" style="804" customWidth="1"/>
    <col min="15883" max="15883" width="9.6640625" style="804" customWidth="1"/>
    <col min="15884" max="15884" width="3.83203125" style="804" customWidth="1"/>
    <col min="15885" max="15885" width="9.6640625" style="804" customWidth="1"/>
    <col min="15886" max="16128" width="8.25" style="804"/>
    <col min="16129" max="16129" width="15.33203125" style="804" customWidth="1"/>
    <col min="16130" max="16138" width="10.08203125" style="804" customWidth="1"/>
    <col min="16139" max="16139" width="9.6640625" style="804" customWidth="1"/>
    <col min="16140" max="16140" width="3.83203125" style="804" customWidth="1"/>
    <col min="16141" max="16141" width="9.6640625" style="804" customWidth="1"/>
    <col min="16142" max="16384" width="8.25" style="804"/>
  </cols>
  <sheetData>
    <row r="1" spans="1:19" ht="16" thickBot="1" x14ac:dyDescent="0.4">
      <c r="B1" s="805" t="s">
        <v>1002</v>
      </c>
      <c r="C1" s="806"/>
      <c r="D1" s="806"/>
      <c r="E1" s="806"/>
      <c r="F1" s="806"/>
      <c r="G1" s="806"/>
      <c r="H1" s="806"/>
      <c r="I1" s="806"/>
      <c r="J1" s="806"/>
      <c r="K1" s="806"/>
    </row>
    <row r="3" spans="1:19" ht="15" thickBot="1" x14ac:dyDescent="0.4">
      <c r="A3" s="807"/>
      <c r="C3" s="940" t="s">
        <v>369</v>
      </c>
      <c r="D3" s="939"/>
      <c r="P3" s="808" t="s">
        <v>983</v>
      </c>
      <c r="Q3" s="809"/>
      <c r="S3" s="834" t="s">
        <v>467</v>
      </c>
    </row>
    <row r="4" spans="1:19" ht="15" thickTop="1" x14ac:dyDescent="0.35">
      <c r="B4" s="810" t="s">
        <v>984</v>
      </c>
      <c r="C4" s="811" t="s">
        <v>985</v>
      </c>
      <c r="D4" s="811" t="s">
        <v>986</v>
      </c>
      <c r="E4" s="810" t="s">
        <v>987</v>
      </c>
      <c r="F4" s="812"/>
      <c r="G4" s="812"/>
      <c r="H4" s="812"/>
      <c r="I4" s="812"/>
      <c r="J4" s="812"/>
      <c r="K4" s="812"/>
      <c r="M4" s="813" t="s">
        <v>572</v>
      </c>
      <c r="P4" s="811" t="s">
        <v>985</v>
      </c>
      <c r="Q4" s="811" t="s">
        <v>986</v>
      </c>
      <c r="S4" s="814" t="s">
        <v>988</v>
      </c>
    </row>
    <row r="5" spans="1:19" ht="6" customHeight="1" x14ac:dyDescent="0.35">
      <c r="B5" s="810"/>
      <c r="C5" s="811"/>
      <c r="D5" s="811"/>
      <c r="E5" s="812"/>
      <c r="F5" s="812"/>
      <c r="G5" s="812"/>
      <c r="H5" s="812"/>
      <c r="I5" s="812"/>
      <c r="J5" s="812"/>
      <c r="K5" s="812"/>
      <c r="M5" s="813"/>
    </row>
    <row r="6" spans="1:19" ht="14.5" x14ac:dyDescent="0.35">
      <c r="B6" s="835" t="s">
        <v>989</v>
      </c>
      <c r="C6" s="836">
        <f t="shared" ref="C6:D8" si="0">P6*$J$36</f>
        <v>5972.9800402213586</v>
      </c>
      <c r="D6" s="836">
        <f t="shared" si="0"/>
        <v>5013.9816382556774</v>
      </c>
      <c r="E6" s="835" t="s">
        <v>1075</v>
      </c>
      <c r="F6" s="835"/>
      <c r="G6" s="835"/>
      <c r="H6" s="835"/>
      <c r="I6" s="835"/>
      <c r="J6" s="835"/>
      <c r="K6" s="835"/>
      <c r="L6" s="837"/>
      <c r="M6" s="838">
        <f t="shared" ref="M6:M10" si="1">C6-D6</f>
        <v>958.9984019656813</v>
      </c>
      <c r="N6" s="837"/>
      <c r="O6" s="837"/>
      <c r="P6" s="839">
        <f>'DCF - Base'!O39</f>
        <v>262.8573005402987</v>
      </c>
      <c r="Q6" s="839">
        <f>'DCF - Base'!O38</f>
        <v>220.65395657034009</v>
      </c>
      <c r="R6" s="837"/>
      <c r="S6" s="840">
        <f t="shared" ref="S6:S10" si="2">(C6+D6)/2</f>
        <v>5493.4808392385185</v>
      </c>
    </row>
    <row r="7" spans="1:19" ht="14.5" x14ac:dyDescent="0.35">
      <c r="B7" s="835" t="s">
        <v>1072</v>
      </c>
      <c r="C7" s="836">
        <f t="shared" si="0"/>
        <v>6087.3544839524448</v>
      </c>
      <c r="D7" s="836">
        <f t="shared" si="0"/>
        <v>4927.0539125766709</v>
      </c>
      <c r="E7" s="835" t="s">
        <v>1078</v>
      </c>
      <c r="F7" s="835"/>
      <c r="G7" s="835"/>
      <c r="H7" s="835"/>
      <c r="I7" s="835"/>
      <c r="J7" s="835"/>
      <c r="K7" s="835"/>
      <c r="L7" s="837"/>
      <c r="M7" s="838">
        <f t="shared" si="1"/>
        <v>1160.3005713757739</v>
      </c>
      <c r="N7" s="837"/>
      <c r="O7" s="837"/>
      <c r="P7" s="839">
        <f>'APV - Base'!O54</f>
        <v>267.89066032511352</v>
      </c>
      <c r="Q7" s="839">
        <f>'APV - Base'!O53</f>
        <v>216.82846457803061</v>
      </c>
      <c r="R7" s="837"/>
      <c r="S7" s="840">
        <f t="shared" si="2"/>
        <v>5507.2041982645578</v>
      </c>
    </row>
    <row r="8" spans="1:19" ht="14.5" x14ac:dyDescent="0.35">
      <c r="B8" s="835" t="s">
        <v>1076</v>
      </c>
      <c r="C8" s="836">
        <f t="shared" si="0"/>
        <v>7048.9174184113099</v>
      </c>
      <c r="D8" s="836">
        <f t="shared" si="0"/>
        <v>4680.1217076923076</v>
      </c>
      <c r="E8" s="835" t="s">
        <v>1077</v>
      </c>
      <c r="F8" s="835"/>
      <c r="G8" s="835"/>
      <c r="H8" s="835"/>
      <c r="I8" s="835"/>
      <c r="J8" s="835"/>
      <c r="K8" s="835"/>
      <c r="L8" s="837"/>
      <c r="M8" s="838">
        <f t="shared" ref="M8" si="3">C8-D8</f>
        <v>2368.7957107190023</v>
      </c>
      <c r="N8" s="837"/>
      <c r="O8" s="837"/>
      <c r="P8" s="839">
        <f>'LBO Model'!F14*(1+'LBO Model'!F507)</f>
        <v>310.20686355188644</v>
      </c>
      <c r="Q8" s="839">
        <f>'LBO Model'!F14*(1+'LBO Model'!I507)</f>
        <v>205.96153846153845</v>
      </c>
      <c r="R8" s="837"/>
      <c r="S8" s="840">
        <f t="shared" ref="S8" si="4">(C8+D8)/2</f>
        <v>5864.5195630518083</v>
      </c>
    </row>
    <row r="9" spans="1:19" ht="14.5" x14ac:dyDescent="0.35">
      <c r="B9" s="812" t="s">
        <v>996</v>
      </c>
      <c r="C9" s="815">
        <f ca="1">I41</f>
        <v>10616.018549999999</v>
      </c>
      <c r="D9" s="815">
        <f ca="1">I40</f>
        <v>6207.0185499999989</v>
      </c>
      <c r="E9" s="812" t="s">
        <v>1074</v>
      </c>
      <c r="F9" s="812"/>
      <c r="G9" s="812"/>
      <c r="H9" s="812"/>
      <c r="I9" s="812"/>
      <c r="J9" s="812"/>
      <c r="K9" s="812"/>
      <c r="M9" s="816">
        <f t="shared" ca="1" si="1"/>
        <v>4409</v>
      </c>
      <c r="P9" s="833">
        <f ca="1">K41</f>
        <v>467.18689159311504</v>
      </c>
      <c r="Q9" s="833">
        <f ca="1">K40</f>
        <v>273.15680438739474</v>
      </c>
      <c r="S9" s="817">
        <f t="shared" ca="1" si="2"/>
        <v>8411.5185499999989</v>
      </c>
    </row>
    <row r="10" spans="1:19" ht="14.5" x14ac:dyDescent="0.35">
      <c r="B10" s="812" t="s">
        <v>997</v>
      </c>
      <c r="C10" s="815">
        <f>I37</f>
        <v>8463.6985500000046</v>
      </c>
      <c r="D10" s="815">
        <f>I36</f>
        <v>3625.4185500000012</v>
      </c>
      <c r="E10" s="812" t="s">
        <v>1073</v>
      </c>
      <c r="F10" s="812"/>
      <c r="G10" s="812"/>
      <c r="H10" s="812"/>
      <c r="I10" s="812"/>
      <c r="J10" s="812"/>
      <c r="K10" s="812"/>
      <c r="M10" s="816">
        <f t="shared" si="1"/>
        <v>4838.2800000000034</v>
      </c>
      <c r="P10" s="833">
        <f>K37</f>
        <v>372.46817140835321</v>
      </c>
      <c r="Q10" s="833">
        <f>K36</f>
        <v>159.54644531951379</v>
      </c>
      <c r="S10" s="817">
        <f t="shared" si="2"/>
        <v>6044.5585500000034</v>
      </c>
    </row>
    <row r="11" spans="1:19" x14ac:dyDescent="0.3">
      <c r="D11" s="818"/>
      <c r="E11" s="818"/>
    </row>
    <row r="35" spans="2:11" x14ac:dyDescent="0.3">
      <c r="B35" s="819" t="s">
        <v>990</v>
      </c>
      <c r="C35" s="820" t="s">
        <v>998</v>
      </c>
      <c r="D35" s="820" t="s">
        <v>999</v>
      </c>
      <c r="E35" s="814" t="s">
        <v>1090</v>
      </c>
      <c r="G35" s="814" t="s">
        <v>991</v>
      </c>
      <c r="H35" s="820" t="s">
        <v>992</v>
      </c>
      <c r="I35" s="814" t="s">
        <v>467</v>
      </c>
      <c r="J35" s="820" t="s">
        <v>993</v>
      </c>
      <c r="K35" s="814" t="s">
        <v>983</v>
      </c>
    </row>
    <row r="36" spans="2:11" x14ac:dyDescent="0.3">
      <c r="B36" s="807" t="s">
        <v>994</v>
      </c>
      <c r="C36" s="821">
        <f>'LBO Model'!H162</f>
        <v>403.19000000000017</v>
      </c>
      <c r="D36" s="821">
        <f ca="1">'LBO Model'!I162</f>
        <v>440.89999999999992</v>
      </c>
      <c r="E36" s="830">
        <v>10</v>
      </c>
      <c r="G36" s="823">
        <f>E36*C36</f>
        <v>4031.9000000000015</v>
      </c>
      <c r="H36" s="823">
        <f>-('LBO Model'!F24+'LBO Model'!F25+'LBO Model'!F26)</f>
        <v>-406.48145</v>
      </c>
      <c r="I36" s="824">
        <f>G36+H36</f>
        <v>3625.4185500000012</v>
      </c>
      <c r="J36" s="825">
        <f>'LBO Model'!F18</f>
        <v>22.723279999999999</v>
      </c>
      <c r="K36" s="826">
        <f>I36/J36</f>
        <v>159.54644531951379</v>
      </c>
    </row>
    <row r="37" spans="2:11" x14ac:dyDescent="0.3">
      <c r="B37" s="807" t="s">
        <v>995</v>
      </c>
      <c r="C37" s="821">
        <f>C36</f>
        <v>403.19000000000017</v>
      </c>
      <c r="D37" s="821">
        <f ca="1">D36</f>
        <v>440.89999999999992</v>
      </c>
      <c r="E37" s="830">
        <v>22</v>
      </c>
      <c r="G37" s="823">
        <f>E37*C37</f>
        <v>8870.1800000000039</v>
      </c>
      <c r="H37" s="823">
        <f>H36</f>
        <v>-406.48145</v>
      </c>
      <c r="I37" s="824">
        <f>G37+H37</f>
        <v>8463.6985500000046</v>
      </c>
      <c r="J37" s="825">
        <f>J36</f>
        <v>22.723279999999999</v>
      </c>
      <c r="K37" s="826">
        <f>I37/J37</f>
        <v>372.46817140835321</v>
      </c>
    </row>
    <row r="38" spans="2:11" x14ac:dyDescent="0.3">
      <c r="E38" s="827"/>
    </row>
    <row r="39" spans="2:11" x14ac:dyDescent="0.3">
      <c r="B39" s="819" t="s">
        <v>996</v>
      </c>
      <c r="D39" s="820" t="s">
        <v>999</v>
      </c>
      <c r="E39" s="814" t="s">
        <v>1091</v>
      </c>
      <c r="G39" s="814" t="s">
        <v>991</v>
      </c>
      <c r="H39" s="820" t="s">
        <v>992</v>
      </c>
      <c r="I39" s="814" t="s">
        <v>467</v>
      </c>
      <c r="J39" s="820" t="s">
        <v>993</v>
      </c>
      <c r="K39" s="814" t="s">
        <v>983</v>
      </c>
    </row>
    <row r="40" spans="2:11" x14ac:dyDescent="0.3">
      <c r="B40" s="807" t="s">
        <v>994</v>
      </c>
      <c r="D40" s="821">
        <f ca="1">'LBO Model'!I162</f>
        <v>440.89999999999992</v>
      </c>
      <c r="E40" s="830">
        <v>15</v>
      </c>
      <c r="G40" s="823">
        <f ca="1">E40*D40</f>
        <v>6613.4999999999991</v>
      </c>
      <c r="H40" s="823">
        <f>H36</f>
        <v>-406.48145</v>
      </c>
      <c r="I40" s="824">
        <f ca="1">G40+H40</f>
        <v>6207.0185499999989</v>
      </c>
      <c r="J40" s="825">
        <f>J36</f>
        <v>22.723279999999999</v>
      </c>
      <c r="K40" s="826">
        <f ca="1">I40/J40</f>
        <v>273.15680438739474</v>
      </c>
    </row>
    <row r="41" spans="2:11" x14ac:dyDescent="0.3">
      <c r="B41" s="807" t="s">
        <v>995</v>
      </c>
      <c r="D41" s="821">
        <f ca="1">D40</f>
        <v>440.89999999999992</v>
      </c>
      <c r="E41" s="830">
        <v>25</v>
      </c>
      <c r="G41" s="823">
        <f ca="1">E41*D41</f>
        <v>11022.499999999998</v>
      </c>
      <c r="H41" s="823">
        <f>H40</f>
        <v>-406.48145</v>
      </c>
      <c r="I41" s="824">
        <f ca="1">G41+H41</f>
        <v>10616.018549999999</v>
      </c>
      <c r="J41" s="825">
        <f>J40</f>
        <v>22.723279999999999</v>
      </c>
      <c r="K41" s="826">
        <f ca="1">I41/J41</f>
        <v>467.18689159311504</v>
      </c>
    </row>
    <row r="43" spans="2:11" x14ac:dyDescent="0.3">
      <c r="B43" s="819" t="s">
        <v>1000</v>
      </c>
      <c r="C43" s="820" t="s">
        <v>531</v>
      </c>
      <c r="D43" s="820" t="s">
        <v>999</v>
      </c>
      <c r="E43" s="814" t="s">
        <v>1091</v>
      </c>
      <c r="F43" s="831" t="s">
        <v>1001</v>
      </c>
      <c r="G43" s="814" t="s">
        <v>991</v>
      </c>
      <c r="H43" s="820" t="s">
        <v>992</v>
      </c>
      <c r="I43" s="814" t="s">
        <v>467</v>
      </c>
      <c r="J43" s="820" t="s">
        <v>993</v>
      </c>
      <c r="K43" s="814" t="s">
        <v>983</v>
      </c>
    </row>
    <row r="44" spans="2:11" x14ac:dyDescent="0.3">
      <c r="B44" s="807" t="s">
        <v>994</v>
      </c>
      <c r="C44" s="937">
        <f>K44/C46-1</f>
        <v>-0.15000000000000002</v>
      </c>
      <c r="D44" s="821">
        <f ca="1">D40</f>
        <v>440.89999999999992</v>
      </c>
      <c r="E44" s="822">
        <f ca="1">G44/D44</f>
        <v>11.536863591953525</v>
      </c>
      <c r="F44" s="832">
        <f ca="1">E44/E40-1</f>
        <v>-0.23087576053643166</v>
      </c>
      <c r="G44" s="823">
        <f>I44-H44</f>
        <v>5086.6031576923078</v>
      </c>
      <c r="H44" s="823">
        <f>H40</f>
        <v>-406.48145</v>
      </c>
      <c r="I44" s="824">
        <f>K44*J44</f>
        <v>4680.1217076923076</v>
      </c>
      <c r="J44" s="825">
        <f>J40</f>
        <v>22.723279999999999</v>
      </c>
      <c r="K44" s="826">
        <f>Q8</f>
        <v>205.96153846153845</v>
      </c>
    </row>
    <row r="45" spans="2:11" x14ac:dyDescent="0.3">
      <c r="B45" s="807" t="s">
        <v>995</v>
      </c>
      <c r="C45" s="937">
        <f>K45/C46-1</f>
        <v>0.28021880196016635</v>
      </c>
      <c r="D45" s="821">
        <f ca="1">D44</f>
        <v>440.89999999999992</v>
      </c>
      <c r="E45" s="822">
        <f ca="1">G45/D45</f>
        <v>16.909500722184877</v>
      </c>
      <c r="F45" s="832">
        <f ca="1">E45/E41-1</f>
        <v>-0.32361997111260488</v>
      </c>
      <c r="G45" s="823">
        <f>I45-H45</f>
        <v>7455.3988684113101</v>
      </c>
      <c r="H45" s="823">
        <f>H44</f>
        <v>-406.48145</v>
      </c>
      <c r="I45" s="824">
        <f>K45*J45</f>
        <v>7048.9174184113099</v>
      </c>
      <c r="J45" s="825">
        <f>J44</f>
        <v>22.723279999999999</v>
      </c>
      <c r="K45" s="826">
        <f>P8</f>
        <v>310.20686355188644</v>
      </c>
    </row>
    <row r="46" spans="2:11" x14ac:dyDescent="0.3">
      <c r="C46" s="938">
        <f>'LBO Model'!F14</f>
        <v>242.30769230769229</v>
      </c>
    </row>
    <row r="48" spans="2:11" x14ac:dyDescent="0.3">
      <c r="C48" s="820" t="s">
        <v>998</v>
      </c>
      <c r="D48" s="820" t="s">
        <v>999</v>
      </c>
      <c r="E48" s="814" t="s">
        <v>1090</v>
      </c>
      <c r="F48" s="831" t="s">
        <v>1001</v>
      </c>
      <c r="G48" s="814" t="s">
        <v>991</v>
      </c>
      <c r="H48" s="820" t="s">
        <v>992</v>
      </c>
      <c r="I48" s="814" t="s">
        <v>467</v>
      </c>
      <c r="J48" s="820" t="s">
        <v>993</v>
      </c>
      <c r="K48" s="814" t="s">
        <v>983</v>
      </c>
    </row>
    <row r="49" spans="2:11" x14ac:dyDescent="0.3">
      <c r="B49" s="807" t="s">
        <v>1089</v>
      </c>
      <c r="C49" s="821">
        <f>C36</f>
        <v>403.19000000000017</v>
      </c>
      <c r="D49" s="821">
        <f ca="1">D44</f>
        <v>440.89999999999992</v>
      </c>
      <c r="E49" s="822">
        <f>G49/C49</f>
        <v>15.097848284927695</v>
      </c>
      <c r="G49" s="823">
        <f>I49-H49</f>
        <v>6087.3014499999999</v>
      </c>
      <c r="H49" s="823">
        <f>H44</f>
        <v>-406.48145</v>
      </c>
      <c r="I49" s="824">
        <f>K49*J49</f>
        <v>5680.82</v>
      </c>
      <c r="J49" s="825">
        <f>J44</f>
        <v>22.723279999999999</v>
      </c>
      <c r="K49" s="826">
        <v>250</v>
      </c>
    </row>
    <row r="50" spans="2:11" x14ac:dyDescent="0.3">
      <c r="B50" s="807" t="s">
        <v>598</v>
      </c>
      <c r="C50" s="821">
        <f>C37</f>
        <v>403.19000000000017</v>
      </c>
      <c r="D50" s="821">
        <f ca="1">D45</f>
        <v>440.89999999999992</v>
      </c>
      <c r="E50" s="822">
        <f>G50/C50</f>
        <v>18.761166323569526</v>
      </c>
      <c r="G50" s="823">
        <f>I50-H50</f>
        <v>7564.3146500000003</v>
      </c>
      <c r="H50" s="823">
        <f>H45</f>
        <v>-406.48145</v>
      </c>
      <c r="I50" s="824">
        <f>K50*J50</f>
        <v>7157.8332</v>
      </c>
      <c r="J50" s="825">
        <f>J45</f>
        <v>22.723279999999999</v>
      </c>
      <c r="K50" s="826">
        <v>315</v>
      </c>
    </row>
    <row r="51" spans="2:11" x14ac:dyDescent="0.3">
      <c r="D51" s="807"/>
      <c r="F51" s="828"/>
      <c r="G51" s="828"/>
    </row>
    <row r="52" spans="2:11" x14ac:dyDescent="0.3">
      <c r="F52" s="829"/>
      <c r="G52" s="829"/>
    </row>
  </sheetData>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543C4-D5A4-4AAC-B2AF-CDC8E434D667}">
  <dimension ref="B1:R14"/>
  <sheetViews>
    <sheetView showGridLines="0" workbookViewId="0">
      <selection activeCell="F18" sqref="F18"/>
    </sheetView>
  </sheetViews>
  <sheetFormatPr baseColWidth="10" defaultRowHeight="15.5" x14ac:dyDescent="0.35"/>
  <cols>
    <col min="2" max="2" width="17.9140625" customWidth="1"/>
    <col min="3" max="3" width="1.25" customWidth="1"/>
    <col min="4" max="4" width="11.6640625" bestFit="1" customWidth="1"/>
    <col min="5" max="5" width="1.25" customWidth="1"/>
    <col min="7" max="7" width="1.25" customWidth="1"/>
    <col min="9" max="9" width="2.58203125" customWidth="1"/>
    <col min="10" max="10" width="7.83203125" customWidth="1"/>
    <col min="11" max="11" width="2.58203125" customWidth="1"/>
  </cols>
  <sheetData>
    <row r="1" spans="2:18" x14ac:dyDescent="0.35">
      <c r="L1" s="566"/>
      <c r="M1" s="566"/>
    </row>
    <row r="2" spans="2:18" x14ac:dyDescent="0.35">
      <c r="F2" s="904" t="s">
        <v>1049</v>
      </c>
      <c r="H2" s="904" t="s">
        <v>1048</v>
      </c>
      <c r="J2" s="904" t="s">
        <v>107</v>
      </c>
      <c r="L2" s="140" t="s">
        <v>585</v>
      </c>
      <c r="M2" s="140"/>
    </row>
    <row r="3" spans="2:18" ht="16" thickBot="1" x14ac:dyDescent="0.4">
      <c r="B3" s="903" t="s">
        <v>164</v>
      </c>
      <c r="D3" s="903" t="s">
        <v>669</v>
      </c>
      <c r="F3" s="905" t="s">
        <v>107</v>
      </c>
      <c r="H3" s="903" t="s">
        <v>670</v>
      </c>
      <c r="J3" s="903" t="s">
        <v>1051</v>
      </c>
      <c r="L3" s="903" t="s">
        <v>618</v>
      </c>
      <c r="M3" s="903" t="s">
        <v>619</v>
      </c>
    </row>
    <row r="4" spans="2:18" ht="16" thickTop="1" x14ac:dyDescent="0.35"/>
    <row r="5" spans="2:18" x14ac:dyDescent="0.35">
      <c r="B5" s="509" t="s">
        <v>177</v>
      </c>
      <c r="C5" s="62"/>
      <c r="D5" s="509" t="s">
        <v>173</v>
      </c>
      <c r="E5" s="62"/>
      <c r="F5" s="510">
        <v>2795.3649999999998</v>
      </c>
      <c r="G5" s="62"/>
      <c r="H5" s="511">
        <v>2036</v>
      </c>
      <c r="I5" s="62"/>
      <c r="J5" s="909">
        <f>F5/H5</f>
        <v>1.3729690569744597</v>
      </c>
      <c r="K5" s="62"/>
      <c r="L5" s="907">
        <f ca="1">'LBO Model'!K34</f>
        <v>16.917702426854408</v>
      </c>
      <c r="M5" s="907">
        <f ca="1">'LBO Model'!L34</f>
        <v>15.241142214957295</v>
      </c>
    </row>
    <row r="6" spans="2:18" x14ac:dyDescent="0.35">
      <c r="B6" s="509"/>
      <c r="C6" s="62"/>
      <c r="D6" s="509"/>
      <c r="E6" s="62"/>
      <c r="F6" s="510"/>
      <c r="G6" s="62"/>
      <c r="H6" s="511"/>
      <c r="I6" s="62"/>
      <c r="J6" s="62"/>
      <c r="K6" s="62"/>
      <c r="L6" s="907"/>
      <c r="M6" s="908"/>
      <c r="O6" s="245" t="str">
        <f>B5</f>
        <v>Panera Bread</v>
      </c>
      <c r="Q6" s="910">
        <f>J5</f>
        <v>1.3729690569744597</v>
      </c>
      <c r="R6" s="908">
        <f ca="1">L5</f>
        <v>16.917702426854408</v>
      </c>
    </row>
    <row r="7" spans="2:18" x14ac:dyDescent="0.35">
      <c r="B7" s="81" t="s">
        <v>621</v>
      </c>
      <c r="C7" s="81"/>
      <c r="D7" s="509" t="s">
        <v>151</v>
      </c>
      <c r="E7" s="81"/>
      <c r="F7" s="510">
        <v>3904.384</v>
      </c>
      <c r="G7" s="81"/>
      <c r="H7" s="511">
        <v>2198</v>
      </c>
      <c r="J7" s="909">
        <f t="shared" ref="J7:J12" si="0">F7/H7</f>
        <v>1.7763348498635123</v>
      </c>
      <c r="L7" s="907">
        <v>25.9</v>
      </c>
      <c r="M7" s="907">
        <v>18.8</v>
      </c>
      <c r="O7" s="245" t="str">
        <f t="shared" ref="O7:O12" si="1">B7</f>
        <v>Chipotle</v>
      </c>
      <c r="Q7" s="910">
        <f t="shared" ref="Q7:Q12" si="2">J7</f>
        <v>1.7763348498635123</v>
      </c>
      <c r="R7" s="908">
        <f t="shared" ref="R7:R12" si="3">L7</f>
        <v>25.9</v>
      </c>
    </row>
    <row r="8" spans="2:18" x14ac:dyDescent="0.35">
      <c r="B8" s="81" t="s">
        <v>627</v>
      </c>
      <c r="C8" s="81"/>
      <c r="D8" s="509" t="s">
        <v>161</v>
      </c>
      <c r="E8" s="81"/>
      <c r="F8" s="510">
        <v>487.47399999999999</v>
      </c>
      <c r="G8" s="81"/>
      <c r="H8" s="511">
        <v>530</v>
      </c>
      <c r="J8" s="909">
        <f t="shared" si="0"/>
        <v>0.91976226415094342</v>
      </c>
      <c r="L8" s="907">
        <v>8.1</v>
      </c>
      <c r="M8" s="907">
        <v>7.2</v>
      </c>
      <c r="O8" s="245" t="str">
        <f t="shared" si="1"/>
        <v>Noodles &amp; Company</v>
      </c>
      <c r="Q8" s="910">
        <f t="shared" si="2"/>
        <v>0.91976226415094342</v>
      </c>
      <c r="R8" s="908">
        <f t="shared" si="3"/>
        <v>8.1</v>
      </c>
    </row>
    <row r="9" spans="2:18" x14ac:dyDescent="0.35">
      <c r="B9" s="81" t="s">
        <v>681</v>
      </c>
      <c r="C9" s="81"/>
      <c r="D9" s="509" t="s">
        <v>159</v>
      </c>
      <c r="E9" s="81"/>
      <c r="F9" s="510">
        <v>283.81</v>
      </c>
      <c r="G9" s="81"/>
      <c r="H9" s="511">
        <v>172</v>
      </c>
      <c r="J9" s="909">
        <f t="shared" si="0"/>
        <v>1.6500581395348837</v>
      </c>
      <c r="L9" s="907">
        <v>10.199999999999999</v>
      </c>
      <c r="M9" s="907">
        <v>8.6</v>
      </c>
      <c r="O9" s="245" t="str">
        <f t="shared" si="1"/>
        <v>The Habit Burger Grill</v>
      </c>
      <c r="Q9" s="910">
        <f t="shared" si="2"/>
        <v>1.6500581395348837</v>
      </c>
      <c r="R9" s="908">
        <f t="shared" si="3"/>
        <v>10.199999999999999</v>
      </c>
    </row>
    <row r="10" spans="2:18" x14ac:dyDescent="0.35">
      <c r="B10" s="81" t="s">
        <v>679</v>
      </c>
      <c r="C10" s="81"/>
      <c r="D10" s="509" t="s">
        <v>159</v>
      </c>
      <c r="E10" s="81"/>
      <c r="F10" s="510">
        <v>275.96300000000002</v>
      </c>
      <c r="G10" s="81"/>
      <c r="H10" s="511">
        <v>204</v>
      </c>
      <c r="J10" s="909">
        <f t="shared" si="0"/>
        <v>1.3527598039215687</v>
      </c>
      <c r="L10" s="907">
        <v>16</v>
      </c>
      <c r="M10" s="907">
        <v>12.8</v>
      </c>
      <c r="O10" s="245" t="str">
        <f t="shared" si="1"/>
        <v>Zoës Kitchen</v>
      </c>
      <c r="Q10" s="910">
        <f t="shared" si="2"/>
        <v>1.3527598039215687</v>
      </c>
      <c r="R10" s="908">
        <f t="shared" si="3"/>
        <v>16</v>
      </c>
    </row>
    <row r="11" spans="2:18" x14ac:dyDescent="0.35">
      <c r="B11" s="81" t="s">
        <v>169</v>
      </c>
      <c r="C11" s="81"/>
      <c r="D11" s="509" t="s">
        <v>159</v>
      </c>
      <c r="E11" s="81"/>
      <c r="F11" s="510">
        <v>268.47500000000002</v>
      </c>
      <c r="G11" s="81"/>
      <c r="H11" s="511">
        <v>71</v>
      </c>
      <c r="J11" s="909">
        <f t="shared" si="0"/>
        <v>3.7813380281690145</v>
      </c>
      <c r="L11" s="907">
        <v>14.8</v>
      </c>
      <c r="M11" s="907">
        <v>11.1</v>
      </c>
      <c r="O11" s="245" t="str">
        <f t="shared" si="1"/>
        <v>Shake Shack</v>
      </c>
      <c r="Q11" s="910">
        <f t="shared" si="2"/>
        <v>3.7813380281690145</v>
      </c>
      <c r="R11" s="908">
        <f t="shared" si="3"/>
        <v>14.8</v>
      </c>
    </row>
    <row r="12" spans="2:18" x14ac:dyDescent="0.35">
      <c r="B12" s="81" t="s">
        <v>622</v>
      </c>
      <c r="C12" s="81"/>
      <c r="D12" s="509" t="s">
        <v>155</v>
      </c>
      <c r="E12" s="81"/>
      <c r="F12" s="510">
        <v>91.358999999999995</v>
      </c>
      <c r="G12" s="81"/>
      <c r="H12" s="511">
        <v>922</v>
      </c>
      <c r="J12" s="909">
        <f t="shared" si="0"/>
        <v>9.9087852494576995E-2</v>
      </c>
      <c r="L12" s="907">
        <v>24.7</v>
      </c>
      <c r="M12" s="907">
        <v>21.2</v>
      </c>
      <c r="O12" s="245" t="str">
        <f t="shared" si="1"/>
        <v>Wingstop Inc.</v>
      </c>
      <c r="Q12" s="910">
        <f t="shared" si="2"/>
        <v>9.9087852494576995E-2</v>
      </c>
      <c r="R12" s="908">
        <f t="shared" si="3"/>
        <v>24.7</v>
      </c>
    </row>
    <row r="14" spans="2:18" x14ac:dyDescent="0.35">
      <c r="B14" s="912" t="s">
        <v>978</v>
      </c>
      <c r="C14" s="913"/>
      <c r="D14" s="913"/>
      <c r="E14" s="913"/>
      <c r="F14" s="913"/>
      <c r="G14" s="913"/>
      <c r="H14" s="913"/>
      <c r="I14" s="913"/>
      <c r="J14" s="914">
        <f>AVERAGE(J7:J12)</f>
        <v>1.5965568230224167</v>
      </c>
      <c r="K14" s="913"/>
      <c r="L14" s="915">
        <f>AVERAGE(L7:L12)</f>
        <v>16.616666666666667</v>
      </c>
      <c r="M14" s="915">
        <f>AVERAGE(M7:M12)</f>
        <v>13.283333333333333</v>
      </c>
      <c r="N14" s="9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
  <sheetViews>
    <sheetView showGridLines="0" zoomScaleNormal="100" workbookViewId="0"/>
  </sheetViews>
  <sheetFormatPr baseColWidth="10" defaultColWidth="9" defaultRowHeight="15.5" x14ac:dyDescent="0.35"/>
  <cols>
    <col min="1" max="16384" width="9" style="345"/>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D1048576"/>
  <sheetViews>
    <sheetView showGridLines="0" topLeftCell="FI4" zoomScale="90" zoomScaleNormal="91" workbookViewId="0">
      <selection activeCell="FJ35" sqref="FJ35"/>
    </sheetView>
  </sheetViews>
  <sheetFormatPr baseColWidth="10" defaultColWidth="9" defaultRowHeight="15.5" x14ac:dyDescent="0.35"/>
  <cols>
    <col min="1" max="2" width="9" style="62"/>
    <col min="3" max="3" width="32" style="62" bestFit="1" customWidth="1"/>
    <col min="4" max="5" width="10.58203125" style="62" customWidth="1"/>
    <col min="6" max="6" width="15.08203125" style="62" bestFit="1" customWidth="1"/>
    <col min="7" max="7" width="13.9140625" style="62" bestFit="1" customWidth="1"/>
    <col min="8" max="8" width="15.58203125" style="62" customWidth="1"/>
    <col min="9" max="12" width="9" style="62"/>
    <col min="13" max="13" width="32" style="62" bestFit="1" customWidth="1"/>
    <col min="14" max="15" width="10.58203125" style="62" customWidth="1"/>
    <col min="16" max="16" width="15.6640625" style="62" bestFit="1" customWidth="1"/>
    <col min="17" max="17" width="13.9140625" style="62" bestFit="1" customWidth="1"/>
    <col min="18" max="18" width="9" style="62"/>
    <col min="19" max="19" width="23" style="62" bestFit="1" customWidth="1"/>
    <col min="20" max="26" width="9" style="62"/>
    <col min="27" max="27" width="10.58203125" style="62" bestFit="1" customWidth="1"/>
    <col min="28" max="28" width="12.4140625" style="62" bestFit="1" customWidth="1"/>
    <col min="29" max="33" width="9" style="62"/>
    <col min="34" max="35" width="11.9140625" style="62" bestFit="1" customWidth="1"/>
    <col min="36" max="37" width="9" style="62"/>
    <col min="38" max="38" width="20.6640625" style="62" bestFit="1" customWidth="1"/>
    <col min="39" max="44" width="9" style="62"/>
    <col min="45" max="45" width="10.5" style="62" bestFit="1" customWidth="1"/>
    <col min="46" max="58" width="9" style="62"/>
    <col min="59" max="59" width="19.08203125" style="62" bestFit="1" customWidth="1"/>
    <col min="60" max="72" width="9" style="62"/>
    <col min="73" max="73" width="13.4140625" style="62" bestFit="1" customWidth="1"/>
    <col min="74" max="86" width="9" style="62"/>
    <col min="87" max="87" width="13.08203125" style="62" bestFit="1" customWidth="1"/>
    <col min="88" max="100" width="9" style="62"/>
    <col min="101" max="101" width="13.08203125" style="62" bestFit="1" customWidth="1"/>
    <col min="102" max="114" width="9" style="62"/>
    <col min="115" max="115" width="17.08203125" style="62" customWidth="1"/>
    <col min="116" max="128" width="9" style="62"/>
    <col min="129" max="129" width="32.6640625" style="62" bestFit="1" customWidth="1"/>
    <col min="130" max="132" width="10.5" style="62" bestFit="1" customWidth="1"/>
    <col min="133" max="133" width="10.5" style="62" customWidth="1"/>
    <col min="134" max="134" width="9" style="62"/>
    <col min="135" max="135" width="10.4140625" style="62" bestFit="1" customWidth="1"/>
    <col min="136" max="143" width="9" style="62"/>
    <col min="144" max="144" width="24.1640625" style="62" bestFit="1" customWidth="1"/>
    <col min="145" max="149" width="13.08203125" style="62" bestFit="1" customWidth="1"/>
    <col min="150" max="150" width="9" style="62"/>
    <col min="151" max="151" width="24.1640625" style="62" bestFit="1" customWidth="1"/>
    <col min="152" max="156" width="13.08203125" style="62" bestFit="1" customWidth="1"/>
    <col min="157" max="157" width="9" style="62"/>
    <col min="158" max="158" width="16.58203125" style="62" bestFit="1" customWidth="1"/>
    <col min="159" max="164" width="9" style="62"/>
    <col min="165" max="165" width="33.58203125" style="66" bestFit="1" customWidth="1"/>
    <col min="166" max="167" width="12.58203125" style="66" customWidth="1"/>
    <col min="168" max="168" width="1.58203125" style="66" customWidth="1"/>
    <col min="169" max="171" width="12.58203125" style="66" customWidth="1"/>
    <col min="172" max="172" width="27.1640625" style="66" bestFit="1" customWidth="1"/>
    <col min="173" max="173" width="27.4140625" style="66" bestFit="1" customWidth="1"/>
    <col min="174" max="174" width="10.9140625" style="66" bestFit="1" customWidth="1"/>
    <col min="175" max="175" width="13.5" style="66" bestFit="1" customWidth="1"/>
    <col min="176" max="176" width="9" style="62"/>
    <col min="177" max="177" width="13.58203125" style="62" bestFit="1" customWidth="1"/>
    <col min="178" max="178" width="7.1640625" style="62" bestFit="1" customWidth="1"/>
    <col min="179" max="179" width="11" style="62" bestFit="1" customWidth="1"/>
    <col min="180" max="180" width="11" style="62" customWidth="1"/>
    <col min="181" max="188" width="13.58203125" style="62" bestFit="1" customWidth="1"/>
    <col min="189" max="189" width="9" style="62"/>
    <col min="190" max="190" width="13.58203125" style="62" bestFit="1" customWidth="1"/>
    <col min="191" max="192" width="11" style="62" customWidth="1"/>
    <col min="193" max="194" width="13.58203125" style="62" bestFit="1" customWidth="1"/>
    <col min="195" max="195" width="19.6640625" style="66" bestFit="1" customWidth="1"/>
    <col min="196" max="201" width="10.58203125" style="66" customWidth="1"/>
    <col min="202" max="202" width="11" style="66" bestFit="1" customWidth="1"/>
    <col min="203" max="203" width="21.58203125" style="66" customWidth="1"/>
    <col min="204" max="205" width="11.83203125" style="66" customWidth="1"/>
    <col min="206" max="206" width="9.9140625" style="66" customWidth="1"/>
    <col min="207" max="207" width="9.58203125" style="66" customWidth="1"/>
    <col min="208" max="208" width="8.83203125" style="66" customWidth="1"/>
    <col min="209" max="209" width="11.1640625" style="66" customWidth="1"/>
    <col min="210" max="210" width="3.08203125" style="66" customWidth="1"/>
    <col min="211" max="211" width="11" style="66" customWidth="1"/>
    <col min="212" max="212" width="9" style="66"/>
    <col min="213" max="16384" width="9" style="62"/>
  </cols>
  <sheetData>
    <row r="1" spans="1:212" x14ac:dyDescent="0.35">
      <c r="A1" s="62" t="s">
        <v>721</v>
      </c>
      <c r="B1" s="62" t="s">
        <v>31</v>
      </c>
      <c r="L1" s="62" t="s">
        <v>31</v>
      </c>
      <c r="S1" s="62" t="s">
        <v>31</v>
      </c>
      <c r="AA1" s="62" t="s">
        <v>31</v>
      </c>
      <c r="AH1" s="62" t="s">
        <v>31</v>
      </c>
      <c r="AL1" s="62" t="s">
        <v>31</v>
      </c>
      <c r="AS1" s="62" t="s">
        <v>31</v>
      </c>
      <c r="BG1" s="62" t="s">
        <v>31</v>
      </c>
      <c r="BU1" s="62" t="s">
        <v>31</v>
      </c>
      <c r="CI1" s="62" t="s">
        <v>31</v>
      </c>
      <c r="CW1" s="62" t="s">
        <v>31</v>
      </c>
      <c r="DK1" s="62" t="s">
        <v>31</v>
      </c>
      <c r="DY1" s="62" t="s">
        <v>31</v>
      </c>
      <c r="EE1" s="62" t="s">
        <v>31</v>
      </c>
      <c r="EN1" s="62" t="s">
        <v>31</v>
      </c>
      <c r="EU1" s="62" t="s">
        <v>31</v>
      </c>
      <c r="FB1" s="62" t="s">
        <v>31</v>
      </c>
      <c r="FI1" s="66" t="s">
        <v>31</v>
      </c>
      <c r="FP1" s="66" t="s">
        <v>31</v>
      </c>
      <c r="FU1" s="62" t="s">
        <v>31</v>
      </c>
      <c r="GH1" s="62" t="s">
        <v>31</v>
      </c>
      <c r="GM1" s="66" t="s">
        <v>31</v>
      </c>
      <c r="GU1" s="66" t="s">
        <v>31</v>
      </c>
    </row>
    <row r="2" spans="1:212" s="110" customFormat="1" x14ac:dyDescent="0.35">
      <c r="A2" s="535" t="s">
        <v>722</v>
      </c>
      <c r="B2" s="110" t="s">
        <v>856</v>
      </c>
      <c r="L2" s="110" t="s">
        <v>857</v>
      </c>
      <c r="S2" s="110" t="s">
        <v>898</v>
      </c>
      <c r="AA2" s="110" t="s">
        <v>897</v>
      </c>
      <c r="AG2" s="110" t="s">
        <v>135</v>
      </c>
      <c r="AH2" s="110" t="s">
        <v>692</v>
      </c>
      <c r="AL2" s="110" t="s">
        <v>693</v>
      </c>
      <c r="AS2" s="110" t="s">
        <v>896</v>
      </c>
      <c r="BG2" s="110" t="s">
        <v>701</v>
      </c>
      <c r="BU2" s="110" t="s">
        <v>705</v>
      </c>
      <c r="CI2" s="110" t="s">
        <v>895</v>
      </c>
      <c r="CW2" s="110" t="s">
        <v>720</v>
      </c>
      <c r="DK2" s="110" t="s">
        <v>876</v>
      </c>
      <c r="DY2" s="110" t="s">
        <v>866</v>
      </c>
      <c r="EE2" s="110" t="s">
        <v>719</v>
      </c>
      <c r="EN2" s="110" t="s">
        <v>894</v>
      </c>
      <c r="EU2" s="110" t="s">
        <v>893</v>
      </c>
      <c r="FB2" s="110" t="s">
        <v>883</v>
      </c>
      <c r="FI2" s="70" t="s">
        <v>727</v>
      </c>
      <c r="FJ2" s="70"/>
      <c r="FK2" s="70"/>
      <c r="FL2" s="70"/>
      <c r="FM2" s="70"/>
      <c r="FN2" s="70"/>
      <c r="FO2" s="70"/>
      <c r="FP2" s="70" t="s">
        <v>726</v>
      </c>
      <c r="FQ2" s="70"/>
      <c r="FR2" s="70"/>
      <c r="FS2" s="70"/>
      <c r="FU2" s="110" t="s">
        <v>725</v>
      </c>
      <c r="GH2" s="110" t="s">
        <v>724</v>
      </c>
      <c r="GM2" s="70" t="s">
        <v>892</v>
      </c>
      <c r="GN2" s="70"/>
      <c r="GO2" s="70"/>
      <c r="GP2" s="70"/>
      <c r="GQ2" s="70"/>
      <c r="GR2" s="70"/>
      <c r="GS2" s="70"/>
      <c r="GT2" s="70"/>
      <c r="GU2" s="70" t="s">
        <v>891</v>
      </c>
      <c r="GV2" s="70"/>
      <c r="GW2" s="70"/>
      <c r="GX2" s="70"/>
      <c r="GY2" s="70"/>
      <c r="GZ2" s="70"/>
      <c r="HA2" s="70"/>
      <c r="HB2" s="70"/>
      <c r="HC2" s="70"/>
      <c r="HD2" s="70"/>
    </row>
    <row r="3" spans="1:212" x14ac:dyDescent="0.35">
      <c r="A3" s="452" t="s">
        <v>686</v>
      </c>
      <c r="B3" s="62" t="s">
        <v>104</v>
      </c>
      <c r="C3" s="62" t="s">
        <v>867</v>
      </c>
      <c r="H3" s="62" t="s">
        <v>135</v>
      </c>
      <c r="L3" s="62" t="s">
        <v>102</v>
      </c>
      <c r="M3" s="62" t="s">
        <v>867</v>
      </c>
      <c r="R3" s="62" t="s">
        <v>135</v>
      </c>
      <c r="S3" s="62" t="s">
        <v>102</v>
      </c>
      <c r="T3" s="62" t="s">
        <v>136</v>
      </c>
      <c r="AA3" s="62" t="s">
        <v>104</v>
      </c>
      <c r="AB3" s="65" t="s">
        <v>105</v>
      </c>
      <c r="AG3" s="62" t="s">
        <v>135</v>
      </c>
      <c r="AH3" s="62" t="s">
        <v>104</v>
      </c>
      <c r="AI3" s="65" t="s">
        <v>105</v>
      </c>
      <c r="AK3" s="62" t="s">
        <v>135</v>
      </c>
      <c r="AL3" s="62" t="s">
        <v>102</v>
      </c>
      <c r="AM3" s="65" t="s">
        <v>137</v>
      </c>
      <c r="AR3" s="62" t="s">
        <v>135</v>
      </c>
      <c r="AS3" s="519" t="s">
        <v>104</v>
      </c>
      <c r="AT3" s="519" t="s">
        <v>870</v>
      </c>
      <c r="BG3" s="62" t="s">
        <v>102</v>
      </c>
      <c r="BH3" s="519" t="s">
        <v>872</v>
      </c>
      <c r="BU3" s="62" t="s">
        <v>102</v>
      </c>
      <c r="BV3" s="62" t="s">
        <v>872</v>
      </c>
      <c r="CI3" s="62" t="s">
        <v>104</v>
      </c>
      <c r="CJ3" s="62" t="s">
        <v>872</v>
      </c>
      <c r="CW3" s="62" t="s">
        <v>102</v>
      </c>
      <c r="CX3" s="62" t="s">
        <v>872</v>
      </c>
      <c r="DK3" s="62" t="s">
        <v>102</v>
      </c>
      <c r="DL3" s="62" t="s">
        <v>875</v>
      </c>
      <c r="DY3" s="62" t="s">
        <v>104</v>
      </c>
      <c r="DZ3" s="62" t="s">
        <v>878</v>
      </c>
      <c r="ED3" s="62" t="s">
        <v>135</v>
      </c>
      <c r="EE3" s="62" t="s">
        <v>102</v>
      </c>
      <c r="EF3" s="65" t="s">
        <v>879</v>
      </c>
      <c r="EM3" s="62" t="s">
        <v>135</v>
      </c>
      <c r="EN3" s="62" t="s">
        <v>102</v>
      </c>
      <c r="EO3" s="62" t="s">
        <v>881</v>
      </c>
      <c r="ET3" s="62" t="s">
        <v>135</v>
      </c>
      <c r="EU3" s="62" t="s">
        <v>102</v>
      </c>
      <c r="EV3" s="62" t="s">
        <v>882</v>
      </c>
      <c r="FB3" s="62" t="s">
        <v>102</v>
      </c>
      <c r="FC3" s="65" t="s">
        <v>137</v>
      </c>
      <c r="FH3" s="62" t="s">
        <v>135</v>
      </c>
      <c r="FI3" s="66" t="s">
        <v>102</v>
      </c>
      <c r="FJ3" s="646" t="s">
        <v>885</v>
      </c>
      <c r="FO3" s="66" t="s">
        <v>135</v>
      </c>
      <c r="FP3" s="66" t="s">
        <v>102</v>
      </c>
      <c r="FQ3" s="646" t="s">
        <v>885</v>
      </c>
      <c r="FT3" s="62" t="s">
        <v>135</v>
      </c>
      <c r="FU3" s="62" t="s">
        <v>102</v>
      </c>
      <c r="FV3" s="62" t="s">
        <v>886</v>
      </c>
      <c r="GH3" s="62" t="s">
        <v>102</v>
      </c>
      <c r="GI3" s="62" t="s">
        <v>888</v>
      </c>
      <c r="GL3" s="62" t="s">
        <v>135</v>
      </c>
      <c r="GM3" s="66" t="s">
        <v>104</v>
      </c>
      <c r="GN3" s="66" t="s">
        <v>889</v>
      </c>
      <c r="GU3" s="66" t="s">
        <v>102</v>
      </c>
      <c r="GV3" s="66" t="s">
        <v>890</v>
      </c>
    </row>
    <row r="4" spans="1:212" x14ac:dyDescent="0.35">
      <c r="C4" s="65" t="s">
        <v>868</v>
      </c>
      <c r="H4" s="62" t="s">
        <v>135</v>
      </c>
      <c r="M4" s="65" t="s">
        <v>868</v>
      </c>
      <c r="R4" s="62" t="s">
        <v>135</v>
      </c>
      <c r="T4" s="65" t="s">
        <v>105</v>
      </c>
      <c r="U4" s="66"/>
      <c r="V4" s="66"/>
      <c r="W4" s="66"/>
      <c r="X4" s="66"/>
      <c r="Y4" s="66"/>
      <c r="Z4" s="62" t="s">
        <v>135</v>
      </c>
      <c r="AT4" s="62" t="s">
        <v>869</v>
      </c>
      <c r="BH4" s="62" t="s">
        <v>871</v>
      </c>
      <c r="BV4" s="62" t="s">
        <v>871</v>
      </c>
      <c r="CJ4" s="62" t="s">
        <v>871</v>
      </c>
      <c r="CX4" s="62" t="s">
        <v>871</v>
      </c>
      <c r="DL4" s="62" t="s">
        <v>873</v>
      </c>
      <c r="EF4" s="62" t="s">
        <v>880</v>
      </c>
      <c r="FV4" s="62" t="s">
        <v>887</v>
      </c>
      <c r="GG4" s="62" t="s">
        <v>135</v>
      </c>
    </row>
    <row r="5" spans="1:212" ht="13.5" customHeight="1" x14ac:dyDescent="0.35">
      <c r="S5" s="66"/>
      <c r="T5" s="66"/>
      <c r="U5" s="66"/>
      <c r="V5" s="66"/>
      <c r="W5" s="66"/>
      <c r="X5" s="66"/>
      <c r="Y5" s="66"/>
      <c r="Z5" s="92"/>
      <c r="AA5" s="91" t="s">
        <v>138</v>
      </c>
      <c r="AB5" s="90" t="s">
        <v>139</v>
      </c>
      <c r="AD5" s="92">
        <v>20.16</v>
      </c>
      <c r="AE5" s="92"/>
      <c r="AF5" s="92"/>
      <c r="AG5" s="92"/>
      <c r="AH5" s="91" t="s">
        <v>669</v>
      </c>
      <c r="AI5" s="91" t="s">
        <v>141</v>
      </c>
      <c r="AJ5" s="92"/>
      <c r="AK5" s="92"/>
      <c r="AL5" s="94"/>
      <c r="AM5" s="94">
        <v>2012</v>
      </c>
      <c r="AN5" s="94">
        <v>2013</v>
      </c>
      <c r="AO5" s="94">
        <v>2014</v>
      </c>
      <c r="AP5" s="94">
        <v>2015</v>
      </c>
      <c r="AQ5" s="94">
        <v>2016</v>
      </c>
      <c r="CH5" s="521"/>
      <c r="DY5" s="458"/>
      <c r="DZ5" s="90" t="s">
        <v>684</v>
      </c>
      <c r="EA5" s="515" t="s">
        <v>685</v>
      </c>
      <c r="EB5" s="458"/>
      <c r="EC5" s="509"/>
      <c r="EU5" s="346"/>
      <c r="EV5" s="347">
        <v>2017</v>
      </c>
      <c r="EW5" s="347">
        <f>EV5+1</f>
        <v>2018</v>
      </c>
      <c r="EX5" s="347">
        <f>EW5+1</f>
        <v>2019</v>
      </c>
      <c r="EY5" s="347">
        <f>EX5+1</f>
        <v>2020</v>
      </c>
      <c r="EZ5" s="347">
        <f>EY5+1</f>
        <v>2021</v>
      </c>
      <c r="FB5" s="94"/>
      <c r="FC5" s="94">
        <v>2012</v>
      </c>
      <c r="FD5" s="94">
        <v>2013</v>
      </c>
      <c r="FE5" s="94">
        <v>2014</v>
      </c>
      <c r="FF5" s="94">
        <v>2015</v>
      </c>
      <c r="FG5" s="94">
        <v>2016</v>
      </c>
      <c r="FH5" s="92"/>
      <c r="FI5" s="67"/>
      <c r="FJ5" s="220" t="s">
        <v>585</v>
      </c>
      <c r="FK5" s="220"/>
      <c r="FL5" s="93"/>
      <c r="FM5" s="220" t="s">
        <v>641</v>
      </c>
      <c r="FN5" s="220"/>
      <c r="FP5" s="93"/>
      <c r="FQ5" s="93"/>
      <c r="FR5" s="93"/>
      <c r="FS5" s="93" t="s">
        <v>657</v>
      </c>
      <c r="FT5" s="92"/>
      <c r="GM5" s="98"/>
      <c r="GN5" s="94">
        <v>2011</v>
      </c>
      <c r="GO5" s="94">
        <f>GN5+1</f>
        <v>2012</v>
      </c>
      <c r="GP5" s="94">
        <f>GO5+1</f>
        <v>2013</v>
      </c>
      <c r="GQ5" s="94">
        <f>GP5+1</f>
        <v>2014</v>
      </c>
      <c r="GR5" s="94">
        <f>GQ5+1</f>
        <v>2015</v>
      </c>
      <c r="GS5" s="94">
        <f>GR5+1</f>
        <v>2016</v>
      </c>
      <c r="GU5" s="67"/>
      <c r="GV5" s="922" t="s">
        <v>1056</v>
      </c>
      <c r="GW5" s="922"/>
      <c r="GX5" s="93" t="s">
        <v>839</v>
      </c>
      <c r="GY5" s="93" t="s">
        <v>393</v>
      </c>
      <c r="GZ5" s="93" t="s">
        <v>1055</v>
      </c>
      <c r="HA5" s="93" t="s">
        <v>840</v>
      </c>
    </row>
    <row r="6" spans="1:212" ht="13.5" customHeight="1" x14ac:dyDescent="0.35">
      <c r="B6" s="90"/>
      <c r="C6" s="90"/>
      <c r="D6" s="90"/>
      <c r="E6" s="90"/>
      <c r="F6" s="117" t="s">
        <v>687</v>
      </c>
      <c r="G6" s="117"/>
      <c r="L6" s="90"/>
      <c r="M6" s="90"/>
      <c r="N6" s="90"/>
      <c r="O6" s="90"/>
      <c r="P6" s="117" t="s">
        <v>687</v>
      </c>
      <c r="Q6" s="117"/>
      <c r="S6" s="98"/>
      <c r="T6" s="94">
        <v>2011</v>
      </c>
      <c r="U6" s="94">
        <f>T6+1</f>
        <v>2012</v>
      </c>
      <c r="V6" s="94">
        <f>U6+1</f>
        <v>2013</v>
      </c>
      <c r="W6" s="94">
        <f>V6+1</f>
        <v>2014</v>
      </c>
      <c r="X6" s="94">
        <f>W6+1</f>
        <v>2015</v>
      </c>
      <c r="Y6" s="94">
        <f>X6+1</f>
        <v>2016</v>
      </c>
      <c r="AA6" s="95"/>
      <c r="AB6" s="96" t="s">
        <v>143</v>
      </c>
      <c r="AH6" s="95"/>
      <c r="AI6" s="96" t="s">
        <v>144</v>
      </c>
      <c r="AL6" s="62" t="s">
        <v>146</v>
      </c>
      <c r="AM6" s="66">
        <v>809</v>
      </c>
      <c r="AN6" s="66">
        <v>867</v>
      </c>
      <c r="AO6" s="66">
        <v>925</v>
      </c>
      <c r="AP6" s="66">
        <v>901</v>
      </c>
      <c r="AQ6" s="66">
        <v>902</v>
      </c>
      <c r="AS6" s="94"/>
      <c r="AT6" s="94">
        <v>2005</v>
      </c>
      <c r="AU6" s="94">
        <v>2006</v>
      </c>
      <c r="AV6" s="94">
        <v>2007</v>
      </c>
      <c r="AW6" s="94">
        <v>2008</v>
      </c>
      <c r="AX6" s="94">
        <v>2009</v>
      </c>
      <c r="AY6" s="94">
        <v>2010</v>
      </c>
      <c r="AZ6" s="94">
        <v>2011</v>
      </c>
      <c r="BA6" s="94">
        <v>2012</v>
      </c>
      <c r="BB6" s="94">
        <v>2013</v>
      </c>
      <c r="BC6" s="94">
        <v>2014</v>
      </c>
      <c r="BD6" s="94">
        <v>2015</v>
      </c>
      <c r="BE6" s="94">
        <v>2016</v>
      </c>
      <c r="BG6" s="445"/>
      <c r="BH6" s="94">
        <v>2006</v>
      </c>
      <c r="BI6" s="94">
        <v>2007</v>
      </c>
      <c r="BJ6" s="94">
        <v>2008</v>
      </c>
      <c r="BK6" s="94">
        <v>2009</v>
      </c>
      <c r="BL6" s="94">
        <v>2010</v>
      </c>
      <c r="BM6" s="94">
        <v>2011</v>
      </c>
      <c r="BN6" s="94">
        <v>2012</v>
      </c>
      <c r="BO6" s="94">
        <v>2013</v>
      </c>
      <c r="BP6" s="94">
        <v>2014</v>
      </c>
      <c r="BQ6" s="94">
        <v>2015</v>
      </c>
      <c r="BR6" s="94">
        <v>2016</v>
      </c>
      <c r="BS6" s="94" t="s">
        <v>695</v>
      </c>
      <c r="BU6" s="445"/>
      <c r="BV6" s="94">
        <v>2006</v>
      </c>
      <c r="BW6" s="94">
        <v>2007</v>
      </c>
      <c r="BX6" s="94">
        <v>2008</v>
      </c>
      <c r="BY6" s="94">
        <v>2009</v>
      </c>
      <c r="BZ6" s="94">
        <v>2010</v>
      </c>
      <c r="CA6" s="94">
        <v>2011</v>
      </c>
      <c r="CB6" s="94">
        <v>2012</v>
      </c>
      <c r="CC6" s="94">
        <v>2013</v>
      </c>
      <c r="CD6" s="94">
        <v>2014</v>
      </c>
      <c r="CE6" s="94">
        <v>2015</v>
      </c>
      <c r="CF6" s="94">
        <v>2016</v>
      </c>
      <c r="CG6" s="94">
        <v>2017</v>
      </c>
      <c r="CH6" s="529"/>
      <c r="CI6" s="445"/>
      <c r="CJ6" s="94">
        <v>2006</v>
      </c>
      <c r="CK6" s="94">
        <v>2007</v>
      </c>
      <c r="CL6" s="94">
        <v>2008</v>
      </c>
      <c r="CM6" s="94">
        <v>2009</v>
      </c>
      <c r="CN6" s="94">
        <v>2010</v>
      </c>
      <c r="CO6" s="94">
        <v>2011</v>
      </c>
      <c r="CP6" s="94">
        <v>2012</v>
      </c>
      <c r="CQ6" s="94">
        <v>2013</v>
      </c>
      <c r="CR6" s="94">
        <v>2014</v>
      </c>
      <c r="CS6" s="94">
        <v>2015</v>
      </c>
      <c r="CT6" s="94">
        <v>2016</v>
      </c>
      <c r="CU6" s="530" t="s">
        <v>695</v>
      </c>
      <c r="CW6" s="445"/>
      <c r="CX6" s="94">
        <v>2006</v>
      </c>
      <c r="CY6" s="94">
        <v>2007</v>
      </c>
      <c r="CZ6" s="94">
        <v>2008</v>
      </c>
      <c r="DA6" s="94">
        <v>2009</v>
      </c>
      <c r="DB6" s="94">
        <v>2010</v>
      </c>
      <c r="DC6" s="94">
        <v>2011</v>
      </c>
      <c r="DD6" s="94">
        <v>2012</v>
      </c>
      <c r="DE6" s="94">
        <v>2013</v>
      </c>
      <c r="DF6" s="94">
        <v>2014</v>
      </c>
      <c r="DG6" s="94">
        <v>2015</v>
      </c>
      <c r="DH6" s="94">
        <v>2016</v>
      </c>
      <c r="DI6" s="530" t="s">
        <v>695</v>
      </c>
      <c r="DK6" s="445"/>
      <c r="DL6" s="94">
        <v>2006</v>
      </c>
      <c r="DM6" s="94">
        <v>2007</v>
      </c>
      <c r="DN6" s="94">
        <v>2008</v>
      </c>
      <c r="DO6" s="94">
        <v>2009</v>
      </c>
      <c r="DP6" s="94">
        <v>2010</v>
      </c>
      <c r="DQ6" s="94">
        <v>2011</v>
      </c>
      <c r="DR6" s="94">
        <v>2012</v>
      </c>
      <c r="DS6" s="94">
        <v>2013</v>
      </c>
      <c r="DT6" s="94">
        <v>2014</v>
      </c>
      <c r="DU6" s="94">
        <v>2015</v>
      </c>
      <c r="DV6" s="94">
        <v>2016</v>
      </c>
      <c r="DW6" s="94" t="s">
        <v>715</v>
      </c>
      <c r="DY6" s="459" t="s">
        <v>135</v>
      </c>
      <c r="DZ6" s="96" t="s">
        <v>375</v>
      </c>
      <c r="EA6" s="96" t="s">
        <v>538</v>
      </c>
      <c r="EB6" s="96" t="s">
        <v>539</v>
      </c>
      <c r="EC6" s="521"/>
      <c r="EN6" s="346"/>
      <c r="EO6" s="347">
        <v>2017</v>
      </c>
      <c r="EP6" s="347">
        <f>EO6+1</f>
        <v>2018</v>
      </c>
      <c r="EQ6" s="347">
        <f>EP6+1</f>
        <v>2019</v>
      </c>
      <c r="ER6" s="347">
        <f>EQ6+1</f>
        <v>2020</v>
      </c>
      <c r="ES6" s="347">
        <f>ER6+1</f>
        <v>2021</v>
      </c>
      <c r="EU6" s="110" t="s">
        <v>108</v>
      </c>
      <c r="EV6" s="66"/>
      <c r="EW6" s="66"/>
      <c r="EX6" s="66"/>
      <c r="EY6" s="120"/>
      <c r="FB6" s="62" t="s">
        <v>146</v>
      </c>
      <c r="FC6" s="64">
        <v>6.5000000000000002E-2</v>
      </c>
      <c r="FD6" s="64">
        <v>2.5999999999999999E-2</v>
      </c>
      <c r="FE6" s="64">
        <v>1.4E-2</v>
      </c>
      <c r="FF6" s="64">
        <v>0.03</v>
      </c>
      <c r="FG6" s="64">
        <v>4.2000000000000003E-2</v>
      </c>
      <c r="FI6" s="100" t="s">
        <v>586</v>
      </c>
      <c r="FJ6" s="98" t="s">
        <v>618</v>
      </c>
      <c r="FK6" s="98" t="s">
        <v>619</v>
      </c>
      <c r="FL6" s="100"/>
      <c r="FM6" s="98" t="s">
        <v>618</v>
      </c>
      <c r="FN6" s="98" t="s">
        <v>619</v>
      </c>
      <c r="FP6" s="494"/>
      <c r="FQ6" s="97"/>
      <c r="FR6" s="97"/>
      <c r="FS6" s="97" t="s">
        <v>658</v>
      </c>
      <c r="FU6" s="458"/>
      <c r="FV6" s="458"/>
      <c r="FW6" s="90"/>
      <c r="FX6" s="90" t="s">
        <v>564</v>
      </c>
      <c r="GH6" s="458"/>
      <c r="GI6" s="117" t="s">
        <v>570</v>
      </c>
      <c r="GJ6" s="117"/>
      <c r="GK6" s="90" t="s">
        <v>571</v>
      </c>
      <c r="GM6" s="66" t="s">
        <v>584</v>
      </c>
      <c r="GN6" s="75">
        <f t="shared" ref="GN6:GS6" si="0">GN25</f>
        <v>300.15800000000002</v>
      </c>
      <c r="GO6" s="75">
        <f t="shared" si="0"/>
        <v>373.80899999999997</v>
      </c>
      <c r="GP6" s="75">
        <f t="shared" si="0"/>
        <v>416.279</v>
      </c>
      <c r="GQ6" s="75">
        <f t="shared" si="0"/>
        <v>400.05200000000002</v>
      </c>
      <c r="GR6" s="75">
        <f t="shared" si="0"/>
        <v>394.1</v>
      </c>
      <c r="GS6" s="75">
        <f t="shared" si="0"/>
        <v>403.19000000000005</v>
      </c>
      <c r="GU6" s="100"/>
      <c r="GV6" s="96" t="s">
        <v>840</v>
      </c>
      <c r="GW6" s="96" t="s">
        <v>1057</v>
      </c>
      <c r="GX6" s="96" t="s">
        <v>459</v>
      </c>
      <c r="GY6" s="96" t="s">
        <v>394</v>
      </c>
      <c r="GZ6" s="96" t="s">
        <v>208</v>
      </c>
      <c r="HA6" s="100" t="s">
        <v>702</v>
      </c>
    </row>
    <row r="7" spans="1:212" ht="13.5" customHeight="1" thickBot="1" x14ac:dyDescent="0.4">
      <c r="B7" s="96" t="s">
        <v>163</v>
      </c>
      <c r="C7" s="96" t="s">
        <v>164</v>
      </c>
      <c r="D7" s="96" t="s">
        <v>668</v>
      </c>
      <c r="E7" s="96" t="s">
        <v>669</v>
      </c>
      <c r="F7" s="118" t="s">
        <v>165</v>
      </c>
      <c r="G7" s="94" t="s">
        <v>728</v>
      </c>
      <c r="L7" s="96" t="s">
        <v>163</v>
      </c>
      <c r="M7" s="96" t="s">
        <v>164</v>
      </c>
      <c r="N7" s="96" t="s">
        <v>668</v>
      </c>
      <c r="O7" s="96" t="s">
        <v>669</v>
      </c>
      <c r="P7" s="118" t="s">
        <v>747</v>
      </c>
      <c r="Q7" s="94" t="s">
        <v>670</v>
      </c>
      <c r="S7" s="66" t="s">
        <v>149</v>
      </c>
      <c r="T7" s="63">
        <v>198.98329999999999</v>
      </c>
      <c r="U7" s="63">
        <v>206.32029999999997</v>
      </c>
      <c r="V7" s="63">
        <v>211.6113</v>
      </c>
      <c r="W7" s="63">
        <v>217.9539</v>
      </c>
      <c r="X7" s="63">
        <v>230.91639999999998</v>
      </c>
      <c r="Y7" s="63">
        <v>243.95269999999999</v>
      </c>
      <c r="Z7" s="92"/>
      <c r="AA7" s="62" t="s">
        <v>147</v>
      </c>
      <c r="AB7" s="99">
        <f t="shared" ref="AB7:AB13" si="1">AD7*$AB$14</f>
        <v>8.93</v>
      </c>
      <c r="AD7" s="92">
        <v>0.19</v>
      </c>
      <c r="AE7" s="92"/>
      <c r="AF7" s="92"/>
      <c r="AG7" s="92"/>
      <c r="AH7" s="62" t="s">
        <v>148</v>
      </c>
      <c r="AI7" s="92">
        <v>0.37</v>
      </c>
      <c r="AL7" s="62" t="s">
        <v>150</v>
      </c>
      <c r="AM7" s="66">
        <v>843</v>
      </c>
      <c r="AN7" s="66">
        <v>910</v>
      </c>
      <c r="AO7" s="66">
        <v>995</v>
      </c>
      <c r="AP7" s="66">
        <v>1071</v>
      </c>
      <c r="AQ7" s="66">
        <v>1134</v>
      </c>
      <c r="AS7" s="522" t="s">
        <v>694</v>
      </c>
      <c r="AT7" s="523">
        <v>337.91961961248523</v>
      </c>
      <c r="AU7" s="523">
        <v>512.89750218429947</v>
      </c>
      <c r="AV7" s="523">
        <v>600.219920591966</v>
      </c>
      <c r="AW7" s="523">
        <v>651.74877698449234</v>
      </c>
      <c r="AX7" s="523">
        <v>640.34446236956182</v>
      </c>
      <c r="AY7" s="523">
        <v>530.98952790229453</v>
      </c>
      <c r="AZ7" s="523">
        <v>520.6997196869255</v>
      </c>
      <c r="BA7" s="523">
        <v>564.73614577794649</v>
      </c>
      <c r="BB7" s="523">
        <v>629.04712152463651</v>
      </c>
      <c r="BC7" s="523">
        <v>623.9859634581527</v>
      </c>
      <c r="BD7" s="523">
        <v>677.33297047543567</v>
      </c>
      <c r="BE7" s="523">
        <v>692.87643890870152</v>
      </c>
      <c r="BG7" s="525" t="s">
        <v>696</v>
      </c>
      <c r="BH7" s="101">
        <v>1218</v>
      </c>
      <c r="BI7" s="101">
        <v>1392</v>
      </c>
      <c r="BJ7" s="101">
        <v>1028</v>
      </c>
      <c r="BK7" s="101">
        <v>606</v>
      </c>
      <c r="BL7" s="101">
        <v>936</v>
      </c>
      <c r="BM7" s="101">
        <v>1012</v>
      </c>
      <c r="BN7" s="101">
        <v>1179</v>
      </c>
      <c r="BO7" s="101">
        <v>972</v>
      </c>
      <c r="BP7" s="101">
        <v>1178</v>
      </c>
      <c r="BQ7" s="101">
        <v>1249</v>
      </c>
      <c r="BR7" s="101">
        <v>1175</v>
      </c>
      <c r="BS7" s="101">
        <v>313</v>
      </c>
      <c r="BU7" s="527" t="s">
        <v>583</v>
      </c>
      <c r="BV7" s="529">
        <v>9.9827399999999997</v>
      </c>
      <c r="BW7" s="529">
        <v>10.334099999999999</v>
      </c>
      <c r="BX7" s="529">
        <v>12.574999999999999</v>
      </c>
      <c r="BY7" s="529">
        <v>6.9805200000000003</v>
      </c>
      <c r="BZ7" s="529">
        <v>8.1730800000000006</v>
      </c>
      <c r="CA7" s="529">
        <v>9.13462</v>
      </c>
      <c r="CB7" s="529">
        <v>8.4044349999999994</v>
      </c>
      <c r="CC7" s="529">
        <v>9.9682200000000005</v>
      </c>
      <c r="CD7" s="529">
        <v>12.41765</v>
      </c>
      <c r="CE7" s="529">
        <v>10.39415</v>
      </c>
      <c r="CF7" s="529">
        <v>10.8025</v>
      </c>
      <c r="CG7" s="529">
        <v>12.1212</v>
      </c>
      <c r="CH7" s="529"/>
      <c r="CI7" s="526" t="s">
        <v>706</v>
      </c>
      <c r="CJ7" s="75">
        <v>8.5558092240151513</v>
      </c>
      <c r="CK7" s="75">
        <v>10.292939852582464</v>
      </c>
      <c r="CL7" s="75">
        <v>11.410969788936285</v>
      </c>
      <c r="CM7" s="75">
        <v>6.9131003219172529</v>
      </c>
      <c r="CN7" s="75">
        <v>7.9546169863929173</v>
      </c>
      <c r="CO7" s="75">
        <v>8.9527456484355969</v>
      </c>
      <c r="CP7" s="75">
        <v>10.147509832038274</v>
      </c>
      <c r="CQ7" s="75">
        <v>10.877353815116155</v>
      </c>
      <c r="CR7" s="75">
        <v>12.305245517540984</v>
      </c>
      <c r="CS7" s="75">
        <v>13.856215468613787</v>
      </c>
      <c r="CT7" s="75">
        <v>13.88256071502418</v>
      </c>
      <c r="CU7" s="75">
        <v>3.4109703481230462</v>
      </c>
      <c r="CW7" s="526" t="s">
        <v>706</v>
      </c>
      <c r="CX7" s="101">
        <v>1101</v>
      </c>
      <c r="CY7" s="101">
        <v>1367</v>
      </c>
      <c r="CZ7" s="101">
        <v>1271</v>
      </c>
      <c r="DA7" s="101">
        <v>1086</v>
      </c>
      <c r="DB7" s="101">
        <v>1297</v>
      </c>
      <c r="DC7" s="101">
        <v>1455</v>
      </c>
      <c r="DD7" s="101">
        <v>1545</v>
      </c>
      <c r="DE7" s="101">
        <v>1598</v>
      </c>
      <c r="DF7" s="101">
        <v>1855</v>
      </c>
      <c r="DG7" s="101">
        <v>2099</v>
      </c>
      <c r="DH7" s="101">
        <v>2004</v>
      </c>
      <c r="DI7" s="101">
        <v>601</v>
      </c>
      <c r="DK7" s="534" t="s">
        <v>714</v>
      </c>
      <c r="DL7" s="529">
        <f t="shared" ref="DL7:DW7" si="2">DL20/SUM(DL$20:DL$23)*DL$11</f>
        <v>4.1934532589289795</v>
      </c>
      <c r="DM7" s="529">
        <f t="shared" si="2"/>
        <v>3.7147835690176323</v>
      </c>
      <c r="DN7" s="529">
        <f t="shared" si="2"/>
        <v>5.1900500420711966</v>
      </c>
      <c r="DO7" s="529">
        <f t="shared" si="2"/>
        <v>2.4799357222156795</v>
      </c>
      <c r="DP7" s="529">
        <f t="shared" si="2"/>
        <v>3.5061977835833562</v>
      </c>
      <c r="DQ7" s="529">
        <f t="shared" si="2"/>
        <v>3.5762557564327162</v>
      </c>
      <c r="DR7" s="529">
        <f t="shared" si="2"/>
        <v>2.9886396650791038</v>
      </c>
      <c r="DS7" s="529">
        <f t="shared" si="2"/>
        <v>4.3180513700780283</v>
      </c>
      <c r="DT7" s="529">
        <f t="shared" si="2"/>
        <v>5.2227326372017471</v>
      </c>
      <c r="DU7" s="529">
        <f t="shared" si="2"/>
        <v>4.2785049864374995</v>
      </c>
      <c r="DV7" s="529">
        <f t="shared" si="2"/>
        <v>4.21130029755831</v>
      </c>
      <c r="DW7" s="529">
        <f t="shared" si="2"/>
        <v>4.8077044802926832</v>
      </c>
      <c r="DY7" s="446" t="s">
        <v>142</v>
      </c>
      <c r="DZ7" s="447">
        <f>SUM(DZ12:EC12)/SUM($DZ$15:$EC$15)</f>
        <v>0.45627342733767934</v>
      </c>
      <c r="EA7" s="447">
        <f>SUM(DZ14:EC14)/SUM($DZ$15:$EC$15)</f>
        <v>0.41982473844618218</v>
      </c>
      <c r="EB7" s="447">
        <f>SUM(DZ13:EC13)/SUM($DZ$15:$EC$15)</f>
        <v>0.12390183421613854</v>
      </c>
      <c r="EC7" s="536"/>
      <c r="EN7" s="110" t="s">
        <v>108</v>
      </c>
      <c r="EO7" s="66"/>
      <c r="EP7" s="66"/>
      <c r="EQ7" s="66"/>
      <c r="ER7" s="120"/>
      <c r="EU7" s="123" t="s">
        <v>107</v>
      </c>
      <c r="EV7" s="75">
        <v>2987</v>
      </c>
      <c r="EW7" s="75">
        <v>3296</v>
      </c>
      <c r="EX7" s="75">
        <v>3667</v>
      </c>
      <c r="EY7" s="75">
        <v>4062</v>
      </c>
      <c r="EZ7" s="75">
        <v>4504</v>
      </c>
      <c r="FB7" s="62" t="s">
        <v>150</v>
      </c>
      <c r="FC7" s="64">
        <v>0.05</v>
      </c>
      <c r="FD7" s="64">
        <v>0.02</v>
      </c>
      <c r="FE7" s="64">
        <v>8.9999999999999993E-3</v>
      </c>
      <c r="FF7" s="64">
        <v>0.01</v>
      </c>
      <c r="FG7" s="64">
        <v>7.0000000000000001E-3</v>
      </c>
      <c r="FH7" s="92"/>
      <c r="FI7" s="795" t="s">
        <v>620</v>
      </c>
      <c r="FP7" s="494"/>
      <c r="FQ7" s="97"/>
      <c r="FR7" s="97" t="s">
        <v>723</v>
      </c>
      <c r="FS7" s="97" t="s">
        <v>659</v>
      </c>
      <c r="FT7" s="92"/>
      <c r="FU7" s="96" t="s">
        <v>106</v>
      </c>
      <c r="FV7" s="96" t="s">
        <v>565</v>
      </c>
      <c r="FW7" s="96" t="s">
        <v>540</v>
      </c>
      <c r="FX7" s="96" t="s">
        <v>128</v>
      </c>
      <c r="GH7" s="96" t="s">
        <v>106</v>
      </c>
      <c r="GI7" s="94" t="s">
        <v>109</v>
      </c>
      <c r="GJ7" s="94" t="s">
        <v>128</v>
      </c>
      <c r="GK7" s="96" t="s">
        <v>572</v>
      </c>
      <c r="GM7" s="66" t="s">
        <v>372</v>
      </c>
      <c r="GN7" s="66">
        <f t="shared" ref="GN7:GS7" si="3">GN37</f>
        <v>4834.5768492699999</v>
      </c>
      <c r="GO7" s="66">
        <f t="shared" si="3"/>
        <v>4432.5951502800008</v>
      </c>
      <c r="GP7" s="66">
        <f t="shared" si="3"/>
        <v>4676.4207451000002</v>
      </c>
      <c r="GQ7" s="66">
        <f t="shared" si="3"/>
        <v>4639.4461995799993</v>
      </c>
      <c r="GR7" s="66">
        <f t="shared" si="3"/>
        <v>5065.5680963199993</v>
      </c>
      <c r="GS7" s="66">
        <f t="shared" si="3"/>
        <v>5596.3672879999995</v>
      </c>
    </row>
    <row r="8" spans="1:212" ht="13.5" customHeight="1" thickTop="1" thickBot="1" x14ac:dyDescent="0.4">
      <c r="B8" s="70"/>
      <c r="C8" s="509" t="s">
        <v>177</v>
      </c>
      <c r="D8" s="62" t="s">
        <v>620</v>
      </c>
      <c r="E8" s="458" t="s">
        <v>173</v>
      </c>
      <c r="F8" s="490">
        <v>2795.3649999999998</v>
      </c>
      <c r="G8" s="491">
        <v>2036</v>
      </c>
      <c r="L8" s="458"/>
      <c r="M8" s="458" t="s">
        <v>170</v>
      </c>
      <c r="N8" s="458" t="s">
        <v>671</v>
      </c>
      <c r="O8" s="517" t="s">
        <v>167</v>
      </c>
      <c r="P8" s="492">
        <v>11300</v>
      </c>
      <c r="Q8" s="493">
        <v>25908</v>
      </c>
      <c r="S8" s="102" t="s">
        <v>153</v>
      </c>
      <c r="T8" s="103"/>
      <c r="U8" s="104">
        <f>U7/T7-1</f>
        <v>3.687244105409837E-2</v>
      </c>
      <c r="V8" s="104">
        <f>V7/U7-1</f>
        <v>2.5644592412864986E-2</v>
      </c>
      <c r="W8" s="104">
        <f>W7/V7-1</f>
        <v>2.9972879520139051E-2</v>
      </c>
      <c r="X8" s="104">
        <f>X7/W7-1</f>
        <v>5.9473585928033312E-2</v>
      </c>
      <c r="Y8" s="104">
        <f>Y7/X7-1</f>
        <v>5.6454630333748534E-2</v>
      </c>
      <c r="Z8" s="92"/>
      <c r="AA8" s="62" t="s">
        <v>151</v>
      </c>
      <c r="AB8" s="99">
        <f t="shared" si="1"/>
        <v>8.93</v>
      </c>
      <c r="AD8" s="92">
        <v>0.19</v>
      </c>
      <c r="AE8" s="92"/>
      <c r="AF8" s="92"/>
      <c r="AG8" s="92"/>
      <c r="AH8" s="62" t="s">
        <v>152</v>
      </c>
      <c r="AI8" s="92">
        <v>0.25</v>
      </c>
      <c r="AL8" s="108" t="s">
        <v>154</v>
      </c>
      <c r="AM8" s="109">
        <f>SUM(AM6:AM7)</f>
        <v>1652</v>
      </c>
      <c r="AN8" s="109">
        <f>SUM(AN6:AN7)</f>
        <v>1777</v>
      </c>
      <c r="AO8" s="109">
        <f>SUM(AO6:AO7)</f>
        <v>1920</v>
      </c>
      <c r="AP8" s="109">
        <f>SUM(AP6:AP7)</f>
        <v>1972</v>
      </c>
      <c r="AQ8" s="109">
        <f>SUM(AQ6:AQ7)</f>
        <v>2036</v>
      </c>
      <c r="AS8" s="101"/>
      <c r="AT8" s="101"/>
      <c r="AU8" s="101"/>
      <c r="AV8" s="101"/>
      <c r="AW8" s="101"/>
      <c r="AX8" s="101"/>
      <c r="AY8" s="101"/>
      <c r="AZ8" s="101"/>
      <c r="BA8" s="101"/>
      <c r="BB8" s="101"/>
      <c r="BC8" s="101"/>
      <c r="BD8" s="101"/>
      <c r="BE8" s="101"/>
      <c r="BG8" s="526" t="s">
        <v>697</v>
      </c>
      <c r="BH8" s="101">
        <v>1058</v>
      </c>
      <c r="BI8" s="101">
        <v>1491</v>
      </c>
      <c r="BJ8" s="101">
        <v>1132</v>
      </c>
      <c r="BK8" s="101">
        <v>792</v>
      </c>
      <c r="BL8" s="101">
        <v>1192</v>
      </c>
      <c r="BM8" s="101">
        <v>1404</v>
      </c>
      <c r="BN8" s="101">
        <v>1587</v>
      </c>
      <c r="BO8" s="101">
        <v>1528</v>
      </c>
      <c r="BP8" s="101">
        <v>1999</v>
      </c>
      <c r="BQ8" s="101">
        <v>2086</v>
      </c>
      <c r="BR8" s="101">
        <v>2163</v>
      </c>
      <c r="BS8" s="101">
        <v>573</v>
      </c>
      <c r="BU8" s="527" t="s">
        <v>702</v>
      </c>
      <c r="BV8" s="529">
        <v>6.0947223212399999</v>
      </c>
      <c r="BW8" s="529">
        <v>5.6940891000000002</v>
      </c>
      <c r="BX8" s="529">
        <v>7.4591881999999998</v>
      </c>
      <c r="BY8" s="529">
        <v>3.0391369144799998</v>
      </c>
      <c r="BZ8" s="529">
        <v>4.6644952656600003</v>
      </c>
      <c r="CA8" s="529">
        <v>4.8701043837599993</v>
      </c>
      <c r="CB8" s="529">
        <v>4.2423486771249994</v>
      </c>
      <c r="CC8" s="529">
        <v>6.0114048485399998</v>
      </c>
      <c r="CD8" s="529">
        <v>7.2225150224499997</v>
      </c>
      <c r="CE8" s="529">
        <v>5.7046733152499991</v>
      </c>
      <c r="CF8" s="529">
        <v>5.3499111187500006</v>
      </c>
      <c r="CG8" s="529">
        <v>6.2466301170000005</v>
      </c>
      <c r="CH8" s="529"/>
      <c r="CI8" s="526" t="s">
        <v>707</v>
      </c>
      <c r="CJ8" s="75">
        <v>33.825370095268795</v>
      </c>
      <c r="CK8" s="75">
        <v>37.797222316161985</v>
      </c>
      <c r="CL8" s="75">
        <v>39.419591703082503</v>
      </c>
      <c r="CM8" s="75">
        <v>18.799751262615871</v>
      </c>
      <c r="CN8" s="75">
        <v>23.050359094770819</v>
      </c>
      <c r="CO8" s="75">
        <v>28.258013193967315</v>
      </c>
      <c r="CP8" s="75">
        <v>36.167026359366375</v>
      </c>
      <c r="CQ8" s="75">
        <v>30.964424256724403</v>
      </c>
      <c r="CR8" s="75">
        <v>40.570607216253315</v>
      </c>
      <c r="CS8" s="75">
        <v>38.584764878520623</v>
      </c>
      <c r="CT8" s="75">
        <v>45.040262219661585</v>
      </c>
      <c r="CU8" s="75">
        <v>9.10566939933973</v>
      </c>
      <c r="CW8" s="526" t="s">
        <v>707</v>
      </c>
      <c r="CX8" s="101">
        <v>800</v>
      </c>
      <c r="CY8" s="101">
        <v>950</v>
      </c>
      <c r="CZ8" s="101">
        <v>841</v>
      </c>
      <c r="DA8" s="101">
        <v>479</v>
      </c>
      <c r="DB8" s="101">
        <v>623</v>
      </c>
      <c r="DC8" s="101">
        <v>741</v>
      </c>
      <c r="DD8" s="101">
        <v>957</v>
      </c>
      <c r="DE8" s="101">
        <v>768</v>
      </c>
      <c r="DF8" s="101">
        <v>973</v>
      </c>
      <c r="DG8" s="101">
        <v>1001</v>
      </c>
      <c r="DH8" s="101">
        <v>1104</v>
      </c>
      <c r="DI8" s="101">
        <v>222</v>
      </c>
      <c r="DK8" s="527" t="s">
        <v>713</v>
      </c>
      <c r="DL8" s="529">
        <f t="shared" ref="DL8:DW8" si="4">DL21/SUM(DL$20:DL$23)*DL$11</f>
        <v>0.76406139887265312</v>
      </c>
      <c r="DM8" s="529">
        <f t="shared" si="4"/>
        <v>0.68845409773299748</v>
      </c>
      <c r="DN8" s="529">
        <f t="shared" si="4"/>
        <v>0.26553744401294499</v>
      </c>
      <c r="DO8" s="529">
        <f t="shared" si="4"/>
        <v>0.14587857189504</v>
      </c>
      <c r="DP8" s="529">
        <f t="shared" si="4"/>
        <v>6.2610674706845643E-2</v>
      </c>
      <c r="DQ8" s="529">
        <f t="shared" si="4"/>
        <v>0.24713962544453727</v>
      </c>
      <c r="DR8" s="529">
        <f t="shared" si="4"/>
        <v>0.60785891493134325</v>
      </c>
      <c r="DS8" s="529">
        <f t="shared" si="4"/>
        <v>0.89747734358484499</v>
      </c>
      <c r="DT8" s="529">
        <f t="shared" si="4"/>
        <v>1.514398311158871</v>
      </c>
      <c r="DU8" s="529">
        <f t="shared" si="4"/>
        <v>0.98247151540416655</v>
      </c>
      <c r="DV8" s="529">
        <f t="shared" si="4"/>
        <v>0.90464969354956271</v>
      </c>
      <c r="DW8" s="529">
        <f t="shared" si="4"/>
        <v>1.1511405093658538</v>
      </c>
      <c r="EN8" s="123" t="s">
        <v>107</v>
      </c>
      <c r="EO8" s="75">
        <f>AVERAGE(EO26,EO33,EO40,EO48,EO55,EO62,EO69)</f>
        <v>2846.1157142857146</v>
      </c>
      <c r="EP8" s="75">
        <f>AVERAGE(EP26,EP33,EP40,EP48,EP55,EP62,EP69)</f>
        <v>3083.1444285714283</v>
      </c>
      <c r="EQ8" s="75">
        <f>AVERAGE(EQ26,EQ33,EQ40,EQ48,EQ55,EQ62,EQ69)</f>
        <v>3374.42</v>
      </c>
      <c r="ER8" s="75">
        <f>AVERAGE(ER26,ER33,ER40,ER48,ER55,ER62,ER69)</f>
        <v>3886.8910000000001</v>
      </c>
      <c r="ES8" s="75">
        <f>AVERAGE(ES26,ES33,ES40,ES48,ES55,ES62,ES69)</f>
        <v>4220.0079999999998</v>
      </c>
      <c r="EU8" s="102" t="s">
        <v>140</v>
      </c>
      <c r="EV8" s="104">
        <f>EV7/2795.365-1</f>
        <v>6.8554553698711995E-2</v>
      </c>
      <c r="EW8" s="104">
        <f>EW7/EV7-1</f>
        <v>0.10344827586206895</v>
      </c>
      <c r="EX8" s="104">
        <f>EX7/EW7-1</f>
        <v>0.1125606796116505</v>
      </c>
      <c r="EY8" s="104">
        <f>EY7/EX7-1</f>
        <v>0.10771748022907013</v>
      </c>
      <c r="EZ8" s="104">
        <f>EZ7/EY7-1</f>
        <v>0.1088133924175283</v>
      </c>
      <c r="FB8" s="105" t="s">
        <v>154</v>
      </c>
      <c r="FC8" s="106">
        <v>5.7000000000000002E-2</v>
      </c>
      <c r="FD8" s="107">
        <v>2.3E-2</v>
      </c>
      <c r="FE8" s="107">
        <v>1.0999999999999999E-2</v>
      </c>
      <c r="FF8" s="107">
        <v>1.9E-2</v>
      </c>
      <c r="FG8" s="107">
        <v>2.4E-2</v>
      </c>
      <c r="FH8" s="92"/>
      <c r="FI8" s="78" t="s">
        <v>621</v>
      </c>
      <c r="FJ8" s="801">
        <v>25.9</v>
      </c>
      <c r="FK8" s="801">
        <v>18.8</v>
      </c>
      <c r="FL8" s="792"/>
      <c r="FM8" s="801">
        <v>54.8</v>
      </c>
      <c r="FN8" s="801">
        <v>37.1</v>
      </c>
      <c r="FP8" s="495" t="s">
        <v>746</v>
      </c>
      <c r="FQ8" s="100" t="s">
        <v>589</v>
      </c>
      <c r="FR8" s="100" t="s">
        <v>644</v>
      </c>
      <c r="FS8" s="100" t="s">
        <v>660</v>
      </c>
      <c r="FT8" s="92"/>
      <c r="FU8" s="62">
        <f>FU24</f>
        <v>2014</v>
      </c>
      <c r="FV8" s="455" t="str">
        <f>FV24</f>
        <v>Q1</v>
      </c>
      <c r="FW8" s="455" t="str">
        <f>FW24</f>
        <v>1/1 - 3/31</v>
      </c>
      <c r="FX8" s="457">
        <f>FX24</f>
        <v>178.33333333333334</v>
      </c>
      <c r="GH8" s="62">
        <f t="shared" ref="GH8:GJ9" si="5">GH24</f>
        <v>2013</v>
      </c>
      <c r="GI8" s="457">
        <f t="shared" si="5"/>
        <v>6.68</v>
      </c>
      <c r="GJ8" s="469">
        <f t="shared" si="5"/>
        <v>6.66</v>
      </c>
      <c r="GK8" s="64">
        <f>GI8/GJ8-1</f>
        <v>3.0030030030030463E-3</v>
      </c>
      <c r="GM8" s="183" t="s">
        <v>585</v>
      </c>
      <c r="GN8" s="474">
        <f t="shared" ref="GN8:GS8" si="6">GN39</f>
        <v>16.10677326364781</v>
      </c>
      <c r="GO8" s="474">
        <f t="shared" si="6"/>
        <v>11.857914470438114</v>
      </c>
      <c r="GP8" s="474">
        <f t="shared" si="6"/>
        <v>11.233861773233818</v>
      </c>
      <c r="GQ8" s="474">
        <f t="shared" si="6"/>
        <v>11.597107874926257</v>
      </c>
      <c r="GR8" s="474">
        <f t="shared" si="6"/>
        <v>12.853509506013699</v>
      </c>
      <c r="GS8" s="474">
        <f t="shared" si="6"/>
        <v>13.880223438081298</v>
      </c>
      <c r="GU8" s="538" t="s">
        <v>848</v>
      </c>
      <c r="GV8" s="921">
        <v>1500</v>
      </c>
      <c r="GW8" s="921">
        <f ca="1">'LBO Model'!K15</f>
        <v>750.00033463009311</v>
      </c>
      <c r="GX8" s="644">
        <v>2.2499999999999999E-2</v>
      </c>
      <c r="GY8" s="643">
        <f>'LBO Model'!M15</f>
        <v>3.7069000000000005E-2</v>
      </c>
      <c r="GZ8" s="641" t="s">
        <v>837</v>
      </c>
      <c r="HA8" s="645">
        <v>7.4406607060772201</v>
      </c>
    </row>
    <row r="9" spans="1:212" ht="13.5" customHeight="1" thickTop="1" x14ac:dyDescent="0.35">
      <c r="B9" s="70" t="s">
        <v>620</v>
      </c>
      <c r="C9" s="509"/>
      <c r="E9" s="509"/>
      <c r="F9" s="510"/>
      <c r="G9" s="511"/>
      <c r="L9" s="110"/>
      <c r="M9" s="62" t="s">
        <v>688</v>
      </c>
      <c r="N9" s="62" t="s">
        <v>671</v>
      </c>
      <c r="O9" s="518" t="s">
        <v>155</v>
      </c>
      <c r="P9" s="492">
        <v>6743</v>
      </c>
      <c r="Q9" s="493">
        <v>2261</v>
      </c>
      <c r="S9" s="66" t="s">
        <v>592</v>
      </c>
      <c r="T9" s="101">
        <v>29</v>
      </c>
      <c r="U9" s="101">
        <v>32</v>
      </c>
      <c r="V9" s="101">
        <v>36</v>
      </c>
      <c r="W9" s="101">
        <v>40</v>
      </c>
      <c r="X9" s="101">
        <v>44</v>
      </c>
      <c r="Y9" s="101">
        <v>47</v>
      </c>
      <c r="Z9" s="92"/>
      <c r="AA9" s="62" t="s">
        <v>162</v>
      </c>
      <c r="AB9" s="99">
        <f t="shared" si="1"/>
        <v>8.4599999999999991</v>
      </c>
      <c r="AD9" s="92">
        <v>0.18</v>
      </c>
      <c r="AE9" s="92"/>
      <c r="AF9" s="92"/>
      <c r="AG9" s="92"/>
      <c r="AH9" s="62" t="s">
        <v>591</v>
      </c>
      <c r="AI9" s="92">
        <v>0.21</v>
      </c>
      <c r="AS9" s="101"/>
      <c r="AT9" s="101"/>
      <c r="AU9" s="101"/>
      <c r="AV9" s="101"/>
      <c r="AW9" s="101"/>
      <c r="AX9" s="101"/>
      <c r="AY9" s="101"/>
      <c r="AZ9" s="101"/>
      <c r="BA9" s="101"/>
      <c r="BB9" s="101"/>
      <c r="BC9" s="101"/>
      <c r="BD9" s="101"/>
      <c r="BE9" s="101"/>
      <c r="BG9" s="526" t="s">
        <v>698</v>
      </c>
      <c r="BH9" s="101">
        <v>12</v>
      </c>
      <c r="BI9" s="101">
        <v>14</v>
      </c>
      <c r="BJ9" s="101">
        <v>8</v>
      </c>
      <c r="BK9" s="101">
        <v>6</v>
      </c>
      <c r="BL9" s="101">
        <v>13</v>
      </c>
      <c r="BM9" s="101">
        <v>19</v>
      </c>
      <c r="BN9" s="101">
        <v>28</v>
      </c>
      <c r="BO9" s="101">
        <v>56</v>
      </c>
      <c r="BP9" s="101">
        <v>48</v>
      </c>
      <c r="BQ9" s="101">
        <v>39</v>
      </c>
      <c r="BR9" s="101">
        <v>24</v>
      </c>
      <c r="BS9" s="101">
        <v>8</v>
      </c>
      <c r="BU9" s="527" t="s">
        <v>703</v>
      </c>
      <c r="BV9" s="529">
        <v>3.8880176787599998</v>
      </c>
      <c r="BW9" s="529">
        <v>4.6400108999999992</v>
      </c>
      <c r="BX9" s="529">
        <v>5.1158117999999995</v>
      </c>
      <c r="BY9" s="529">
        <v>3.9413830855200005</v>
      </c>
      <c r="BZ9" s="529">
        <v>3.5085847343400003</v>
      </c>
      <c r="CA9" s="529">
        <v>4.2645156162400006</v>
      </c>
      <c r="CB9" s="529">
        <v>4.162086322875</v>
      </c>
      <c r="CC9" s="529">
        <v>3.9568151514600007</v>
      </c>
      <c r="CD9" s="529">
        <v>5.1951349775500004</v>
      </c>
      <c r="CE9" s="529">
        <v>4.6894766847500007</v>
      </c>
      <c r="CF9" s="529">
        <v>5.4525888812499996</v>
      </c>
      <c r="CG9" s="529">
        <v>5.8745698829999995</v>
      </c>
      <c r="CH9" s="536"/>
      <c r="CI9" s="526" t="s">
        <v>708</v>
      </c>
      <c r="CJ9" s="75">
        <v>131.49360371238208</v>
      </c>
      <c r="CK9" s="75">
        <v>157.9165227019927</v>
      </c>
      <c r="CL9" s="75">
        <v>103.12484344697943</v>
      </c>
      <c r="CM9" s="75">
        <v>48.99655305362856</v>
      </c>
      <c r="CN9" s="75">
        <v>98.72821627209575</v>
      </c>
      <c r="CO9" s="75">
        <v>125.87164022954926</v>
      </c>
      <c r="CP9" s="75">
        <v>139.29395330181165</v>
      </c>
      <c r="CQ9" s="75">
        <v>153.16911575110177</v>
      </c>
      <c r="CR9" s="75">
        <v>202.37970071035642</v>
      </c>
      <c r="CS9" s="75">
        <v>166.7223215561209</v>
      </c>
      <c r="CT9" s="75">
        <v>175.00683539387234</v>
      </c>
      <c r="CU9" s="75">
        <v>51.039417079132846</v>
      </c>
      <c r="CW9" s="526" t="s">
        <v>708</v>
      </c>
      <c r="CX9" s="101">
        <v>730</v>
      </c>
      <c r="CY9" s="101">
        <v>937</v>
      </c>
      <c r="CZ9" s="101">
        <v>535</v>
      </c>
      <c r="DA9" s="101">
        <v>293</v>
      </c>
      <c r="DB9" s="101">
        <v>649</v>
      </c>
      <c r="DC9" s="101">
        <v>757</v>
      </c>
      <c r="DD9" s="101">
        <v>804</v>
      </c>
      <c r="DE9" s="101">
        <v>864</v>
      </c>
      <c r="DF9" s="101">
        <v>1117</v>
      </c>
      <c r="DG9" s="101">
        <v>978</v>
      </c>
      <c r="DH9" s="101">
        <v>1004</v>
      </c>
      <c r="DI9" s="101">
        <v>283</v>
      </c>
      <c r="DK9" s="527" t="s">
        <v>712</v>
      </c>
      <c r="DL9" s="529">
        <f t="shared" ref="DL9:DW9" si="7">DL22/SUM(DL$20:DL$23)*DL$11</f>
        <v>0.31983965534204084</v>
      </c>
      <c r="DM9" s="529">
        <f t="shared" si="7"/>
        <v>0.58805454181360206</v>
      </c>
      <c r="DN9" s="529">
        <f t="shared" si="7"/>
        <v>0.91731117022653719</v>
      </c>
      <c r="DO9" s="529">
        <f t="shared" si="7"/>
        <v>0.19450476252672</v>
      </c>
      <c r="DP9" s="529">
        <f t="shared" si="7"/>
        <v>0.7513280964821476</v>
      </c>
      <c r="DQ9" s="529">
        <f t="shared" si="7"/>
        <v>0.85771987654280579</v>
      </c>
      <c r="DR9" s="529">
        <f t="shared" si="7"/>
        <v>0.51921282317052231</v>
      </c>
      <c r="DS9" s="529">
        <f t="shared" si="7"/>
        <v>0.49107250875397185</v>
      </c>
      <c r="DT9" s="529">
        <f t="shared" si="7"/>
        <v>0.48538407408938167</v>
      </c>
      <c r="DU9" s="529">
        <f t="shared" si="7"/>
        <v>0.44369681340833328</v>
      </c>
      <c r="DV9" s="529">
        <f t="shared" si="7"/>
        <v>0.23396112764212829</v>
      </c>
      <c r="DW9" s="529">
        <f t="shared" si="7"/>
        <v>0.28778512734146344</v>
      </c>
      <c r="EN9" s="448" t="s">
        <v>140</v>
      </c>
      <c r="EO9" s="104">
        <f>EO8/2795.365-1</f>
        <v>1.8155308621848887E-2</v>
      </c>
      <c r="EP9" s="104">
        <f>EP8/EO8-1</f>
        <v>8.3281474852191728E-2</v>
      </c>
      <c r="EQ9" s="104">
        <f>EQ8/EP8-1</f>
        <v>9.4473540950377632E-2</v>
      </c>
      <c r="ER9" s="104">
        <f>ER8/EQ8-1</f>
        <v>0.15186935828972081</v>
      </c>
      <c r="ES9" s="104">
        <f>ES8/ER8-1</f>
        <v>8.5702686285774377E-2</v>
      </c>
      <c r="EU9" s="123" t="s">
        <v>111</v>
      </c>
      <c r="EV9" s="66">
        <v>458</v>
      </c>
      <c r="EW9" s="66">
        <v>533</v>
      </c>
      <c r="EX9" s="66">
        <v>624</v>
      </c>
      <c r="EY9" s="66">
        <v>722</v>
      </c>
      <c r="EZ9" s="66">
        <v>821</v>
      </c>
      <c r="FB9" s="92"/>
      <c r="FC9" s="92"/>
      <c r="FD9" s="92"/>
      <c r="FE9" s="92"/>
      <c r="FF9" s="92"/>
      <c r="FG9" s="92"/>
      <c r="FH9" s="92"/>
      <c r="FI9" s="73" t="s">
        <v>169</v>
      </c>
      <c r="FJ9" s="792">
        <v>14.8</v>
      </c>
      <c r="FK9" s="792">
        <v>11.1</v>
      </c>
      <c r="FL9" s="792"/>
      <c r="FM9" s="792">
        <v>66.8</v>
      </c>
      <c r="FN9" s="792">
        <v>53</v>
      </c>
      <c r="FP9" s="70" t="s">
        <v>598</v>
      </c>
      <c r="FQ9" s="66" t="s">
        <v>645</v>
      </c>
      <c r="FR9" s="801">
        <v>22.3</v>
      </c>
      <c r="FS9" s="843">
        <v>0.26</v>
      </c>
      <c r="FT9" s="92"/>
      <c r="FV9" s="455" t="str">
        <f>FV25</f>
        <v>Q2</v>
      </c>
      <c r="FW9" s="455" t="str">
        <f>FW25</f>
        <v>4/1 - 6/30</v>
      </c>
      <c r="FX9" s="457">
        <f>FX25</f>
        <v>186</v>
      </c>
      <c r="GH9" s="62">
        <f t="shared" si="5"/>
        <v>2014</v>
      </c>
      <c r="GI9" s="457">
        <f t="shared" si="5"/>
        <v>6.53</v>
      </c>
      <c r="GJ9" s="469">
        <f t="shared" si="5"/>
        <v>6.51</v>
      </c>
      <c r="GK9" s="64">
        <f>GI9/GJ9-1</f>
        <v>3.0721966205837781E-3</v>
      </c>
      <c r="HC9" s="86"/>
    </row>
    <row r="10" spans="1:212" ht="13.5" customHeight="1" thickBot="1" x14ac:dyDescent="0.4">
      <c r="C10" s="81" t="s">
        <v>621</v>
      </c>
      <c r="D10" s="81" t="s">
        <v>620</v>
      </c>
      <c r="E10" s="509" t="s">
        <v>151</v>
      </c>
      <c r="F10" s="510">
        <v>3904.384</v>
      </c>
      <c r="G10" s="511">
        <v>2198</v>
      </c>
      <c r="H10" s="66" t="str">
        <f>FI8</f>
        <v>Chipotle</v>
      </c>
      <c r="I10" s="66">
        <f>FJ8</f>
        <v>25.9</v>
      </c>
      <c r="J10" s="66">
        <f>FK8</f>
        <v>18.8</v>
      </c>
      <c r="M10" s="62" t="s">
        <v>166</v>
      </c>
      <c r="N10" s="62" t="s">
        <v>689</v>
      </c>
      <c r="O10" s="518" t="s">
        <v>167</v>
      </c>
      <c r="P10" s="492">
        <v>2220</v>
      </c>
      <c r="Q10" s="493">
        <v>2819</v>
      </c>
      <c r="R10" s="65"/>
      <c r="S10" s="102" t="s">
        <v>153</v>
      </c>
      <c r="T10" s="104"/>
      <c r="U10" s="104">
        <f>U9/T9-1</f>
        <v>0.10344827586206895</v>
      </c>
      <c r="V10" s="104">
        <f>V9/U9-1</f>
        <v>0.125</v>
      </c>
      <c r="W10" s="104">
        <f>W9/V9-1</f>
        <v>0.11111111111111116</v>
      </c>
      <c r="X10" s="104">
        <f>X9/W9-1</f>
        <v>0.10000000000000009</v>
      </c>
      <c r="Y10" s="104">
        <f>Y9/X9-1</f>
        <v>6.8181818181818121E-2</v>
      </c>
      <c r="Z10" s="92"/>
      <c r="AA10" s="62" t="s">
        <v>155</v>
      </c>
      <c r="AB10" s="99">
        <f t="shared" si="1"/>
        <v>5.64</v>
      </c>
      <c r="AD10" s="92">
        <v>0.12</v>
      </c>
      <c r="AE10" s="92"/>
      <c r="AF10" s="92"/>
      <c r="AG10" s="92"/>
      <c r="AH10" s="62" t="s">
        <v>156</v>
      </c>
      <c r="AI10" s="92">
        <v>0.18</v>
      </c>
      <c r="AS10" s="101"/>
      <c r="AT10" s="101"/>
      <c r="AU10" s="101"/>
      <c r="AV10" s="101"/>
      <c r="AW10" s="101"/>
      <c r="AX10" s="101"/>
      <c r="AY10" s="101"/>
      <c r="AZ10" s="101"/>
      <c r="BA10" s="101"/>
      <c r="BB10" s="101"/>
      <c r="BC10" s="101"/>
      <c r="BD10" s="101"/>
      <c r="BE10" s="101"/>
      <c r="BG10" s="527" t="s">
        <v>699</v>
      </c>
      <c r="BH10" s="101">
        <v>498</v>
      </c>
      <c r="BI10" s="101">
        <v>620</v>
      </c>
      <c r="BJ10" s="101">
        <v>542</v>
      </c>
      <c r="BK10" s="101">
        <v>470</v>
      </c>
      <c r="BL10" s="101">
        <v>608</v>
      </c>
      <c r="BM10" s="101">
        <v>664</v>
      </c>
      <c r="BN10" s="101">
        <v>693</v>
      </c>
      <c r="BO10" s="101">
        <v>829</v>
      </c>
      <c r="BP10" s="101">
        <v>965</v>
      </c>
      <c r="BQ10" s="101">
        <v>991</v>
      </c>
      <c r="BR10" s="101">
        <v>988</v>
      </c>
      <c r="BS10" s="101">
        <v>291</v>
      </c>
      <c r="BU10" s="528" t="s">
        <v>704</v>
      </c>
      <c r="BV10" s="115">
        <v>0.61052600000000001</v>
      </c>
      <c r="BW10" s="115">
        <v>0.55100000000000005</v>
      </c>
      <c r="BX10" s="115">
        <v>0.59317600000000004</v>
      </c>
      <c r="BY10" s="115">
        <v>0.43537399999999998</v>
      </c>
      <c r="BZ10" s="115">
        <v>0.57071450000000001</v>
      </c>
      <c r="CA10" s="115">
        <v>0.53314799999999996</v>
      </c>
      <c r="CB10" s="115">
        <v>0.50477499999999997</v>
      </c>
      <c r="CC10" s="115">
        <v>0.60305699999999995</v>
      </c>
      <c r="CD10" s="115">
        <v>0.58163299999999996</v>
      </c>
      <c r="CE10" s="115">
        <v>0.54883499999999996</v>
      </c>
      <c r="CF10" s="115">
        <v>0.49524750000000001</v>
      </c>
      <c r="CG10" s="115">
        <v>0.51534750000000007</v>
      </c>
      <c r="CI10" s="526" t="s">
        <v>709</v>
      </c>
      <c r="CJ10" s="75">
        <v>99.832736968333677</v>
      </c>
      <c r="CK10" s="75">
        <v>122.34077412926254</v>
      </c>
      <c r="CL10" s="75">
        <v>52.689395061001946</v>
      </c>
      <c r="CM10" s="75">
        <v>26.00164236183825</v>
      </c>
      <c r="CN10" s="75">
        <v>103.26075364674094</v>
      </c>
      <c r="CO10" s="75">
        <v>88.15832992804738</v>
      </c>
      <c r="CP10" s="75">
        <v>104.0909885067847</v>
      </c>
      <c r="CQ10" s="75">
        <v>105.37788817705663</v>
      </c>
      <c r="CR10" s="75">
        <v>159.68717655584842</v>
      </c>
      <c r="CS10" s="75">
        <v>162.57633109674217</v>
      </c>
      <c r="CT10" s="75">
        <v>133.51566067144171</v>
      </c>
      <c r="CU10" s="75">
        <v>55.638367173404298</v>
      </c>
      <c r="CW10" s="526" t="s">
        <v>709</v>
      </c>
      <c r="CX10" s="101">
        <v>176</v>
      </c>
      <c r="CY10" s="101">
        <v>229</v>
      </c>
      <c r="CZ10" s="101">
        <v>95</v>
      </c>
      <c r="DA10" s="101">
        <v>50</v>
      </c>
      <c r="DB10" s="101">
        <v>213</v>
      </c>
      <c r="DC10" s="101">
        <v>175</v>
      </c>
      <c r="DD10" s="101">
        <v>207</v>
      </c>
      <c r="DE10" s="101">
        <v>197</v>
      </c>
      <c r="DF10" s="101">
        <v>282</v>
      </c>
      <c r="DG10" s="101">
        <v>311</v>
      </c>
      <c r="DH10" s="101">
        <v>257</v>
      </c>
      <c r="DI10" s="101">
        <v>106</v>
      </c>
      <c r="DK10" s="528" t="s">
        <v>241</v>
      </c>
      <c r="DL10" s="555">
        <f t="shared" ref="DL10:DW10" si="8">DL23/SUM(DL$20:DL$23)*DL$11</f>
        <v>0.81736800809632648</v>
      </c>
      <c r="DM10" s="555">
        <f t="shared" si="8"/>
        <v>0.70279689143576829</v>
      </c>
      <c r="DN10" s="555">
        <f t="shared" si="8"/>
        <v>1.0862895436893203</v>
      </c>
      <c r="DO10" s="555">
        <f t="shared" si="8"/>
        <v>0.21881785784255997</v>
      </c>
      <c r="DP10" s="555">
        <f t="shared" si="8"/>
        <v>0.34435871088765102</v>
      </c>
      <c r="DQ10" s="555">
        <f t="shared" si="8"/>
        <v>0.18898912533994025</v>
      </c>
      <c r="DR10" s="555">
        <f t="shared" si="8"/>
        <v>0.12663727394402982</v>
      </c>
      <c r="DS10" s="555">
        <f t="shared" si="8"/>
        <v>0.30480362612315492</v>
      </c>
      <c r="DT10" s="555">
        <f t="shared" si="8"/>
        <v>0</v>
      </c>
      <c r="DU10" s="555">
        <f t="shared" si="8"/>
        <v>0</v>
      </c>
      <c r="DV10" s="555">
        <f t="shared" si="8"/>
        <v>0</v>
      </c>
      <c r="DW10" s="555">
        <f t="shared" si="8"/>
        <v>0</v>
      </c>
      <c r="EB10" s="62">
        <v>2016</v>
      </c>
      <c r="EC10" s="62">
        <v>2017</v>
      </c>
      <c r="EN10" s="123" t="s">
        <v>111</v>
      </c>
      <c r="EO10" s="66">
        <f>AVERAGE(EO27,EO34,EO41,EO49,EO56,EO63,EO70)</f>
        <v>440.8642857142857</v>
      </c>
      <c r="EP10" s="66">
        <f>AVERAGE(EP27,EP34,EP41,EP49,EP56,EP63,EP70)</f>
        <v>489.37442857142861</v>
      </c>
      <c r="EQ10" s="66">
        <f>AVERAGE(EQ27,EQ34,EQ41,EQ49,EQ56,EQ63,EQ70)</f>
        <v>561.11299999999994</v>
      </c>
      <c r="ER10" s="66">
        <f>AVERAGE(ER27,ER34,ER41,ER49,ER56,ER63,ER70)</f>
        <v>631.64</v>
      </c>
      <c r="ES10" s="66">
        <f>AVERAGE(ES27,ES34,ES41,ES49,ES56,ES63,ES70)</f>
        <v>692.13300000000004</v>
      </c>
      <c r="EU10" s="448" t="s">
        <v>140</v>
      </c>
      <c r="EV10" s="104"/>
      <c r="EW10" s="104">
        <f>EW9/EV9-1</f>
        <v>0.16375545851528384</v>
      </c>
      <c r="EX10" s="104">
        <f>EX9/EW9-1</f>
        <v>0.1707317073170731</v>
      </c>
      <c r="EY10" s="104">
        <f>EY9/EX9-1</f>
        <v>0.15705128205128216</v>
      </c>
      <c r="EZ10" s="104">
        <f>EZ9/EY9-1</f>
        <v>0.13711911357340711</v>
      </c>
      <c r="FB10" s="92" t="s">
        <v>884</v>
      </c>
      <c r="FG10" s="92"/>
      <c r="FH10" s="92" t="s">
        <v>135</v>
      </c>
      <c r="FI10" s="73" t="s">
        <v>622</v>
      </c>
      <c r="FJ10" s="792">
        <v>24.7</v>
      </c>
      <c r="FK10" s="792">
        <v>21.2</v>
      </c>
      <c r="FL10" s="792"/>
      <c r="FM10" s="792">
        <v>44.2</v>
      </c>
      <c r="FN10" s="792">
        <v>36.299999999999997</v>
      </c>
      <c r="FP10" s="66" t="s">
        <v>646</v>
      </c>
      <c r="FQ10" s="66" t="s">
        <v>647</v>
      </c>
      <c r="FR10" s="792">
        <v>20.5</v>
      </c>
      <c r="FS10" s="92">
        <v>0.27</v>
      </c>
      <c r="FT10" s="92"/>
      <c r="FV10" s="455" t="s">
        <v>556</v>
      </c>
      <c r="FW10" s="455" t="str">
        <f t="shared" ref="FW10:FX17" si="9">FW26</f>
        <v>7/1 - 9/30</v>
      </c>
      <c r="FX10" s="457">
        <f t="shared" si="9"/>
        <v>167</v>
      </c>
      <c r="GH10" s="62">
        <f>GH27</f>
        <v>2016</v>
      </c>
      <c r="GI10" s="457">
        <f>GI27</f>
        <v>6.74</v>
      </c>
      <c r="GJ10" s="469">
        <f>GJ27</f>
        <v>6.7</v>
      </c>
      <c r="GK10" s="64">
        <f>GI10/GJ10-1</f>
        <v>5.9701492537314049E-3</v>
      </c>
      <c r="GU10" s="538" t="s">
        <v>849</v>
      </c>
      <c r="GV10" s="921">
        <v>2250</v>
      </c>
      <c r="GW10" s="921">
        <f ca="1">'LBO Model'!K16</f>
        <v>2250.0009025775867</v>
      </c>
      <c r="GX10" s="644">
        <v>2.2499999999999999E-2</v>
      </c>
      <c r="GY10" s="643">
        <f>'LBO Model'!M16</f>
        <v>6.3E-2</v>
      </c>
      <c r="GZ10" s="642" t="s">
        <v>838</v>
      </c>
      <c r="HA10" s="645">
        <v>7.4406607060772201</v>
      </c>
      <c r="HC10" s="86"/>
    </row>
    <row r="11" spans="1:212" ht="13.5" customHeight="1" thickTop="1" thickBot="1" x14ac:dyDescent="0.4">
      <c r="C11" s="81" t="s">
        <v>627</v>
      </c>
      <c r="D11" s="81" t="s">
        <v>620</v>
      </c>
      <c r="E11" s="509" t="s">
        <v>161</v>
      </c>
      <c r="F11" s="510">
        <v>487.47399999999999</v>
      </c>
      <c r="G11" s="511">
        <v>530</v>
      </c>
      <c r="H11" s="66" t="str">
        <f>FI15</f>
        <v>Noodles &amp; Company</v>
      </c>
      <c r="I11" s="66">
        <f>FJ15</f>
        <v>8.1</v>
      </c>
      <c r="J11" s="66">
        <f>FK15</f>
        <v>7.2</v>
      </c>
      <c r="M11" s="62" t="s">
        <v>168</v>
      </c>
      <c r="N11" s="62" t="s">
        <v>689</v>
      </c>
      <c r="O11" s="518" t="s">
        <v>159</v>
      </c>
      <c r="P11" s="492">
        <v>1437</v>
      </c>
      <c r="Q11" s="493">
        <v>1500</v>
      </c>
      <c r="S11" s="112" t="s">
        <v>158</v>
      </c>
      <c r="T11" s="113">
        <f t="shared" ref="T11:Y11" si="10">T9/T7</f>
        <v>0.14574087373161468</v>
      </c>
      <c r="U11" s="113">
        <f t="shared" si="10"/>
        <v>0.15509865001165665</v>
      </c>
      <c r="V11" s="113">
        <f t="shared" si="10"/>
        <v>0.1701232401105234</v>
      </c>
      <c r="W11" s="113">
        <f t="shared" si="10"/>
        <v>0.18352504818679546</v>
      </c>
      <c r="X11" s="113">
        <f t="shared" si="10"/>
        <v>0.19054514967321509</v>
      </c>
      <c r="Y11" s="113">
        <f t="shared" si="10"/>
        <v>0.19266029849228969</v>
      </c>
      <c r="Z11" s="92"/>
      <c r="AA11" s="62" t="s">
        <v>157</v>
      </c>
      <c r="AB11" s="99">
        <f t="shared" si="1"/>
        <v>5.17</v>
      </c>
      <c r="AD11" s="92">
        <v>0.11</v>
      </c>
      <c r="AE11" s="92"/>
      <c r="AF11" s="92"/>
      <c r="AG11" s="92"/>
      <c r="AH11" s="62" t="s">
        <v>155</v>
      </c>
      <c r="AI11" s="92">
        <v>0.17</v>
      </c>
      <c r="BG11" s="528" t="s">
        <v>700</v>
      </c>
      <c r="BH11" s="111">
        <v>78</v>
      </c>
      <c r="BI11" s="111">
        <v>72</v>
      </c>
      <c r="BJ11" s="111">
        <v>69</v>
      </c>
      <c r="BK11" s="111">
        <v>50</v>
      </c>
      <c r="BL11" s="111">
        <v>61</v>
      </c>
      <c r="BM11" s="111">
        <v>67</v>
      </c>
      <c r="BN11" s="111">
        <v>74</v>
      </c>
      <c r="BO11" s="111">
        <v>85</v>
      </c>
      <c r="BP11" s="111">
        <v>102</v>
      </c>
      <c r="BQ11" s="111">
        <v>78</v>
      </c>
      <c r="BR11" s="111">
        <v>87</v>
      </c>
      <c r="BS11" s="111">
        <v>39</v>
      </c>
      <c r="CI11" s="526" t="s">
        <v>710</v>
      </c>
      <c r="CJ11" s="75">
        <v>54.356999999999999</v>
      </c>
      <c r="CK11" s="75">
        <v>90.694562000000033</v>
      </c>
      <c r="CL11" s="75">
        <v>32.747287000000007</v>
      </c>
      <c r="CM11" s="75">
        <v>12.895</v>
      </c>
      <c r="CN11" s="75">
        <v>29.147638000000001</v>
      </c>
      <c r="CO11" s="75">
        <v>39.050895000000004</v>
      </c>
      <c r="CP11" s="75">
        <v>59.522552999999988</v>
      </c>
      <c r="CQ11" s="75">
        <v>40.974019000000013</v>
      </c>
      <c r="CR11" s="75">
        <v>75.383409999999998</v>
      </c>
      <c r="CS11" s="75">
        <v>58.038000000000004</v>
      </c>
      <c r="CT11" s="75">
        <v>69.492874000000029</v>
      </c>
      <c r="CU11" s="75">
        <v>12.423999999999998</v>
      </c>
      <c r="CW11" s="526" t="s">
        <v>710</v>
      </c>
      <c r="CX11" s="101">
        <v>36</v>
      </c>
      <c r="CY11" s="101">
        <v>61</v>
      </c>
      <c r="CZ11" s="101">
        <v>25</v>
      </c>
      <c r="DA11" s="101">
        <v>9</v>
      </c>
      <c r="DB11" s="101">
        <v>21</v>
      </c>
      <c r="DC11" s="101">
        <v>27</v>
      </c>
      <c r="DD11" s="101">
        <v>39</v>
      </c>
      <c r="DE11" s="101">
        <v>29</v>
      </c>
      <c r="DF11" s="101">
        <v>52</v>
      </c>
      <c r="DG11" s="101">
        <v>40</v>
      </c>
      <c r="DH11" s="101">
        <v>46</v>
      </c>
      <c r="DI11" s="101">
        <v>8</v>
      </c>
      <c r="DK11" s="62" t="s">
        <v>142</v>
      </c>
      <c r="DL11" s="529">
        <f t="shared" ref="DL11:DW11" si="11">BV8</f>
        <v>6.0947223212399999</v>
      </c>
      <c r="DM11" s="529">
        <f t="shared" si="11"/>
        <v>5.6940891000000002</v>
      </c>
      <c r="DN11" s="529">
        <f t="shared" si="11"/>
        <v>7.4591881999999998</v>
      </c>
      <c r="DO11" s="529">
        <f t="shared" si="11"/>
        <v>3.0391369144799998</v>
      </c>
      <c r="DP11" s="529">
        <f t="shared" si="11"/>
        <v>4.6644952656600003</v>
      </c>
      <c r="DQ11" s="529">
        <f t="shared" si="11"/>
        <v>4.8701043837599993</v>
      </c>
      <c r="DR11" s="529">
        <f t="shared" si="11"/>
        <v>4.2423486771249994</v>
      </c>
      <c r="DS11" s="529">
        <f t="shared" si="11"/>
        <v>6.0114048485399998</v>
      </c>
      <c r="DT11" s="529">
        <f t="shared" si="11"/>
        <v>7.2225150224499997</v>
      </c>
      <c r="DU11" s="529">
        <f t="shared" si="11"/>
        <v>5.7046733152499991</v>
      </c>
      <c r="DV11" s="529">
        <f t="shared" si="11"/>
        <v>5.3499111187500006</v>
      </c>
      <c r="DW11" s="529">
        <f t="shared" si="11"/>
        <v>6.2466301170000005</v>
      </c>
      <c r="DZ11" s="455" t="s">
        <v>859</v>
      </c>
      <c r="EA11" s="455" t="s">
        <v>860</v>
      </c>
      <c r="EB11" s="455" t="s">
        <v>861</v>
      </c>
      <c r="EC11" s="455" t="s">
        <v>862</v>
      </c>
      <c r="EN11" s="448" t="s">
        <v>140</v>
      </c>
      <c r="EO11" s="104"/>
      <c r="EP11" s="104">
        <f>EP10/EO10-1</f>
        <v>0.11003418609549431</v>
      </c>
      <c r="EQ11" s="104">
        <f>EQ10/EP10-1</f>
        <v>0.14659239886724174</v>
      </c>
      <c r="ER11" s="104">
        <f>ER10/EQ10-1</f>
        <v>0.12569126004922371</v>
      </c>
      <c r="ES11" s="104">
        <f>ES10/ER10-1</f>
        <v>9.5771325438541055E-2</v>
      </c>
      <c r="EU11" s="448" t="s">
        <v>365</v>
      </c>
      <c r="EV11" s="104">
        <f>EV9/EV$7</f>
        <v>0.15333110143957149</v>
      </c>
      <c r="EW11" s="104">
        <f>EW9/EW$7</f>
        <v>0.16171116504854369</v>
      </c>
      <c r="EX11" s="104">
        <f>EX9/EX$7</f>
        <v>0.17016634851377146</v>
      </c>
      <c r="EY11" s="104">
        <f>EY9/EY$7</f>
        <v>0.1777449532250123</v>
      </c>
      <c r="EZ11" s="104">
        <f>EZ9/EZ$7</f>
        <v>0.18228241563055061</v>
      </c>
      <c r="FB11" s="92"/>
      <c r="FG11" s="92"/>
      <c r="FH11" s="92"/>
      <c r="FI11" s="73" t="s">
        <v>623</v>
      </c>
      <c r="FJ11" s="792">
        <v>7.7</v>
      </c>
      <c r="FK11" s="792">
        <v>7</v>
      </c>
      <c r="FL11" s="792"/>
      <c r="FM11" s="792">
        <v>30.2</v>
      </c>
      <c r="FN11" s="792">
        <v>26.2</v>
      </c>
      <c r="FP11" s="70" t="s">
        <v>598</v>
      </c>
      <c r="FQ11" s="66" t="s">
        <v>599</v>
      </c>
      <c r="FR11" s="801">
        <v>18.3</v>
      </c>
      <c r="FS11" s="843">
        <v>0.25</v>
      </c>
      <c r="FT11" s="92"/>
      <c r="FV11" s="455" t="str">
        <f t="shared" ref="FV11:FV17" si="12">FV27</f>
        <v>Q4</v>
      </c>
      <c r="FW11" s="455" t="str">
        <f t="shared" si="9"/>
        <v>10/1 - 12/31</v>
      </c>
      <c r="FX11" s="457">
        <f t="shared" si="9"/>
        <v>154</v>
      </c>
      <c r="GH11" s="62">
        <f>GH28</f>
        <v>2017</v>
      </c>
      <c r="GI11" s="470" t="s">
        <v>185</v>
      </c>
      <c r="GJ11" s="469">
        <f>GJ28</f>
        <v>7.67</v>
      </c>
      <c r="GK11" s="470" t="s">
        <v>185</v>
      </c>
      <c r="HC11" s="86"/>
    </row>
    <row r="12" spans="1:212" ht="13.5" customHeight="1" thickTop="1" thickBot="1" x14ac:dyDescent="0.4">
      <c r="C12" s="81" t="s">
        <v>677</v>
      </c>
      <c r="D12" s="81" t="s">
        <v>620</v>
      </c>
      <c r="E12" s="509" t="s">
        <v>155</v>
      </c>
      <c r="F12" s="510">
        <v>401.798</v>
      </c>
      <c r="G12" s="511">
        <v>182</v>
      </c>
      <c r="M12" s="62" t="s">
        <v>179</v>
      </c>
      <c r="N12" s="62" t="s">
        <v>689</v>
      </c>
      <c r="O12" s="518" t="s">
        <v>690</v>
      </c>
      <c r="P12" s="492">
        <v>381</v>
      </c>
      <c r="Q12" s="62">
        <v>707</v>
      </c>
      <c r="S12" s="92"/>
      <c r="T12" s="92"/>
      <c r="U12" s="92"/>
      <c r="V12" s="92"/>
      <c r="W12" s="92"/>
      <c r="X12" s="92"/>
      <c r="Y12" s="92"/>
      <c r="Z12" s="92"/>
      <c r="AA12" s="62" t="s">
        <v>159</v>
      </c>
      <c r="AB12" s="99">
        <f t="shared" si="1"/>
        <v>4.7</v>
      </c>
      <c r="AD12" s="92">
        <v>0.1</v>
      </c>
      <c r="AE12" s="92"/>
      <c r="AF12" s="92"/>
      <c r="AG12" s="92"/>
      <c r="AH12" s="62" t="s">
        <v>159</v>
      </c>
      <c r="AI12" s="92">
        <v>0.13</v>
      </c>
      <c r="CI12" s="526" t="s">
        <v>711</v>
      </c>
      <c r="CJ12" s="75">
        <v>136.16234299999999</v>
      </c>
      <c r="CK12" s="75">
        <v>395.33481599999999</v>
      </c>
      <c r="CL12" s="75">
        <v>90.736111999999991</v>
      </c>
      <c r="CM12" s="75">
        <v>29.75</v>
      </c>
      <c r="CN12" s="75">
        <v>36.956148999999996</v>
      </c>
      <c r="CO12" s="75">
        <v>55.364000000000004</v>
      </c>
      <c r="CP12" s="75">
        <v>32.660400000000003</v>
      </c>
      <c r="CQ12" s="75">
        <v>106.50167800000001</v>
      </c>
      <c r="CR12" s="75">
        <v>46.349999999999994</v>
      </c>
      <c r="CS12" s="75">
        <v>123.57599999999999</v>
      </c>
      <c r="CT12" s="75">
        <v>176.68600000000004</v>
      </c>
      <c r="CU12" s="75">
        <v>11.6</v>
      </c>
      <c r="CW12" s="526" t="s">
        <v>711</v>
      </c>
      <c r="CX12" s="101">
        <v>21</v>
      </c>
      <c r="CY12" s="101">
        <v>44</v>
      </c>
      <c r="CZ12" s="101">
        <v>12</v>
      </c>
      <c r="DA12" s="101">
        <v>7</v>
      </c>
      <c r="DB12" s="101">
        <v>8</v>
      </c>
      <c r="DC12" s="101">
        <v>12</v>
      </c>
      <c r="DD12" s="101">
        <v>8</v>
      </c>
      <c r="DE12" s="101">
        <v>13</v>
      </c>
      <c r="DF12" s="101">
        <v>12</v>
      </c>
      <c r="DG12" s="101">
        <v>14</v>
      </c>
      <c r="DH12" s="101">
        <v>22</v>
      </c>
      <c r="DI12" s="101">
        <v>3</v>
      </c>
      <c r="DK12" s="62" t="s">
        <v>767</v>
      </c>
      <c r="DL12" s="529">
        <v>6</v>
      </c>
      <c r="DM12" s="529">
        <f t="shared" ref="DM12:DW12" si="13">DL12</f>
        <v>6</v>
      </c>
      <c r="DN12" s="529">
        <f t="shared" si="13"/>
        <v>6</v>
      </c>
      <c r="DO12" s="529">
        <f t="shared" si="13"/>
        <v>6</v>
      </c>
      <c r="DP12" s="529">
        <f t="shared" si="13"/>
        <v>6</v>
      </c>
      <c r="DQ12" s="529">
        <f t="shared" si="13"/>
        <v>6</v>
      </c>
      <c r="DR12" s="529">
        <f t="shared" si="13"/>
        <v>6</v>
      </c>
      <c r="DS12" s="529">
        <f t="shared" si="13"/>
        <v>6</v>
      </c>
      <c r="DT12" s="529">
        <f t="shared" si="13"/>
        <v>6</v>
      </c>
      <c r="DU12" s="529">
        <f t="shared" si="13"/>
        <v>6</v>
      </c>
      <c r="DV12" s="529">
        <f t="shared" si="13"/>
        <v>6</v>
      </c>
      <c r="DW12" s="529">
        <f t="shared" si="13"/>
        <v>6</v>
      </c>
      <c r="DY12" s="62" t="s">
        <v>863</v>
      </c>
      <c r="DZ12" s="135">
        <v>41.722388999999971</v>
      </c>
      <c r="EA12" s="135">
        <v>47.695960999999954</v>
      </c>
      <c r="EB12" s="135">
        <v>42.792986999999975</v>
      </c>
      <c r="EC12" s="135">
        <v>28.025749999999995</v>
      </c>
      <c r="EN12" s="448" t="s">
        <v>365</v>
      </c>
      <c r="EO12" s="104">
        <f>EO10/EO$8</f>
        <v>0.1549003378539473</v>
      </c>
      <c r="EP12" s="104">
        <f>EP10/EP$8</f>
        <v>0.15872575544512513</v>
      </c>
      <c r="EQ12" s="104">
        <f>EQ10/EQ$8</f>
        <v>0.16628427996514955</v>
      </c>
      <c r="ER12" s="104">
        <f>ER10/ER$8</f>
        <v>0.16250520017155098</v>
      </c>
      <c r="ES12" s="104">
        <f>ES10/ES$8</f>
        <v>0.16401224831801267</v>
      </c>
      <c r="EU12" s="123" t="s">
        <v>112</v>
      </c>
      <c r="EV12" s="66">
        <v>287</v>
      </c>
      <c r="EW12" s="66">
        <v>346</v>
      </c>
      <c r="EX12" s="66">
        <v>412</v>
      </c>
      <c r="EY12" s="66">
        <v>486</v>
      </c>
      <c r="EZ12" s="66">
        <v>562</v>
      </c>
      <c r="FB12" s="92"/>
      <c r="FG12" s="92"/>
      <c r="FH12" s="92"/>
      <c r="FI12" s="78" t="s">
        <v>624</v>
      </c>
      <c r="FJ12" s="801">
        <v>16</v>
      </c>
      <c r="FK12" s="801">
        <v>12.8</v>
      </c>
      <c r="FL12" s="792"/>
      <c r="FM12" s="801" t="s">
        <v>606</v>
      </c>
      <c r="FN12" s="801" t="s">
        <v>606</v>
      </c>
      <c r="FP12" s="66" t="s">
        <v>537</v>
      </c>
      <c r="FQ12" s="66" t="s">
        <v>600</v>
      </c>
      <c r="FR12" s="792">
        <v>17.399999999999999</v>
      </c>
      <c r="FS12" s="92">
        <v>0.34</v>
      </c>
      <c r="FT12" s="92"/>
      <c r="FU12" s="62">
        <f>FU28</f>
        <v>2015</v>
      </c>
      <c r="FV12" s="455" t="str">
        <f t="shared" si="12"/>
        <v>Q1</v>
      </c>
      <c r="FW12" s="455" t="str">
        <f t="shared" si="9"/>
        <v>1/1 - 3/31</v>
      </c>
      <c r="FX12" s="457">
        <f t="shared" si="9"/>
        <v>178.75</v>
      </c>
      <c r="GH12" s="105">
        <f>GH29</f>
        <v>2018</v>
      </c>
      <c r="GI12" s="471" t="s">
        <v>185</v>
      </c>
      <c r="GJ12" s="472">
        <f>GJ29</f>
        <v>9.14</v>
      </c>
      <c r="GK12" s="471" t="s">
        <v>185</v>
      </c>
      <c r="GU12" s="538" t="s">
        <v>850</v>
      </c>
      <c r="GV12" s="921">
        <v>1200</v>
      </c>
      <c r="GW12" s="921">
        <f ca="1">'LBO Model'!K17</f>
        <v>0</v>
      </c>
      <c r="GX12" s="644">
        <v>0.03</v>
      </c>
      <c r="GY12" s="643">
        <f>'LBO Model'!M17</f>
        <v>9.5000000000000001E-2</v>
      </c>
      <c r="GZ12" s="642" t="s">
        <v>838</v>
      </c>
      <c r="HA12" s="645">
        <v>7.4406607060772201</v>
      </c>
      <c r="HC12" s="86"/>
    </row>
    <row r="13" spans="1:212" ht="13.5" customHeight="1" thickTop="1" thickBot="1" x14ac:dyDescent="0.4">
      <c r="C13" s="81" t="s">
        <v>678</v>
      </c>
      <c r="D13" s="81" t="s">
        <v>620</v>
      </c>
      <c r="E13" s="509" t="s">
        <v>151</v>
      </c>
      <c r="F13" s="510">
        <v>309.97199999999998</v>
      </c>
      <c r="G13" s="511">
        <v>173</v>
      </c>
      <c r="M13" s="62" t="s">
        <v>174</v>
      </c>
      <c r="N13" s="62" t="s">
        <v>689</v>
      </c>
      <c r="O13" s="518" t="s">
        <v>690</v>
      </c>
      <c r="P13" s="492">
        <v>376</v>
      </c>
      <c r="Q13" s="62">
        <v>185</v>
      </c>
      <c r="S13" s="92" t="s">
        <v>737</v>
      </c>
      <c r="T13" s="92"/>
      <c r="U13" s="92"/>
      <c r="V13" s="92"/>
      <c r="W13" s="92"/>
      <c r="X13" s="92"/>
      <c r="Y13" s="92"/>
      <c r="Z13" s="92"/>
      <c r="AA13" s="62" t="s">
        <v>160</v>
      </c>
      <c r="AB13" s="99">
        <f t="shared" si="1"/>
        <v>5.17</v>
      </c>
      <c r="AD13" s="92">
        <v>0.11</v>
      </c>
      <c r="AE13" s="92"/>
      <c r="AF13" s="92"/>
      <c r="AG13" s="92"/>
      <c r="AH13" s="62" t="s">
        <v>161</v>
      </c>
      <c r="AI13" s="92">
        <v>0.12</v>
      </c>
      <c r="CI13" s="531" t="s">
        <v>142</v>
      </c>
      <c r="CJ13" s="532">
        <v>464.22686299999964</v>
      </c>
      <c r="CK13" s="532">
        <v>814.3768369999998</v>
      </c>
      <c r="CL13" s="532">
        <v>330.12819900000011</v>
      </c>
      <c r="CM13" s="532">
        <v>143.35604699999993</v>
      </c>
      <c r="CN13" s="532">
        <v>299.0977330000004</v>
      </c>
      <c r="CO13" s="532">
        <v>345.65562399999953</v>
      </c>
      <c r="CP13" s="532">
        <v>381.88243100000102</v>
      </c>
      <c r="CQ13" s="532">
        <v>447.86447899999899</v>
      </c>
      <c r="CR13" s="532">
        <v>536.67613999999912</v>
      </c>
      <c r="CS13" s="532">
        <v>563.35363299999756</v>
      </c>
      <c r="CT13" s="532">
        <v>613.62419299999988</v>
      </c>
      <c r="CU13" s="532">
        <v>143.21842399999991</v>
      </c>
      <c r="CW13" s="531" t="s">
        <v>142</v>
      </c>
      <c r="CX13" s="522">
        <v>2864</v>
      </c>
      <c r="CY13" s="522">
        <v>3588</v>
      </c>
      <c r="CZ13" s="522">
        <v>2779</v>
      </c>
      <c r="DA13" s="522">
        <v>1924</v>
      </c>
      <c r="DB13" s="522">
        <v>2811</v>
      </c>
      <c r="DC13" s="522">
        <v>3167</v>
      </c>
      <c r="DD13" s="522">
        <v>3560</v>
      </c>
      <c r="DE13" s="522">
        <v>3469</v>
      </c>
      <c r="DF13" s="522">
        <v>4291</v>
      </c>
      <c r="DG13" s="522">
        <v>4443</v>
      </c>
      <c r="DH13" s="522">
        <v>4437</v>
      </c>
      <c r="DI13" s="522">
        <v>1223</v>
      </c>
      <c r="DY13" s="62" t="s">
        <v>539</v>
      </c>
      <c r="DZ13" s="135">
        <v>11.390980594236574</v>
      </c>
      <c r="EA13" s="135">
        <v>6.7769516510000001</v>
      </c>
      <c r="EB13" s="135">
        <v>8.1900084769999992</v>
      </c>
      <c r="EC13" s="135">
        <v>17.154715941982502</v>
      </c>
      <c r="EN13" s="123" t="s">
        <v>112</v>
      </c>
      <c r="EO13" s="66">
        <f>AVERAGE(EO28,EO35,EO42,EO50,EO57,EO64,EO71)</f>
        <v>278.48</v>
      </c>
      <c r="EP13" s="66">
        <f>AVERAGE(EP28,EP35,EP42,EP50,EP57,EP64,EP71)</f>
        <v>321.96000000000004</v>
      </c>
      <c r="EQ13" s="66">
        <f>AVERAGE(EQ28,EQ35,EQ42,EQ50,EQ57,EQ64,EQ71)</f>
        <v>380.83500000000004</v>
      </c>
      <c r="ER13" s="66">
        <f>AVERAGE(ER28,ER35,ER42,ER50,ER57,ER64,ER71)</f>
        <v>425.26499999999999</v>
      </c>
      <c r="ES13" s="66">
        <f>AVERAGE(ES28,ES35,ES42,ES50,ES57,ES64,ES71)</f>
        <v>471.68</v>
      </c>
      <c r="EU13" s="448" t="s">
        <v>140</v>
      </c>
      <c r="EV13" s="104"/>
      <c r="EW13" s="104">
        <f>EW12/EV12-1</f>
        <v>0.20557491289198615</v>
      </c>
      <c r="EX13" s="104">
        <f>EX12/EW12-1</f>
        <v>0.19075144508670516</v>
      </c>
      <c r="EY13" s="104">
        <f>EY12/EX12-1</f>
        <v>0.17961165048543681</v>
      </c>
      <c r="EZ13" s="104">
        <f>EZ12/EY12-1</f>
        <v>0.15637860082304522</v>
      </c>
      <c r="FB13" s="92"/>
      <c r="FG13" s="92"/>
      <c r="FH13" s="92"/>
      <c r="FI13" s="73" t="s">
        <v>625</v>
      </c>
      <c r="FJ13" s="792">
        <v>10.199999999999999</v>
      </c>
      <c r="FK13" s="792">
        <v>8.6</v>
      </c>
      <c r="FL13" s="792"/>
      <c r="FM13" s="792">
        <v>60</v>
      </c>
      <c r="FN13" s="792">
        <v>54.5</v>
      </c>
      <c r="FP13" s="66" t="s">
        <v>648</v>
      </c>
      <c r="FQ13" s="66" t="s">
        <v>649</v>
      </c>
      <c r="FR13" s="792">
        <v>15</v>
      </c>
      <c r="FS13" s="475" t="s">
        <v>185</v>
      </c>
      <c r="FT13" s="92"/>
      <c r="FV13" s="455" t="str">
        <f t="shared" si="12"/>
        <v>Q2</v>
      </c>
      <c r="FW13" s="455" t="str">
        <f t="shared" si="9"/>
        <v>4/1 - 6/30</v>
      </c>
      <c r="FX13" s="457">
        <f t="shared" si="9"/>
        <v>205.83333333333334</v>
      </c>
      <c r="GV13" s="125"/>
      <c r="GW13" s="125"/>
      <c r="HC13" s="86"/>
    </row>
    <row r="14" spans="1:212" ht="13.5" customHeight="1" thickTop="1" thickBot="1" x14ac:dyDescent="0.4">
      <c r="C14" s="81" t="s">
        <v>681</v>
      </c>
      <c r="D14" s="81" t="s">
        <v>620</v>
      </c>
      <c r="E14" s="509" t="s">
        <v>159</v>
      </c>
      <c r="F14" s="512">
        <v>283.81</v>
      </c>
      <c r="G14" s="511">
        <v>172</v>
      </c>
      <c r="H14" s="66" t="str">
        <f>FI13</f>
        <v>Habit Restaurants</v>
      </c>
      <c r="I14" s="66">
        <f>FJ13</f>
        <v>10.199999999999999</v>
      </c>
      <c r="J14" s="66">
        <f>FK13</f>
        <v>8.6</v>
      </c>
      <c r="M14" s="62" t="s">
        <v>691</v>
      </c>
      <c r="N14" s="62" t="s">
        <v>689</v>
      </c>
      <c r="O14" s="518" t="s">
        <v>690</v>
      </c>
      <c r="P14" s="492">
        <v>352</v>
      </c>
      <c r="Q14" s="62">
        <v>212</v>
      </c>
      <c r="AA14" s="108" t="s">
        <v>142</v>
      </c>
      <c r="AB14" s="114">
        <v>47</v>
      </c>
      <c r="AH14" s="62" t="s">
        <v>162</v>
      </c>
      <c r="AI14" s="92">
        <v>0.11</v>
      </c>
      <c r="DK14" s="62" t="s">
        <v>877</v>
      </c>
      <c r="DX14" s="62" t="s">
        <v>135</v>
      </c>
      <c r="DY14" s="62" t="s">
        <v>864</v>
      </c>
      <c r="DZ14" s="135">
        <v>39.732675999999962</v>
      </c>
      <c r="EA14" s="135">
        <v>32.040201000000003</v>
      </c>
      <c r="EB14" s="135">
        <v>41.913399999999982</v>
      </c>
      <c r="EC14" s="135">
        <v>33.750520999999999</v>
      </c>
      <c r="EN14" s="448" t="s">
        <v>140</v>
      </c>
      <c r="EO14" s="104"/>
      <c r="EP14" s="104">
        <f>EP13/EO13-1</f>
        <v>0.15613329503016371</v>
      </c>
      <c r="EQ14" s="104">
        <f>EQ13/EP13-1</f>
        <v>0.18286433097279153</v>
      </c>
      <c r="ER14" s="104">
        <f>ER13/EQ13-1</f>
        <v>0.1166646973098584</v>
      </c>
      <c r="ES14" s="104">
        <f>ES13/ER13-1</f>
        <v>0.10914371039234361</v>
      </c>
      <c r="EU14" s="448" t="s">
        <v>365</v>
      </c>
      <c r="EV14" s="104">
        <f>EV12/EV$7</f>
        <v>9.6083026447941075E-2</v>
      </c>
      <c r="EW14" s="104">
        <f>EW12/EW$7</f>
        <v>0.1049757281553398</v>
      </c>
      <c r="EX14" s="104">
        <f>EX12/EX$7</f>
        <v>0.11235342241614399</v>
      </c>
      <c r="EY14" s="104">
        <f>EY12/EY$7</f>
        <v>0.11964549483013294</v>
      </c>
      <c r="EZ14" s="104">
        <f>EZ12/EZ$7</f>
        <v>0.12477797513321492</v>
      </c>
      <c r="FI14" s="78" t="s">
        <v>626</v>
      </c>
      <c r="FJ14" s="801">
        <v>26.5</v>
      </c>
      <c r="FK14" s="801">
        <v>18.5</v>
      </c>
      <c r="FL14" s="792"/>
      <c r="FM14" s="801">
        <v>42</v>
      </c>
      <c r="FN14" s="801">
        <v>28.8</v>
      </c>
      <c r="FP14" s="66" t="s">
        <v>601</v>
      </c>
      <c r="FQ14" s="66" t="s">
        <v>602</v>
      </c>
      <c r="FR14" s="792">
        <v>14.8</v>
      </c>
      <c r="FS14" s="92">
        <v>0.4</v>
      </c>
      <c r="FV14" s="455" t="str">
        <f t="shared" si="12"/>
        <v>Q3</v>
      </c>
      <c r="FW14" s="455" t="str">
        <f t="shared" si="9"/>
        <v>7/1 - 9/30</v>
      </c>
      <c r="FX14" s="457">
        <f t="shared" si="9"/>
        <v>212.5</v>
      </c>
      <c r="GI14" s="457"/>
      <c r="GJ14" s="469"/>
      <c r="HC14" s="86"/>
    </row>
    <row r="15" spans="1:212" ht="13.5" customHeight="1" thickTop="1" x14ac:dyDescent="0.35">
      <c r="C15" s="81" t="s">
        <v>679</v>
      </c>
      <c r="D15" s="81" t="s">
        <v>620</v>
      </c>
      <c r="E15" s="509" t="s">
        <v>159</v>
      </c>
      <c r="F15" s="512">
        <v>275.96300000000002</v>
      </c>
      <c r="G15" s="511">
        <v>204</v>
      </c>
      <c r="H15" s="66" t="str">
        <f>FI12</f>
        <v>Zoe’s Kitchen</v>
      </c>
      <c r="I15" s="66">
        <f>FJ12</f>
        <v>16</v>
      </c>
      <c r="J15" s="66">
        <f>FK12</f>
        <v>12.8</v>
      </c>
      <c r="L15" s="110"/>
      <c r="M15" s="62" t="s">
        <v>175</v>
      </c>
      <c r="N15" s="62" t="s">
        <v>671</v>
      </c>
      <c r="O15" s="519" t="s">
        <v>690</v>
      </c>
      <c r="P15" s="492">
        <v>272</v>
      </c>
      <c r="Q15" s="62">
        <v>246</v>
      </c>
      <c r="AH15" s="62" t="s">
        <v>147</v>
      </c>
      <c r="AI15" s="92">
        <v>0.04</v>
      </c>
      <c r="DK15" s="62" t="s">
        <v>874</v>
      </c>
      <c r="DY15" s="62" t="s">
        <v>865</v>
      </c>
      <c r="DZ15" s="135">
        <v>92.8460455942365</v>
      </c>
      <c r="EA15" s="135">
        <v>86.513113650999955</v>
      </c>
      <c r="EB15" s="135">
        <v>92.896395476999956</v>
      </c>
      <c r="EC15" s="135">
        <v>78.930986941982496</v>
      </c>
      <c r="EN15" s="448" t="s">
        <v>365</v>
      </c>
      <c r="EO15" s="104">
        <f>EO13/EO$8</f>
        <v>9.7845635229166963E-2</v>
      </c>
      <c r="EP15" s="104">
        <f>EP13/EP$8</f>
        <v>0.10442585725676817</v>
      </c>
      <c r="EQ15" s="104">
        <f>EQ13/EQ$8</f>
        <v>0.11285939509604614</v>
      </c>
      <c r="ER15" s="104">
        <f>ER13/ER$8</f>
        <v>0.1094100657826525</v>
      </c>
      <c r="ES15" s="104">
        <f>ES13/ES$8</f>
        <v>0.11177229995772521</v>
      </c>
      <c r="EU15" s="123" t="s">
        <v>186</v>
      </c>
      <c r="EV15" s="66">
        <v>175</v>
      </c>
      <c r="EW15" s="66">
        <v>214</v>
      </c>
      <c r="EX15" s="66">
        <v>256</v>
      </c>
      <c r="EY15" s="66">
        <v>306</v>
      </c>
      <c r="EZ15" s="66">
        <v>360</v>
      </c>
      <c r="FI15" s="73" t="s">
        <v>627</v>
      </c>
      <c r="FJ15" s="792">
        <v>8.1</v>
      </c>
      <c r="FK15" s="792">
        <v>7.2</v>
      </c>
      <c r="FL15" s="792"/>
      <c r="FM15" s="792" t="s">
        <v>606</v>
      </c>
      <c r="FN15" s="792" t="s">
        <v>606</v>
      </c>
      <c r="FP15" s="70" t="s">
        <v>598</v>
      </c>
      <c r="FQ15" s="66" t="s">
        <v>603</v>
      </c>
      <c r="FR15" s="801">
        <v>11.3</v>
      </c>
      <c r="FS15" s="843">
        <v>0.36</v>
      </c>
      <c r="FV15" s="455" t="str">
        <f t="shared" si="12"/>
        <v>Q4</v>
      </c>
      <c r="FW15" s="455" t="str">
        <f t="shared" si="9"/>
        <v>10/1 - 12/31</v>
      </c>
      <c r="FX15" s="457">
        <f t="shared" si="9"/>
        <v>214</v>
      </c>
      <c r="GH15" s="462"/>
      <c r="GU15" s="70" t="s">
        <v>1058</v>
      </c>
      <c r="GV15" s="70">
        <f>SUM(GV8:GV12)</f>
        <v>4950</v>
      </c>
      <c r="GW15" s="70">
        <f ca="1">SUM(GW8:GW12)</f>
        <v>3000.0012372076799</v>
      </c>
      <c r="HC15" s="86"/>
    </row>
    <row r="16" spans="1:212" ht="13.5" customHeight="1" thickBot="1" x14ac:dyDescent="0.4">
      <c r="C16" s="81" t="s">
        <v>169</v>
      </c>
      <c r="D16" s="81" t="s">
        <v>620</v>
      </c>
      <c r="E16" s="509" t="s">
        <v>159</v>
      </c>
      <c r="F16" s="512">
        <v>268.47500000000002</v>
      </c>
      <c r="G16" s="511">
        <v>71</v>
      </c>
      <c r="H16" s="66" t="str">
        <f t="shared" ref="H16:J17" si="14">FI9</f>
        <v>Shake Shack</v>
      </c>
      <c r="I16" s="66">
        <f t="shared" si="14"/>
        <v>14.8</v>
      </c>
      <c r="J16" s="66">
        <f t="shared" si="14"/>
        <v>11.1</v>
      </c>
      <c r="M16" s="62" t="s">
        <v>176</v>
      </c>
      <c r="N16" s="62" t="s">
        <v>689</v>
      </c>
      <c r="O16" s="518" t="s">
        <v>690</v>
      </c>
      <c r="P16" s="492">
        <v>197</v>
      </c>
      <c r="Q16" s="62">
        <v>220</v>
      </c>
      <c r="AH16" s="105" t="s">
        <v>151</v>
      </c>
      <c r="AI16" s="115">
        <v>-0.05</v>
      </c>
      <c r="EN16" s="123" t="s">
        <v>186</v>
      </c>
      <c r="EO16" s="66">
        <f>AVERAGE(EO29,EO36,EO43,EO51,EO58,EO65,EO72)</f>
        <v>169.977</v>
      </c>
      <c r="EP16" s="66">
        <f>AVERAGE(EP29,EP36,EP43,EP51,EP58,EP65,EP72)</f>
        <v>192.29642857142858</v>
      </c>
      <c r="EQ16" s="66">
        <f>AVERAGE(EQ29,EQ36,EQ43,EQ51,EQ58,EQ65,EQ72)</f>
        <v>231.66933333333336</v>
      </c>
      <c r="ER16" s="66">
        <f>AVERAGE(ER29,ER36,ER43,ER51,ER58,ER65,ER72)</f>
        <v>256.101</v>
      </c>
      <c r="ES16" s="66">
        <f>AVERAGE(ES29,ES36,ES43,ES51,ES58,ES65,ES72)</f>
        <v>285.34300000000002</v>
      </c>
      <c r="EU16" s="448" t="s">
        <v>365</v>
      </c>
      <c r="EV16" s="104">
        <f>EV15/EV$7</f>
        <v>5.858721124874456E-2</v>
      </c>
      <c r="EW16" s="104">
        <f>EW15/EW$7</f>
        <v>6.4927184466019416E-2</v>
      </c>
      <c r="EX16" s="104">
        <f>EX15/EX$7</f>
        <v>6.9811835287701116E-2</v>
      </c>
      <c r="EY16" s="104">
        <f>EY15/EY$7</f>
        <v>7.5332348596750365E-2</v>
      </c>
      <c r="EZ16" s="104">
        <f>EZ15/EZ$7</f>
        <v>7.9928952042628773E-2</v>
      </c>
      <c r="FJ16" s="792"/>
      <c r="FK16" s="792"/>
      <c r="FL16" s="792"/>
      <c r="FM16" s="792"/>
      <c r="FN16" s="792"/>
      <c r="FP16" s="70" t="s">
        <v>598</v>
      </c>
      <c r="FQ16" s="66" t="s">
        <v>650</v>
      </c>
      <c r="FR16" s="801">
        <v>10.1</v>
      </c>
      <c r="FS16" s="843">
        <v>0.47</v>
      </c>
      <c r="FU16" s="62">
        <f>FU32</f>
        <v>2016</v>
      </c>
      <c r="FV16" s="455" t="str">
        <f t="shared" si="12"/>
        <v>Q1</v>
      </c>
      <c r="FW16" s="455" t="str">
        <f t="shared" si="9"/>
        <v>1/1 - 3/31</v>
      </c>
      <c r="FX16" s="457">
        <f t="shared" si="9"/>
        <v>225.5</v>
      </c>
      <c r="GM16" s="67" t="s">
        <v>580</v>
      </c>
      <c r="GN16" s="67"/>
      <c r="GO16" s="67"/>
      <c r="GP16" s="67"/>
      <c r="GQ16" s="67"/>
      <c r="GR16" s="67"/>
      <c r="GS16" s="67"/>
      <c r="GU16" s="125"/>
      <c r="GV16" s="125"/>
      <c r="GW16" s="125"/>
      <c r="GX16" s="125"/>
      <c r="GY16" s="125"/>
      <c r="GZ16" s="125"/>
      <c r="HA16" s="125"/>
      <c r="HC16" s="86"/>
    </row>
    <row r="17" spans="2:211" ht="13.5" customHeight="1" thickTop="1" thickBot="1" x14ac:dyDescent="0.4">
      <c r="C17" s="81" t="s">
        <v>622</v>
      </c>
      <c r="D17" s="81" t="s">
        <v>620</v>
      </c>
      <c r="E17" s="509" t="s">
        <v>155</v>
      </c>
      <c r="F17" s="512">
        <v>91.358999999999995</v>
      </c>
      <c r="G17" s="511">
        <v>922</v>
      </c>
      <c r="H17" s="66" t="str">
        <f t="shared" si="14"/>
        <v>Wingstop Inc.</v>
      </c>
      <c r="I17" s="66">
        <f t="shared" si="14"/>
        <v>24.7</v>
      </c>
      <c r="J17" s="66">
        <f t="shared" si="14"/>
        <v>21.2</v>
      </c>
      <c r="L17" s="105"/>
      <c r="M17" s="105" t="s">
        <v>616</v>
      </c>
      <c r="N17" s="105" t="s">
        <v>689</v>
      </c>
      <c r="O17" s="520" t="s">
        <v>148</v>
      </c>
      <c r="P17" s="516">
        <v>185</v>
      </c>
      <c r="Q17" s="105">
        <v>150</v>
      </c>
      <c r="DK17" s="62" t="s">
        <v>718</v>
      </c>
      <c r="DL17" s="62">
        <v>387</v>
      </c>
      <c r="DM17" s="62" t="s">
        <v>717</v>
      </c>
      <c r="DN17" s="529">
        <v>6</v>
      </c>
      <c r="EN17" s="448" t="s">
        <v>365</v>
      </c>
      <c r="EO17" s="104">
        <f>EO16/EO8</f>
        <v>5.972244879110928E-2</v>
      </c>
      <c r="EP17" s="104">
        <f>EP16/EP8</f>
        <v>6.2370230466475073E-2</v>
      </c>
      <c r="EQ17" s="104">
        <f>EQ16/EQ8</f>
        <v>6.8654563846033786E-2</v>
      </c>
      <c r="ER17" s="104">
        <f>ER16/ER8</f>
        <v>6.5888392548183114E-2</v>
      </c>
      <c r="ES17" s="104">
        <f>ES16/ES8</f>
        <v>6.761669646123894E-2</v>
      </c>
      <c r="EU17" s="110" t="s">
        <v>188</v>
      </c>
      <c r="FI17" s="795" t="s">
        <v>628</v>
      </c>
      <c r="FJ17" s="792"/>
      <c r="FK17" s="792"/>
      <c r="FL17" s="792"/>
      <c r="FM17" s="792"/>
      <c r="FN17" s="792"/>
      <c r="FP17" s="66" t="s">
        <v>590</v>
      </c>
      <c r="FQ17" s="66" t="s">
        <v>651</v>
      </c>
      <c r="FR17" s="792">
        <v>9.1999999999999993</v>
      </c>
      <c r="FS17" s="475" t="s">
        <v>185</v>
      </c>
      <c r="FV17" s="455" t="str">
        <f t="shared" si="12"/>
        <v>Q2</v>
      </c>
      <c r="FW17" s="455" t="str">
        <f t="shared" si="9"/>
        <v>4/1 - 6/30</v>
      </c>
      <c r="FX17" s="457">
        <f t="shared" si="9"/>
        <v>227</v>
      </c>
      <c r="GM17" s="69"/>
      <c r="GN17" s="459">
        <v>2011</v>
      </c>
      <c r="GO17" s="459">
        <f>GN17+1</f>
        <v>2012</v>
      </c>
      <c r="GP17" s="459">
        <f>GO17+1</f>
        <v>2013</v>
      </c>
      <c r="GQ17" s="459">
        <f>GP17+1</f>
        <v>2014</v>
      </c>
      <c r="GR17" s="459">
        <f>GQ17+1</f>
        <v>2015</v>
      </c>
      <c r="GS17" s="459">
        <f>GR17+1</f>
        <v>2016</v>
      </c>
      <c r="HC17" s="86"/>
    </row>
    <row r="18" spans="2:211" ht="13.5" customHeight="1" thickTop="1" x14ac:dyDescent="0.35">
      <c r="C18" s="81" t="s">
        <v>626</v>
      </c>
      <c r="D18" s="81" t="s">
        <v>620</v>
      </c>
      <c r="E18" s="509" t="s">
        <v>147</v>
      </c>
      <c r="F18" s="512">
        <v>18</v>
      </c>
      <c r="G18" s="513" t="s">
        <v>185</v>
      </c>
      <c r="H18" s="66" t="str">
        <f>FI14</f>
        <v>Freshii</v>
      </c>
      <c r="I18" s="66">
        <f>FJ14</f>
        <v>26.5</v>
      </c>
      <c r="J18" s="66">
        <f>FK14</f>
        <v>18.5</v>
      </c>
      <c r="L18" s="116" t="s">
        <v>178</v>
      </c>
      <c r="DK18" s="62" t="s">
        <v>716</v>
      </c>
      <c r="EN18" s="110" t="s">
        <v>188</v>
      </c>
      <c r="EU18" s="123" t="s">
        <v>184</v>
      </c>
      <c r="EV18" s="66">
        <v>187</v>
      </c>
      <c r="EW18" s="66">
        <v>200</v>
      </c>
      <c r="EX18" s="66">
        <v>240</v>
      </c>
      <c r="EY18" s="66">
        <v>255</v>
      </c>
      <c r="EZ18" s="66">
        <v>258</v>
      </c>
      <c r="FI18" s="73" t="s">
        <v>629</v>
      </c>
      <c r="FJ18" s="792">
        <v>20.2</v>
      </c>
      <c r="FK18" s="792">
        <v>17.7</v>
      </c>
      <c r="FL18" s="792"/>
      <c r="FM18" s="792">
        <v>35.4</v>
      </c>
      <c r="FN18" s="792">
        <v>29.7</v>
      </c>
      <c r="FP18" s="66" t="s">
        <v>652</v>
      </c>
      <c r="FQ18" s="66" t="s">
        <v>604</v>
      </c>
      <c r="FR18" s="792">
        <v>9.1</v>
      </c>
      <c r="FS18" s="92">
        <v>0.47</v>
      </c>
      <c r="FV18" s="455" t="str">
        <f t="shared" ref="FV18:FX20" si="15">FV34</f>
        <v>Q3</v>
      </c>
      <c r="FW18" s="455" t="str">
        <f t="shared" si="15"/>
        <v>7/1 - 9/30</v>
      </c>
      <c r="FX18" s="457">
        <f t="shared" si="15"/>
        <v>248.33333333333334</v>
      </c>
      <c r="GM18" s="66" t="s">
        <v>22</v>
      </c>
      <c r="GN18" s="75">
        <v>135.952</v>
      </c>
      <c r="GO18" s="75">
        <v>173.44800000000001</v>
      </c>
      <c r="GP18" s="75">
        <v>196.16900000000001</v>
      </c>
      <c r="GQ18" s="75">
        <v>179.29300000000001</v>
      </c>
      <c r="GR18" s="75">
        <v>149.32499999999999</v>
      </c>
      <c r="GS18" s="75">
        <v>145.24100000000001</v>
      </c>
      <c r="HC18" s="86"/>
    </row>
    <row r="19" spans="2:211" ht="13.5" customHeight="1" thickBot="1" x14ac:dyDescent="0.4">
      <c r="B19" s="110" t="s">
        <v>738</v>
      </c>
      <c r="C19" s="81"/>
      <c r="D19" s="81"/>
      <c r="E19" s="509"/>
      <c r="F19" s="513"/>
      <c r="G19" s="513"/>
      <c r="DL19" s="96">
        <v>2006</v>
      </c>
      <c r="DM19" s="96">
        <v>2007</v>
      </c>
      <c r="DN19" s="96">
        <v>2008</v>
      </c>
      <c r="DO19" s="96">
        <v>2009</v>
      </c>
      <c r="DP19" s="96">
        <v>2010</v>
      </c>
      <c r="DQ19" s="96">
        <v>2011</v>
      </c>
      <c r="DR19" s="96">
        <v>2012</v>
      </c>
      <c r="DS19" s="96">
        <v>2013</v>
      </c>
      <c r="DT19" s="96">
        <v>2014</v>
      </c>
      <c r="DU19" s="96">
        <v>2015</v>
      </c>
      <c r="DV19" s="96">
        <v>2016</v>
      </c>
      <c r="DW19" s="96" t="s">
        <v>715</v>
      </c>
      <c r="EN19" s="123" t="s">
        <v>184</v>
      </c>
      <c r="EO19" s="66">
        <f>AVERAGE(EO30,EO37,EO44,EO52,EO59,EO66,EO73)</f>
        <v>210.89374999999998</v>
      </c>
      <c r="EP19" s="66">
        <f>AVERAGE(EP30,EP37,EP44,EP52,EP59,EP66,EP73)</f>
        <v>199.7715</v>
      </c>
      <c r="EQ19" s="66">
        <f>AVERAGE(EQ30,EQ37,EQ44,EQ52,EQ59,EQ66,EQ73)</f>
        <v>195.88400000000001</v>
      </c>
      <c r="ER19" s="66">
        <f>AVERAGE(ER30,ER37,ER44,ER52,ER59,ER66,ER73)</f>
        <v>196.364</v>
      </c>
      <c r="ES19" s="66">
        <f>AVERAGE(ES30,ES37,ES44,ES52,ES59,ES66,ES73)</f>
        <v>192.70400000000001</v>
      </c>
      <c r="EU19" s="449" t="s">
        <v>365</v>
      </c>
      <c r="EV19" s="113">
        <f>EV18/EV$7</f>
        <v>6.2604620020087043E-2</v>
      </c>
      <c r="EW19" s="113">
        <f>EW18/EW$7</f>
        <v>6.0679611650485438E-2</v>
      </c>
      <c r="EX19" s="113">
        <f>EX18/EX$7</f>
        <v>6.5448595582219798E-2</v>
      </c>
      <c r="EY19" s="113">
        <f>EY18/EY$7</f>
        <v>6.2776957163958647E-2</v>
      </c>
      <c r="EZ19" s="113">
        <f>EZ18/EZ$7</f>
        <v>5.7282415630550622E-2</v>
      </c>
      <c r="FI19" s="73" t="s">
        <v>630</v>
      </c>
      <c r="FJ19" s="792">
        <v>13.6</v>
      </c>
      <c r="FK19" s="792">
        <v>13.3</v>
      </c>
      <c r="FL19" s="792"/>
      <c r="FM19" s="792">
        <v>21</v>
      </c>
      <c r="FN19" s="792">
        <v>19.600000000000001</v>
      </c>
      <c r="FP19" s="66" t="s">
        <v>653</v>
      </c>
      <c r="FQ19" s="66" t="s">
        <v>654</v>
      </c>
      <c r="FR19" s="792">
        <v>8.6999999999999993</v>
      </c>
      <c r="FS19" s="475" t="s">
        <v>185</v>
      </c>
      <c r="FV19" s="455" t="str">
        <f t="shared" si="15"/>
        <v>Q4</v>
      </c>
      <c r="FW19" s="455" t="str">
        <f t="shared" si="15"/>
        <v>10/1 - 12/31</v>
      </c>
      <c r="FX19" s="457">
        <f t="shared" si="15"/>
        <v>231.5</v>
      </c>
      <c r="GM19" s="66" t="s">
        <v>575</v>
      </c>
      <c r="HC19" s="86"/>
    </row>
    <row r="20" spans="2:211" ht="13.5" customHeight="1" thickTop="1" thickBot="1" x14ac:dyDescent="0.4">
      <c r="C20" s="81" t="s">
        <v>630</v>
      </c>
      <c r="D20" s="81" t="s">
        <v>671</v>
      </c>
      <c r="E20" s="509" t="s">
        <v>159</v>
      </c>
      <c r="F20" s="510">
        <v>24621.9</v>
      </c>
      <c r="G20" s="511">
        <v>14155</v>
      </c>
      <c r="DK20" s="524" t="s">
        <v>714</v>
      </c>
      <c r="DL20" s="533">
        <v>236</v>
      </c>
      <c r="DM20" s="533">
        <v>259</v>
      </c>
      <c r="DN20" s="533">
        <v>215</v>
      </c>
      <c r="DO20" s="533">
        <v>204</v>
      </c>
      <c r="DP20" s="533">
        <v>224</v>
      </c>
      <c r="DQ20" s="533">
        <v>246</v>
      </c>
      <c r="DR20" s="533">
        <v>236</v>
      </c>
      <c r="DS20" s="533">
        <v>255</v>
      </c>
      <c r="DT20" s="533">
        <v>269</v>
      </c>
      <c r="DU20" s="533">
        <v>270</v>
      </c>
      <c r="DV20" s="533">
        <v>270</v>
      </c>
      <c r="DW20" s="533">
        <v>284</v>
      </c>
      <c r="EN20" s="449" t="s">
        <v>365</v>
      </c>
      <c r="EO20" s="113">
        <f>EO19/EO$8</f>
        <v>7.4098796806273806E-2</v>
      </c>
      <c r="EP20" s="113">
        <f>EP19/EP$8</f>
        <v>6.4794726496988628E-2</v>
      </c>
      <c r="EQ20" s="113">
        <f>EQ19/EQ$8</f>
        <v>5.8049679648650737E-2</v>
      </c>
      <c r="ER20" s="113">
        <f>ER19/ER$8</f>
        <v>5.0519554060044387E-2</v>
      </c>
      <c r="ES20" s="113">
        <f>ES19/ES$8</f>
        <v>4.566436840878027E-2</v>
      </c>
      <c r="FI20" s="73" t="s">
        <v>537</v>
      </c>
      <c r="FJ20" s="792">
        <v>14.8</v>
      </c>
      <c r="FK20" s="792">
        <v>13</v>
      </c>
      <c r="FL20" s="792"/>
      <c r="FM20" s="792">
        <v>26.4</v>
      </c>
      <c r="FN20" s="792">
        <v>23.2</v>
      </c>
      <c r="FP20" s="125" t="s">
        <v>655</v>
      </c>
      <c r="FQ20" s="125" t="s">
        <v>656</v>
      </c>
      <c r="FR20" s="793">
        <v>8.3000000000000007</v>
      </c>
      <c r="FS20" s="115">
        <v>0.28999999999999998</v>
      </c>
      <c r="FU20" s="108">
        <f>FU36</f>
        <v>2017</v>
      </c>
      <c r="FV20" s="901" t="str">
        <f t="shared" si="15"/>
        <v>Q1</v>
      </c>
      <c r="FW20" s="901" t="str">
        <f t="shared" si="15"/>
        <v>1/1 - 3/31</v>
      </c>
      <c r="FX20" s="902">
        <f t="shared" si="15"/>
        <v>249.83333333333334</v>
      </c>
      <c r="FY20" s="454"/>
      <c r="FZ20" s="454"/>
      <c r="GA20" s="454"/>
      <c r="GG20" s="119"/>
      <c r="GH20" s="119"/>
      <c r="GI20" s="119"/>
      <c r="GJ20" s="119"/>
      <c r="GK20" s="119"/>
      <c r="GL20" s="119"/>
      <c r="GM20" s="73" t="s">
        <v>574</v>
      </c>
      <c r="GN20" s="66">
        <v>0</v>
      </c>
      <c r="GO20" s="66">
        <v>0</v>
      </c>
      <c r="GP20" s="66">
        <v>0</v>
      </c>
      <c r="GQ20" s="66">
        <v>0</v>
      </c>
      <c r="GR20" s="66">
        <v>17.108000000000001</v>
      </c>
      <c r="GS20" s="66">
        <f>(9072)/1000</f>
        <v>9.0719999999999992</v>
      </c>
      <c r="HC20" s="86"/>
    </row>
    <row r="21" spans="2:211" ht="13.5" customHeight="1" thickTop="1" x14ac:dyDescent="0.35">
      <c r="C21" s="81" t="s">
        <v>537</v>
      </c>
      <c r="D21" s="81" t="s">
        <v>671</v>
      </c>
      <c r="E21" s="509" t="s">
        <v>615</v>
      </c>
      <c r="F21" s="510">
        <v>21315.9</v>
      </c>
      <c r="G21" s="511">
        <v>13172</v>
      </c>
      <c r="DK21" s="524" t="s">
        <v>713</v>
      </c>
      <c r="DL21" s="533">
        <v>43</v>
      </c>
      <c r="DM21" s="533">
        <v>48</v>
      </c>
      <c r="DN21" s="533">
        <v>11</v>
      </c>
      <c r="DO21" s="533">
        <v>12</v>
      </c>
      <c r="DP21" s="533">
        <v>4</v>
      </c>
      <c r="DQ21" s="533">
        <v>17</v>
      </c>
      <c r="DR21" s="533">
        <v>48</v>
      </c>
      <c r="DS21" s="533">
        <v>53</v>
      </c>
      <c r="DT21" s="533">
        <v>78</v>
      </c>
      <c r="DU21" s="533">
        <v>62</v>
      </c>
      <c r="DV21" s="533">
        <v>58</v>
      </c>
      <c r="DW21" s="533">
        <v>68</v>
      </c>
      <c r="EV21" s="101"/>
      <c r="EW21" s="925" t="s">
        <v>1061</v>
      </c>
      <c r="EX21" s="926"/>
      <c r="EY21" s="924"/>
      <c r="EZ21" s="928">
        <v>2016</v>
      </c>
      <c r="FI21" s="73" t="s">
        <v>631</v>
      </c>
      <c r="FJ21" s="792">
        <v>15.5</v>
      </c>
      <c r="FK21" s="792">
        <v>15</v>
      </c>
      <c r="FL21" s="792"/>
      <c r="FM21" s="792">
        <v>23.4</v>
      </c>
      <c r="FN21" s="792">
        <v>20.3</v>
      </c>
      <c r="FV21" s="119"/>
      <c r="FW21" s="119"/>
      <c r="FX21" s="119"/>
      <c r="FY21" s="119"/>
      <c r="FZ21" s="119"/>
      <c r="GA21" s="119"/>
      <c r="GC21" s="119"/>
      <c r="GD21" s="119"/>
      <c r="GE21" s="119"/>
      <c r="GF21" s="119"/>
      <c r="GM21" s="73" t="s">
        <v>576</v>
      </c>
      <c r="GN21" s="66">
        <v>-0.46600000000000003</v>
      </c>
      <c r="GO21" s="66">
        <v>-1.208</v>
      </c>
      <c r="GP21" s="66">
        <v>-4.0170000000000003</v>
      </c>
      <c r="GQ21" s="66">
        <v>-3.1749999999999998</v>
      </c>
      <c r="GR21" s="66">
        <v>1.1919999999999999</v>
      </c>
      <c r="GS21" s="66">
        <v>1.38</v>
      </c>
      <c r="HC21" s="86"/>
    </row>
    <row r="22" spans="2:211" ht="13.5" customHeight="1" x14ac:dyDescent="0.35">
      <c r="C22" s="81" t="s">
        <v>672</v>
      </c>
      <c r="D22" s="81" t="s">
        <v>671</v>
      </c>
      <c r="E22" s="509" t="s">
        <v>155</v>
      </c>
      <c r="F22" s="510">
        <v>3232</v>
      </c>
      <c r="G22" s="511">
        <v>4167</v>
      </c>
      <c r="DK22" s="524" t="s">
        <v>712</v>
      </c>
      <c r="DL22" s="533">
        <v>18</v>
      </c>
      <c r="DM22" s="533">
        <v>41</v>
      </c>
      <c r="DN22" s="533">
        <v>38</v>
      </c>
      <c r="DO22" s="533">
        <v>16</v>
      </c>
      <c r="DP22" s="533">
        <v>48</v>
      </c>
      <c r="DQ22" s="533">
        <v>59</v>
      </c>
      <c r="DR22" s="533">
        <v>41</v>
      </c>
      <c r="DS22" s="533">
        <v>29</v>
      </c>
      <c r="DT22" s="533">
        <v>25</v>
      </c>
      <c r="DU22" s="533">
        <v>28</v>
      </c>
      <c r="DV22" s="533">
        <v>15</v>
      </c>
      <c r="DW22" s="533">
        <v>17</v>
      </c>
      <c r="EO22" s="66"/>
      <c r="EP22" s="66"/>
      <c r="EQ22" s="66"/>
      <c r="ER22" s="66"/>
      <c r="ES22" s="66"/>
      <c r="EU22" s="102"/>
      <c r="EV22" s="104"/>
      <c r="EW22" s="923" t="s">
        <v>1059</v>
      </c>
      <c r="EX22" s="923" t="s">
        <v>543</v>
      </c>
      <c r="EY22" s="923"/>
      <c r="EZ22" s="63">
        <f>'LBO Model'!H148</f>
        <v>2795.3650000000002</v>
      </c>
      <c r="FA22" s="62" t="s">
        <v>1064</v>
      </c>
      <c r="FI22" s="73" t="s">
        <v>643</v>
      </c>
      <c r="FJ22" s="792">
        <v>13.5</v>
      </c>
      <c r="FK22" s="792">
        <v>12.5</v>
      </c>
      <c r="FL22" s="792"/>
      <c r="FM22" s="792">
        <v>29.7</v>
      </c>
      <c r="FN22" s="792">
        <v>22.9</v>
      </c>
      <c r="FP22" s="791" t="s">
        <v>978</v>
      </c>
      <c r="FQ22" s="790"/>
      <c r="FR22" s="802">
        <f>AVERAGE(FR9:FR20)</f>
        <v>13.749999999999998</v>
      </c>
      <c r="FS22" s="803">
        <f>AVERAGE(FS9:FS20)</f>
        <v>0.3455555555555555</v>
      </c>
      <c r="GH22" s="62" t="s">
        <v>569</v>
      </c>
      <c r="GI22" s="455"/>
      <c r="GJ22" s="457"/>
      <c r="GK22" s="464"/>
      <c r="GL22" s="464"/>
      <c r="GM22" s="66" t="s">
        <v>573</v>
      </c>
      <c r="GN22" s="66">
        <v>83.950999999999993</v>
      </c>
      <c r="GO22" s="66">
        <v>109.548</v>
      </c>
      <c r="GP22" s="66">
        <v>116.551</v>
      </c>
      <c r="GQ22" s="66">
        <v>98.001000000000005</v>
      </c>
      <c r="GR22" s="66">
        <v>87.247</v>
      </c>
      <c r="GS22" s="66">
        <v>84.257999999999996</v>
      </c>
      <c r="HC22" s="86"/>
    </row>
    <row r="23" spans="2:211" ht="13.5" customHeight="1" x14ac:dyDescent="0.35">
      <c r="C23" s="81" t="s">
        <v>602</v>
      </c>
      <c r="D23" s="81" t="s">
        <v>671</v>
      </c>
      <c r="E23" s="509" t="s">
        <v>615</v>
      </c>
      <c r="F23" s="510">
        <v>3001.4</v>
      </c>
      <c r="G23" s="511">
        <v>683</v>
      </c>
      <c r="DK23" s="524" t="s">
        <v>241</v>
      </c>
      <c r="DL23" s="533">
        <v>46</v>
      </c>
      <c r="DM23" s="533">
        <v>49</v>
      </c>
      <c r="DN23" s="533">
        <v>45</v>
      </c>
      <c r="DO23" s="533">
        <v>18</v>
      </c>
      <c r="DP23" s="533">
        <v>22</v>
      </c>
      <c r="DQ23" s="533">
        <v>13</v>
      </c>
      <c r="DR23" s="533">
        <v>10</v>
      </c>
      <c r="DS23" s="533">
        <v>18</v>
      </c>
      <c r="DT23" s="533">
        <v>0</v>
      </c>
      <c r="DU23" s="533">
        <v>0</v>
      </c>
      <c r="DV23" s="533">
        <v>0</v>
      </c>
      <c r="DW23" s="533">
        <v>0</v>
      </c>
      <c r="EN23" s="102"/>
      <c r="EO23" s="104"/>
      <c r="EP23" s="104"/>
      <c r="EQ23" s="104"/>
      <c r="ER23" s="104"/>
      <c r="ES23" s="104"/>
      <c r="EV23" s="62">
        <v>2017</v>
      </c>
      <c r="EW23" s="63">
        <f ca="1">'LBO Model'!I148</f>
        <v>2846.1157142857151</v>
      </c>
      <c r="EX23" s="63">
        <v>2987</v>
      </c>
      <c r="EZ23" s="62">
        <f>'LBO Model'!H162</f>
        <v>403.19000000000017</v>
      </c>
      <c r="FA23" s="62" t="s">
        <v>111</v>
      </c>
      <c r="FJ23" s="792"/>
      <c r="FK23" s="792"/>
      <c r="FL23" s="792"/>
      <c r="FM23" s="792"/>
      <c r="FN23" s="792"/>
      <c r="FU23" s="459"/>
      <c r="FV23" s="459"/>
      <c r="FW23" s="459"/>
      <c r="FX23" s="96" t="s">
        <v>563</v>
      </c>
      <c r="FY23" s="96" t="s">
        <v>183</v>
      </c>
      <c r="FZ23" s="96" t="s">
        <v>182</v>
      </c>
      <c r="GA23" s="96" t="s">
        <v>562</v>
      </c>
      <c r="GB23" s="96" t="s">
        <v>180</v>
      </c>
      <c r="GC23" s="96" t="s">
        <v>256</v>
      </c>
      <c r="GD23" s="96" t="s">
        <v>181</v>
      </c>
      <c r="GE23" s="96" t="s">
        <v>187</v>
      </c>
      <c r="GF23" s="96" t="s">
        <v>257</v>
      </c>
      <c r="GH23" s="462">
        <v>2012</v>
      </c>
      <c r="GI23" s="465">
        <v>5.89</v>
      </c>
      <c r="GJ23" s="469"/>
      <c r="GM23" s="66" t="s">
        <v>18</v>
      </c>
      <c r="GN23" s="66">
        <v>0.82199999999999995</v>
      </c>
      <c r="GO23" s="66">
        <v>1.0820000000000001</v>
      </c>
      <c r="GP23" s="66">
        <v>1.0529999999999999</v>
      </c>
      <c r="GQ23" s="66">
        <v>1.8240000000000001</v>
      </c>
      <c r="GR23" s="66">
        <v>3.83</v>
      </c>
      <c r="GS23" s="66">
        <v>8.8840000000000003</v>
      </c>
      <c r="HC23" s="86"/>
    </row>
    <row r="24" spans="2:211" ht="13.5" customHeight="1" x14ac:dyDescent="0.35">
      <c r="C24" s="81" t="s">
        <v>629</v>
      </c>
      <c r="D24" s="81" t="s">
        <v>671</v>
      </c>
      <c r="E24" s="509" t="s">
        <v>148</v>
      </c>
      <c r="F24" s="512">
        <v>2216.5279999999998</v>
      </c>
      <c r="G24" s="511">
        <v>5371</v>
      </c>
      <c r="EE24" s="453"/>
      <c r="EN24" s="102"/>
      <c r="EO24" s="127"/>
      <c r="EP24" s="127"/>
      <c r="EQ24" s="127"/>
      <c r="ER24" s="537"/>
      <c r="ES24" s="103"/>
      <c r="EV24" s="62">
        <v>2018</v>
      </c>
      <c r="EW24" s="63">
        <f ca="1">'LBO Model'!J148</f>
        <v>3083.1444285714297</v>
      </c>
      <c r="EX24" s="63">
        <v>3296</v>
      </c>
      <c r="EZ24" s="62">
        <f>'LBO Model'!H201</f>
        <v>200.06299999999999</v>
      </c>
      <c r="FA24" s="62" t="s">
        <v>1065</v>
      </c>
      <c r="FI24" s="795" t="s">
        <v>632</v>
      </c>
      <c r="FJ24" s="792"/>
      <c r="FK24" s="792"/>
      <c r="FL24" s="792"/>
      <c r="FM24" s="792"/>
      <c r="FN24" s="792"/>
      <c r="FP24" s="896" t="s">
        <v>1004</v>
      </c>
      <c r="FQ24" s="897"/>
      <c r="FR24" s="897"/>
      <c r="FS24" s="897"/>
      <c r="FU24" s="62">
        <v>2014</v>
      </c>
      <c r="FV24" s="119" t="s">
        <v>554</v>
      </c>
      <c r="FW24" s="455" t="s">
        <v>558</v>
      </c>
      <c r="FX24" s="457">
        <f t="shared" ref="FX24:FX36" si="16">AVERAGE(FY24:GE24)</f>
        <v>178.33333333333334</v>
      </c>
      <c r="FY24" s="457">
        <v>160</v>
      </c>
      <c r="FZ24" s="457"/>
      <c r="GA24" s="457">
        <v>175</v>
      </c>
      <c r="GB24" s="457"/>
      <c r="GC24" s="468"/>
      <c r="GD24" s="468"/>
      <c r="GE24" s="457">
        <f>(195+205)/2</f>
        <v>200</v>
      </c>
      <c r="GF24" s="457"/>
      <c r="GH24" s="462">
        <f t="shared" ref="GH24:GH29" si="17">GH23+1</f>
        <v>2013</v>
      </c>
      <c r="GI24" s="455">
        <v>6.68</v>
      </c>
      <c r="GJ24" s="469">
        <v>6.66</v>
      </c>
      <c r="GM24" s="66" t="s">
        <v>528</v>
      </c>
      <c r="GN24" s="66">
        <v>79.899000000000001</v>
      </c>
      <c r="GO24" s="66">
        <v>90.938999999999993</v>
      </c>
      <c r="GP24" s="66">
        <v>106.523</v>
      </c>
      <c r="GQ24" s="66">
        <v>124.10899999999999</v>
      </c>
      <c r="GR24" s="66">
        <v>135.398</v>
      </c>
      <c r="GS24" s="66">
        <v>154.35499999999999</v>
      </c>
      <c r="HC24" s="86"/>
    </row>
    <row r="25" spans="2:211" ht="13.5" customHeight="1" x14ac:dyDescent="0.35">
      <c r="C25" s="81" t="s">
        <v>171</v>
      </c>
      <c r="D25" s="81" t="s">
        <v>671</v>
      </c>
      <c r="E25" s="509" t="s">
        <v>151</v>
      </c>
      <c r="F25" s="510">
        <v>2025</v>
      </c>
      <c r="G25" s="511">
        <v>6278</v>
      </c>
      <c r="EN25" s="95" t="s">
        <v>183</v>
      </c>
      <c r="EO25" s="124">
        <v>2017</v>
      </c>
      <c r="EP25" s="124">
        <f>EO25+1</f>
        <v>2018</v>
      </c>
      <c r="EQ25" s="124">
        <f>EP25+1</f>
        <v>2019</v>
      </c>
      <c r="ER25" s="124">
        <f>EQ25+1</f>
        <v>2020</v>
      </c>
      <c r="ES25" s="124">
        <f>ER25+1</f>
        <v>2021</v>
      </c>
      <c r="EV25" s="62">
        <v>2019</v>
      </c>
      <c r="EW25" s="63">
        <f ca="1">'LBO Model'!K148</f>
        <v>3374.4200000000014</v>
      </c>
      <c r="EX25" s="63">
        <v>3667</v>
      </c>
      <c r="EZ25" s="62">
        <f>EZ23-EZ24</f>
        <v>203.12700000000018</v>
      </c>
      <c r="FA25" s="62" t="s">
        <v>1066</v>
      </c>
      <c r="FI25" s="73" t="s">
        <v>633</v>
      </c>
      <c r="FJ25" s="792">
        <v>15</v>
      </c>
      <c r="FK25" s="792">
        <v>14.1</v>
      </c>
      <c r="FL25" s="792"/>
      <c r="FM25" s="792">
        <v>23.1</v>
      </c>
      <c r="FN25" s="792">
        <v>20.5</v>
      </c>
      <c r="FP25" s="898" t="s">
        <v>978</v>
      </c>
      <c r="FQ25" s="897"/>
      <c r="FR25" s="899">
        <f>AVERAGE(FR9,FR11,FR15,FR16)</f>
        <v>15.500000000000002</v>
      </c>
      <c r="FS25" s="900">
        <f>AVERAGE(FS9,FS11,FS15,FS16)</f>
        <v>0.33499999999999996</v>
      </c>
      <c r="FU25" s="110"/>
      <c r="FV25" s="119" t="s">
        <v>555</v>
      </c>
      <c r="FW25" s="455" t="s">
        <v>559</v>
      </c>
      <c r="FX25" s="466">
        <f t="shared" si="16"/>
        <v>186</v>
      </c>
      <c r="FY25" s="62">
        <v>174</v>
      </c>
      <c r="GA25" s="62">
        <v>165</v>
      </c>
      <c r="GC25" s="119"/>
      <c r="GD25" s="62">
        <v>200</v>
      </c>
      <c r="GE25" s="62">
        <f>(200+210)/2</f>
        <v>205</v>
      </c>
      <c r="GH25" s="462">
        <f t="shared" si="17"/>
        <v>2014</v>
      </c>
      <c r="GI25" s="455">
        <v>6.53</v>
      </c>
      <c r="GJ25" s="469">
        <v>6.51</v>
      </c>
      <c r="GM25" s="74" t="s">
        <v>111</v>
      </c>
      <c r="GN25" s="74">
        <f>SUM(GN18:GN24)</f>
        <v>300.15800000000002</v>
      </c>
      <c r="GO25" s="74">
        <f>SUM(GO18:GO24)</f>
        <v>373.80899999999997</v>
      </c>
      <c r="GP25" s="74">
        <f>SUM(GP18:GP24)</f>
        <v>416.279</v>
      </c>
      <c r="GQ25" s="74">
        <f>(SUM(GQ18:GQ24))</f>
        <v>400.05200000000002</v>
      </c>
      <c r="GR25" s="74">
        <f>(SUM(GR18:GR24))</f>
        <v>394.1</v>
      </c>
      <c r="GS25" s="74">
        <f>(SUM(GS18:GS24))</f>
        <v>403.19000000000005</v>
      </c>
      <c r="HC25" s="86"/>
    </row>
    <row r="26" spans="2:211" ht="13.5" customHeight="1" x14ac:dyDescent="0.35">
      <c r="C26" s="81" t="s">
        <v>617</v>
      </c>
      <c r="D26" s="81" t="s">
        <v>671</v>
      </c>
      <c r="E26" s="509" t="s">
        <v>159</v>
      </c>
      <c r="F26" s="510">
        <v>1144.4000000000001</v>
      </c>
      <c r="G26" s="511">
        <v>7161</v>
      </c>
      <c r="EN26" s="62" t="s">
        <v>107</v>
      </c>
      <c r="EO26" s="66">
        <v>2931</v>
      </c>
      <c r="EP26" s="66">
        <v>3156</v>
      </c>
      <c r="EQ26" s="66">
        <v>3391</v>
      </c>
      <c r="ER26" s="126" t="s">
        <v>185</v>
      </c>
      <c r="ES26" s="119" t="s">
        <v>185</v>
      </c>
      <c r="EV26" s="62">
        <v>2020</v>
      </c>
      <c r="EW26" s="63">
        <f ca="1">'LBO Model'!L148</f>
        <v>3886.8910000000014</v>
      </c>
      <c r="EX26" s="63">
        <v>4062</v>
      </c>
      <c r="FI26" s="73" t="s">
        <v>172</v>
      </c>
      <c r="FJ26" s="792">
        <v>14.4</v>
      </c>
      <c r="FK26" s="792">
        <v>13.3</v>
      </c>
      <c r="FL26" s="792"/>
      <c r="FM26" s="792">
        <v>29.6</v>
      </c>
      <c r="FN26" s="792">
        <v>24.3</v>
      </c>
      <c r="FU26" s="110"/>
      <c r="FV26" s="119" t="s">
        <v>556</v>
      </c>
      <c r="FW26" s="455" t="s">
        <v>560</v>
      </c>
      <c r="FX26" s="466">
        <f t="shared" si="16"/>
        <v>167</v>
      </c>
      <c r="FY26" s="62">
        <v>175</v>
      </c>
      <c r="GA26" s="62">
        <v>160</v>
      </c>
      <c r="GC26" s="62">
        <v>135</v>
      </c>
      <c r="GD26" s="62">
        <v>180</v>
      </c>
      <c r="GE26" s="62">
        <f>(180+190)/2</f>
        <v>185</v>
      </c>
      <c r="GH26" s="462">
        <f t="shared" si="17"/>
        <v>2015</v>
      </c>
      <c r="GI26" s="455">
        <v>6.21</v>
      </c>
      <c r="GJ26" s="469">
        <v>6.12</v>
      </c>
    </row>
    <row r="27" spans="2:211" ht="13.5" customHeight="1" x14ac:dyDescent="0.35">
      <c r="C27" s="81" t="s">
        <v>673</v>
      </c>
      <c r="D27" s="81" t="s">
        <v>671</v>
      </c>
      <c r="E27" s="509" t="s">
        <v>148</v>
      </c>
      <c r="F27" s="510">
        <v>1111</v>
      </c>
      <c r="G27" s="511">
        <v>7689</v>
      </c>
      <c r="EF27" s="62" t="s">
        <v>542</v>
      </c>
      <c r="EN27" s="62" t="s">
        <v>111</v>
      </c>
      <c r="EO27" s="66">
        <v>441</v>
      </c>
      <c r="EP27" s="66">
        <v>498</v>
      </c>
      <c r="EQ27" s="66">
        <v>553</v>
      </c>
      <c r="ER27" s="126" t="s">
        <v>185</v>
      </c>
      <c r="ES27" s="119" t="s">
        <v>185</v>
      </c>
      <c r="EV27" s="62">
        <v>2021</v>
      </c>
      <c r="EW27" s="63">
        <f ca="1">'LBO Model'!M148</f>
        <v>4220.0080000000016</v>
      </c>
      <c r="EX27" s="63">
        <v>4504</v>
      </c>
      <c r="FI27" s="73" t="s">
        <v>634</v>
      </c>
      <c r="FJ27" s="792">
        <v>11.4</v>
      </c>
      <c r="FK27" s="792">
        <v>10.9</v>
      </c>
      <c r="FL27" s="792"/>
      <c r="FM27" s="792">
        <v>21.5</v>
      </c>
      <c r="FN27" s="792">
        <v>18.399999999999999</v>
      </c>
      <c r="FU27" s="110"/>
      <c r="FV27" s="119" t="s">
        <v>557</v>
      </c>
      <c r="FW27" s="455" t="s">
        <v>561</v>
      </c>
      <c r="FX27" s="466">
        <f t="shared" si="16"/>
        <v>154</v>
      </c>
      <c r="FY27" s="62">
        <v>183</v>
      </c>
      <c r="GA27" s="456"/>
      <c r="GC27" s="62">
        <v>125</v>
      </c>
      <c r="GD27" s="456"/>
      <c r="GE27" s="456"/>
      <c r="GH27" s="462">
        <f t="shared" si="17"/>
        <v>2016</v>
      </c>
      <c r="GI27" s="455">
        <v>6.74</v>
      </c>
      <c r="GJ27" s="469">
        <v>6.7</v>
      </c>
      <c r="GM27" s="70" t="s">
        <v>578</v>
      </c>
      <c r="GU27" s="464"/>
      <c r="GV27" s="464"/>
      <c r="GW27" s="464"/>
      <c r="GX27" s="464"/>
      <c r="GY27" s="464"/>
      <c r="GZ27" s="464"/>
      <c r="HA27" s="464"/>
    </row>
    <row r="28" spans="2:211" ht="13.5" customHeight="1" x14ac:dyDescent="0.35">
      <c r="C28" s="81" t="s">
        <v>623</v>
      </c>
      <c r="D28" s="81" t="s">
        <v>671</v>
      </c>
      <c r="E28" s="509" t="s">
        <v>162</v>
      </c>
      <c r="F28" s="512">
        <v>407.13099999999997</v>
      </c>
      <c r="G28" s="511">
        <v>454</v>
      </c>
      <c r="H28" s="66" t="str">
        <f>FI11</f>
        <v>Potbelly</v>
      </c>
      <c r="I28" s="66">
        <f>FJ11</f>
        <v>7.7</v>
      </c>
      <c r="J28" s="66">
        <f>FK11</f>
        <v>7</v>
      </c>
      <c r="EE28" s="62" t="s">
        <v>540</v>
      </c>
      <c r="EF28" s="62" t="s">
        <v>543</v>
      </c>
      <c r="EG28" s="62" t="s">
        <v>544</v>
      </c>
      <c r="EH28" s="62" t="s">
        <v>541</v>
      </c>
      <c r="EI28" s="62" t="s">
        <v>544</v>
      </c>
      <c r="EJ28" s="62" t="s">
        <v>552</v>
      </c>
      <c r="EK28" s="62" t="s">
        <v>546</v>
      </c>
      <c r="EN28" s="62" t="s">
        <v>112</v>
      </c>
      <c r="EO28" s="66">
        <v>281</v>
      </c>
      <c r="EP28" s="66">
        <v>333</v>
      </c>
      <c r="EQ28" s="66">
        <v>381</v>
      </c>
      <c r="ER28" s="126" t="s">
        <v>185</v>
      </c>
      <c r="ES28" s="119" t="s">
        <v>185</v>
      </c>
      <c r="EV28" s="930" t="s">
        <v>145</v>
      </c>
      <c r="EW28" s="929">
        <f ca="1">((EW27/$EZ$22)^(1/5)-1)</f>
        <v>8.5862787747297054E-2</v>
      </c>
      <c r="EX28" s="929">
        <f>((EX27/$EZ$22)^(1/5)-1)</f>
        <v>0.10009951124775651</v>
      </c>
      <c r="FI28" s="73" t="s">
        <v>635</v>
      </c>
      <c r="FJ28" s="792">
        <v>15.9</v>
      </c>
      <c r="FK28" s="792">
        <v>14.9</v>
      </c>
      <c r="FL28" s="792"/>
      <c r="FM28" s="792">
        <v>28.6</v>
      </c>
      <c r="FN28" s="792">
        <v>25.4</v>
      </c>
      <c r="FU28" s="62">
        <v>2015</v>
      </c>
      <c r="FV28" s="119" t="s">
        <v>554</v>
      </c>
      <c r="FW28" s="455" t="s">
        <v>558</v>
      </c>
      <c r="FX28" s="466">
        <f t="shared" si="16"/>
        <v>178.75</v>
      </c>
      <c r="FY28" s="62">
        <v>200</v>
      </c>
      <c r="FZ28" s="62">
        <v>190</v>
      </c>
      <c r="GA28" s="456"/>
      <c r="GC28" s="62">
        <v>140</v>
      </c>
      <c r="GD28" s="62">
        <v>185</v>
      </c>
      <c r="GE28" s="456"/>
      <c r="GH28" s="463">
        <f t="shared" si="17"/>
        <v>2017</v>
      </c>
      <c r="GJ28" s="469">
        <v>7.67</v>
      </c>
      <c r="GM28" s="66" t="s">
        <v>479</v>
      </c>
      <c r="GN28" s="464">
        <v>159.19</v>
      </c>
      <c r="GO28" s="464">
        <v>159.96</v>
      </c>
      <c r="GP28" s="464">
        <v>173.18</v>
      </c>
      <c r="GQ28" s="464">
        <v>176.62</v>
      </c>
      <c r="GR28" s="464">
        <v>201.06</v>
      </c>
      <c r="GS28" s="464">
        <v>232.1</v>
      </c>
      <c r="GT28" s="464"/>
      <c r="GU28" s="473"/>
      <c r="GV28" s="473"/>
      <c r="GW28" s="473"/>
      <c r="GX28" s="473"/>
      <c r="GY28" s="473"/>
      <c r="GZ28" s="473"/>
      <c r="HA28" s="473"/>
      <c r="HB28" s="464"/>
    </row>
    <row r="29" spans="2:211" ht="13.5" customHeight="1" x14ac:dyDescent="0.35">
      <c r="C29" s="81" t="s">
        <v>682</v>
      </c>
      <c r="D29" s="81" t="s">
        <v>671</v>
      </c>
      <c r="E29" s="509" t="s">
        <v>155</v>
      </c>
      <c r="F29" s="510">
        <v>268.89999999999998</v>
      </c>
      <c r="G29" s="511">
        <v>2067</v>
      </c>
      <c r="EE29" s="451">
        <v>42933</v>
      </c>
      <c r="EF29" s="62">
        <v>314.93</v>
      </c>
      <c r="EG29" s="62">
        <v>2459.139893</v>
      </c>
      <c r="EH29" s="92">
        <f t="shared" ref="EH29:EH92" si="18">EH30+(EF29-EF30)/EF30</f>
        <v>1.6703947934176522</v>
      </c>
      <c r="EI29" s="92">
        <f t="shared" ref="EI29:EI92" si="19">EI30+(EG29-EG30)/EG30</f>
        <v>1.2992652158986335</v>
      </c>
      <c r="EN29" s="62" t="s">
        <v>186</v>
      </c>
      <c r="EO29" s="66">
        <v>174</v>
      </c>
      <c r="EP29" s="66">
        <v>207</v>
      </c>
      <c r="EQ29" s="66">
        <v>239</v>
      </c>
      <c r="ER29" s="126" t="s">
        <v>185</v>
      </c>
      <c r="ES29" s="119" t="s">
        <v>185</v>
      </c>
      <c r="EW29" s="925" t="s">
        <v>1062</v>
      </c>
      <c r="EX29" s="926"/>
      <c r="EZ29" s="924" t="s">
        <v>948</v>
      </c>
      <c r="FA29" s="101"/>
      <c r="FI29" s="73" t="s">
        <v>636</v>
      </c>
      <c r="FJ29" s="792">
        <v>11.4</v>
      </c>
      <c r="FK29" s="792">
        <v>11</v>
      </c>
      <c r="FL29" s="792"/>
      <c r="FM29" s="792">
        <v>19.7</v>
      </c>
      <c r="FN29" s="792">
        <v>17.600000000000001</v>
      </c>
      <c r="FV29" s="119" t="s">
        <v>555</v>
      </c>
      <c r="FW29" s="455" t="s">
        <v>559</v>
      </c>
      <c r="FX29" s="466">
        <f t="shared" si="16"/>
        <v>205.83333333333334</v>
      </c>
      <c r="FY29" s="62">
        <v>210</v>
      </c>
      <c r="FZ29" s="62">
        <v>210</v>
      </c>
      <c r="GA29" s="62">
        <v>180</v>
      </c>
      <c r="GC29" s="62">
        <v>225</v>
      </c>
      <c r="GD29" s="62">
        <v>205</v>
      </c>
      <c r="GE29" s="62">
        <f>(200+210)/2</f>
        <v>205</v>
      </c>
      <c r="GH29" s="463">
        <f t="shared" si="17"/>
        <v>2018</v>
      </c>
      <c r="GJ29" s="469">
        <v>9.14</v>
      </c>
      <c r="GM29" s="194" t="s">
        <v>579</v>
      </c>
      <c r="GN29" s="473">
        <v>40962</v>
      </c>
      <c r="GO29" s="473">
        <v>41319</v>
      </c>
      <c r="GP29" s="473">
        <v>41688</v>
      </c>
      <c r="GQ29" s="473">
        <v>42045</v>
      </c>
      <c r="GR29" s="473">
        <v>42418</v>
      </c>
      <c r="GS29" s="473">
        <v>42787</v>
      </c>
      <c r="GT29" s="473"/>
      <c r="HB29" s="473"/>
    </row>
    <row r="30" spans="2:211" ht="13.5" customHeight="1" x14ac:dyDescent="0.35">
      <c r="B30" s="110" t="s">
        <v>739</v>
      </c>
      <c r="C30" s="73"/>
      <c r="D30" s="81"/>
      <c r="E30" s="509"/>
      <c r="F30" s="510"/>
      <c r="G30" s="511"/>
      <c r="EE30" s="451">
        <v>42930</v>
      </c>
      <c r="EF30" s="62">
        <v>314.88</v>
      </c>
      <c r="EG30" s="62">
        <v>2459.2700199999999</v>
      </c>
      <c r="EH30" s="92">
        <f t="shared" si="18"/>
        <v>1.6702360027672456</v>
      </c>
      <c r="EI30" s="92">
        <f t="shared" si="19"/>
        <v>1.2993181287544573</v>
      </c>
      <c r="EN30" s="62" t="s">
        <v>184</v>
      </c>
      <c r="EO30" s="66">
        <v>205</v>
      </c>
      <c r="EP30" s="66">
        <v>200</v>
      </c>
      <c r="EQ30" s="66">
        <v>195</v>
      </c>
      <c r="ER30" s="126" t="s">
        <v>185</v>
      </c>
      <c r="ES30" s="119" t="s">
        <v>185</v>
      </c>
      <c r="EW30" s="923" t="s">
        <v>1059</v>
      </c>
      <c r="EX30" s="923" t="s">
        <v>543</v>
      </c>
      <c r="EZ30" s="923" t="s">
        <v>1059</v>
      </c>
      <c r="FA30" s="923" t="s">
        <v>543</v>
      </c>
      <c r="FI30" s="73" t="s">
        <v>637</v>
      </c>
      <c r="FJ30" s="792">
        <v>12.1</v>
      </c>
      <c r="FK30" s="792">
        <v>11.3</v>
      </c>
      <c r="FL30" s="792"/>
      <c r="FM30" s="792">
        <v>22</v>
      </c>
      <c r="FN30" s="792">
        <v>20.5</v>
      </c>
      <c r="FV30" s="119" t="s">
        <v>556</v>
      </c>
      <c r="FW30" s="455" t="s">
        <v>560</v>
      </c>
      <c r="FX30" s="466">
        <f t="shared" si="16"/>
        <v>212.5</v>
      </c>
      <c r="FY30" s="62">
        <v>215</v>
      </c>
      <c r="FZ30" s="62">
        <v>220</v>
      </c>
      <c r="GA30" s="62">
        <v>185</v>
      </c>
      <c r="GD30" s="62">
        <v>230</v>
      </c>
      <c r="GE30" s="456"/>
      <c r="GH30" s="463"/>
      <c r="GM30" s="66" t="s">
        <v>503</v>
      </c>
      <c r="GN30" s="66">
        <f>(30384746+1383687)/1000000</f>
        <v>31.768433000000002</v>
      </c>
      <c r="GO30" s="66">
        <f>(28184556+1383687 )/1000000</f>
        <v>29.568242999999999</v>
      </c>
      <c r="GP30" s="66">
        <f>(26344580+1381865)/1000000</f>
        <v>27.726444999999998</v>
      </c>
      <c r="GQ30" s="66">
        <f>(25433644+1381865)/1000000</f>
        <v>26.815508999999999</v>
      </c>
      <c r="GR30" s="66">
        <f>(22995342+1381730)/1000000</f>
        <v>24.377071999999998</v>
      </c>
      <c r="GS30" s="66">
        <f>(21341550+1381730)/1000000</f>
        <v>22.723279999999999</v>
      </c>
    </row>
    <row r="31" spans="2:211" ht="13.5" customHeight="1" x14ac:dyDescent="0.35">
      <c r="C31" s="81" t="s">
        <v>172</v>
      </c>
      <c r="D31" s="81" t="s">
        <v>671</v>
      </c>
      <c r="E31" s="509" t="s">
        <v>159</v>
      </c>
      <c r="F31" s="510">
        <v>8964</v>
      </c>
      <c r="G31" s="511">
        <v>5739</v>
      </c>
      <c r="EE31" s="451">
        <v>42929</v>
      </c>
      <c r="EF31" s="62">
        <v>314.81</v>
      </c>
      <c r="EG31" s="62">
        <v>2447.830078</v>
      </c>
      <c r="EH31" s="92">
        <f t="shared" si="18"/>
        <v>1.670013646425325</v>
      </c>
      <c r="EI31" s="92">
        <f t="shared" si="19"/>
        <v>1.2946446254329576</v>
      </c>
      <c r="ER31" s="120"/>
      <c r="EV31" s="62">
        <v>2017</v>
      </c>
      <c r="EW31" s="63">
        <f ca="1">'LBO Model'!I200</f>
        <v>440.89999999999992</v>
      </c>
      <c r="EX31" s="63">
        <v>458</v>
      </c>
      <c r="EZ31" s="927">
        <f t="shared" ref="EZ31:FA35" ca="1" si="20">EW31/EW23</f>
        <v>0.15491288628461541</v>
      </c>
      <c r="FA31" s="927">
        <f t="shared" si="20"/>
        <v>0.15333110143957149</v>
      </c>
      <c r="FI31" s="73" t="s">
        <v>638</v>
      </c>
      <c r="FJ31" s="792">
        <v>8.1</v>
      </c>
      <c r="FK31" s="792">
        <v>7.5</v>
      </c>
      <c r="FL31" s="792"/>
      <c r="FM31" s="792">
        <v>21.4</v>
      </c>
      <c r="FN31" s="792">
        <v>19.100000000000001</v>
      </c>
      <c r="FV31" s="119" t="s">
        <v>557</v>
      </c>
      <c r="FW31" s="455" t="s">
        <v>561</v>
      </c>
      <c r="FX31" s="466">
        <f t="shared" si="16"/>
        <v>214</v>
      </c>
      <c r="FY31" s="62">
        <v>213</v>
      </c>
      <c r="FZ31" s="62">
        <v>215</v>
      </c>
      <c r="GA31" s="456"/>
      <c r="GD31" s="456"/>
      <c r="GE31" s="456"/>
      <c r="GM31" s="66" t="s">
        <v>369</v>
      </c>
      <c r="GN31" s="66">
        <f t="shared" ref="GN31:GS31" si="21">(GN28*GN30)</f>
        <v>5057.2168492700002</v>
      </c>
      <c r="GO31" s="66">
        <f t="shared" si="21"/>
        <v>4729.7361502800004</v>
      </c>
      <c r="GP31" s="66">
        <f t="shared" si="21"/>
        <v>4801.6657451000001</v>
      </c>
      <c r="GQ31" s="66">
        <f t="shared" si="21"/>
        <v>4736.15519958</v>
      </c>
      <c r="GR31" s="66">
        <f t="shared" si="21"/>
        <v>4901.2540963199999</v>
      </c>
      <c r="GS31" s="66">
        <f t="shared" si="21"/>
        <v>5274.0732879999996</v>
      </c>
    </row>
    <row r="32" spans="2:211" ht="13.5" customHeight="1" x14ac:dyDescent="0.35">
      <c r="C32" s="81" t="s">
        <v>635</v>
      </c>
      <c r="D32" s="81" t="s">
        <v>671</v>
      </c>
      <c r="E32" s="509" t="s">
        <v>148</v>
      </c>
      <c r="F32" s="510">
        <v>1714</v>
      </c>
      <c r="G32" s="511">
        <v>3331</v>
      </c>
      <c r="EE32" s="451">
        <v>42928</v>
      </c>
      <c r="EF32" s="62">
        <v>314.79000000000002</v>
      </c>
      <c r="EG32" s="62">
        <v>2443.25</v>
      </c>
      <c r="EH32" s="92">
        <f t="shared" si="18"/>
        <v>1.6699501120055531</v>
      </c>
      <c r="EI32" s="92">
        <f t="shared" si="19"/>
        <v>1.2927700411701928</v>
      </c>
      <c r="EN32" s="95" t="s">
        <v>180</v>
      </c>
      <c r="EO32" s="124">
        <v>2017</v>
      </c>
      <c r="EP32" s="124">
        <f>EO32+1</f>
        <v>2018</v>
      </c>
      <c r="EQ32" s="124">
        <f>EP32+1</f>
        <v>2019</v>
      </c>
      <c r="ER32" s="124">
        <f>EQ32+1</f>
        <v>2020</v>
      </c>
      <c r="ES32" s="124">
        <f>ER32+1</f>
        <v>2021</v>
      </c>
      <c r="EV32" s="62">
        <v>2018</v>
      </c>
      <c r="EW32" s="63">
        <f ca="1">'LBO Model'!J200</f>
        <v>489.40000000000043</v>
      </c>
      <c r="EX32" s="63">
        <v>533</v>
      </c>
      <c r="EZ32" s="927">
        <f t="shared" ca="1" si="20"/>
        <v>0.15873404938955882</v>
      </c>
      <c r="FA32" s="927">
        <f t="shared" si="20"/>
        <v>0.16171116504854369</v>
      </c>
      <c r="FI32" s="73" t="s">
        <v>639</v>
      </c>
      <c r="FJ32" s="792">
        <v>8.6999999999999993</v>
      </c>
      <c r="FK32" s="792">
        <v>7.7</v>
      </c>
      <c r="FL32" s="792"/>
      <c r="FM32" s="792">
        <v>18.100000000000001</v>
      </c>
      <c r="FN32" s="792">
        <v>16.7</v>
      </c>
      <c r="FU32" s="62">
        <v>2016</v>
      </c>
      <c r="FV32" s="119" t="s">
        <v>554</v>
      </c>
      <c r="FW32" s="455" t="s">
        <v>558</v>
      </c>
      <c r="FX32" s="466">
        <f t="shared" si="16"/>
        <v>225.5</v>
      </c>
      <c r="FY32" s="62">
        <v>230</v>
      </c>
      <c r="FZ32" s="62">
        <v>220</v>
      </c>
      <c r="GA32" s="456"/>
      <c r="GC32" s="62">
        <v>237</v>
      </c>
      <c r="GD32" s="456"/>
      <c r="GE32" s="62">
        <f>(210+220)/2</f>
        <v>215</v>
      </c>
    </row>
    <row r="33" spans="2:211" ht="13.5" customHeight="1" thickBot="1" x14ac:dyDescent="0.4">
      <c r="C33" s="81" t="s">
        <v>634</v>
      </c>
      <c r="D33" s="81" t="s">
        <v>671</v>
      </c>
      <c r="E33" s="509" t="s">
        <v>159</v>
      </c>
      <c r="F33" s="510">
        <v>1599</v>
      </c>
      <c r="G33" s="511">
        <v>2255</v>
      </c>
      <c r="EE33" s="451">
        <v>42927</v>
      </c>
      <c r="EF33" s="62">
        <v>314.75</v>
      </c>
      <c r="EG33" s="62">
        <v>2425.530029</v>
      </c>
      <c r="EH33" s="92">
        <f t="shared" si="18"/>
        <v>1.6698230270174672</v>
      </c>
      <c r="EI33" s="92">
        <f t="shared" si="19"/>
        <v>1.2854644334110072</v>
      </c>
      <c r="EN33" s="62" t="s">
        <v>107</v>
      </c>
      <c r="EO33" s="66">
        <v>2967.1970000000001</v>
      </c>
      <c r="EP33" s="66">
        <v>3250.4830000000002</v>
      </c>
      <c r="EQ33" s="122" t="s">
        <v>185</v>
      </c>
      <c r="ER33" s="126" t="s">
        <v>185</v>
      </c>
      <c r="ES33" s="119" t="s">
        <v>185</v>
      </c>
      <c r="EV33" s="62">
        <v>2019</v>
      </c>
      <c r="EW33" s="63">
        <f ca="1">'LBO Model'!K200</f>
        <v>561.10000000000059</v>
      </c>
      <c r="EX33" s="63">
        <v>624</v>
      </c>
      <c r="EZ33" s="927">
        <f t="shared" ca="1" si="20"/>
        <v>0.16628042745123617</v>
      </c>
      <c r="FA33" s="927">
        <f t="shared" si="20"/>
        <v>0.17016634851377146</v>
      </c>
      <c r="FI33" s="796" t="s">
        <v>640</v>
      </c>
      <c r="FJ33" s="797">
        <v>9.4</v>
      </c>
      <c r="FK33" s="797">
        <v>8.6999999999999993</v>
      </c>
      <c r="FL33" s="797"/>
      <c r="FM33" s="797">
        <v>24.3</v>
      </c>
      <c r="FN33" s="797">
        <v>22.1</v>
      </c>
      <c r="FV33" s="119" t="s">
        <v>555</v>
      </c>
      <c r="FW33" s="455" t="s">
        <v>559</v>
      </c>
      <c r="FX33" s="466">
        <f t="shared" si="16"/>
        <v>227</v>
      </c>
      <c r="FY33" s="62">
        <v>240</v>
      </c>
      <c r="FZ33" s="62">
        <v>225</v>
      </c>
      <c r="GA33" s="62">
        <v>195</v>
      </c>
      <c r="GD33" s="62">
        <v>240</v>
      </c>
      <c r="GE33" s="62">
        <f>(230 + 240)/2</f>
        <v>235</v>
      </c>
      <c r="GM33" s="66" t="s">
        <v>577</v>
      </c>
    </row>
    <row r="34" spans="2:211" ht="13.5" customHeight="1" x14ac:dyDescent="0.35">
      <c r="B34" s="509"/>
      <c r="C34" s="81" t="s">
        <v>675</v>
      </c>
      <c r="D34" s="81" t="s">
        <v>671</v>
      </c>
      <c r="E34" s="509" t="s">
        <v>615</v>
      </c>
      <c r="F34" s="510">
        <f>607.964+22.903+31.495</f>
        <v>662.36200000000008</v>
      </c>
      <c r="G34" s="511">
        <v>8828</v>
      </c>
      <c r="EE34" s="451">
        <v>42926</v>
      </c>
      <c r="EF34" s="62">
        <v>314.83999999999997</v>
      </c>
      <c r="EG34" s="62">
        <v>2427.429932</v>
      </c>
      <c r="EH34" s="92">
        <f t="shared" si="18"/>
        <v>1.6701088865016496</v>
      </c>
      <c r="EI34" s="92">
        <f t="shared" si="19"/>
        <v>1.2862471142929368</v>
      </c>
      <c r="EN34" s="62" t="s">
        <v>111</v>
      </c>
      <c r="EO34" s="66">
        <v>439.03500000000003</v>
      </c>
      <c r="EP34" s="66">
        <v>481.67</v>
      </c>
      <c r="EQ34" s="122" t="s">
        <v>185</v>
      </c>
      <c r="ER34" s="126" t="s">
        <v>185</v>
      </c>
      <c r="ES34" s="119" t="s">
        <v>185</v>
      </c>
      <c r="EV34" s="62">
        <v>2020</v>
      </c>
      <c r="EW34" s="63">
        <f ca="1">'LBO Model'!L200</f>
        <v>631.60000000000036</v>
      </c>
      <c r="EX34" s="63">
        <v>722</v>
      </c>
      <c r="EZ34" s="927">
        <f t="shared" ca="1" si="20"/>
        <v>0.16249490917033693</v>
      </c>
      <c r="FA34" s="927">
        <f t="shared" si="20"/>
        <v>0.1777449532250123</v>
      </c>
      <c r="FV34" s="119" t="s">
        <v>556</v>
      </c>
      <c r="FW34" s="455" t="s">
        <v>560</v>
      </c>
      <c r="FX34" s="466">
        <f t="shared" si="16"/>
        <v>248.33333333333334</v>
      </c>
      <c r="FZ34" s="62">
        <v>235</v>
      </c>
      <c r="GA34" s="456"/>
      <c r="GC34" s="62">
        <v>260</v>
      </c>
      <c r="GD34" s="62">
        <v>250</v>
      </c>
      <c r="GE34" s="456"/>
      <c r="GM34" s="73" t="s">
        <v>581</v>
      </c>
      <c r="GN34" s="66">
        <v>0</v>
      </c>
      <c r="GO34" s="66">
        <v>0</v>
      </c>
      <c r="GP34" s="66">
        <v>0</v>
      </c>
      <c r="GQ34" s="66">
        <v>0</v>
      </c>
      <c r="GR34" s="66">
        <v>17.228999999999999</v>
      </c>
      <c r="GS34" s="66">
        <v>17.228999999999999</v>
      </c>
      <c r="HC34" s="464"/>
    </row>
    <row r="35" spans="2:211" ht="13.5" customHeight="1" x14ac:dyDescent="0.35">
      <c r="C35" s="81" t="s">
        <v>680</v>
      </c>
      <c r="D35" s="81" t="s">
        <v>671</v>
      </c>
      <c r="E35" s="509" t="s">
        <v>159</v>
      </c>
      <c r="F35" s="510">
        <v>606.32000000000005</v>
      </c>
      <c r="G35" s="511">
        <v>3557</v>
      </c>
      <c r="EE35" s="451">
        <v>42923</v>
      </c>
      <c r="EF35" s="62">
        <v>314.83999999999997</v>
      </c>
      <c r="EG35" s="62">
        <v>2425.179932</v>
      </c>
      <c r="EH35" s="92">
        <f t="shared" si="18"/>
        <v>1.6701088865016496</v>
      </c>
      <c r="EI35" s="92">
        <f t="shared" si="19"/>
        <v>1.2853193480804956</v>
      </c>
      <c r="EN35" s="62" t="s">
        <v>112</v>
      </c>
      <c r="EO35" s="122" t="s">
        <v>185</v>
      </c>
      <c r="EP35" s="126" t="s">
        <v>185</v>
      </c>
      <c r="EQ35" s="122" t="s">
        <v>185</v>
      </c>
      <c r="ER35" s="126" t="s">
        <v>185</v>
      </c>
      <c r="ES35" s="119" t="s">
        <v>185</v>
      </c>
      <c r="EV35" s="62">
        <v>2021</v>
      </c>
      <c r="EW35" s="63">
        <f ca="1">'LBO Model'!M200</f>
        <v>692.1000000000007</v>
      </c>
      <c r="EX35" s="63">
        <v>821</v>
      </c>
      <c r="EZ35" s="927">
        <f t="shared" ca="1" si="20"/>
        <v>0.16400442842762394</v>
      </c>
      <c r="FA35" s="927">
        <f t="shared" si="20"/>
        <v>0.18228241563055061</v>
      </c>
      <c r="FI35" s="791" t="s">
        <v>1045</v>
      </c>
      <c r="FJ35" s="802">
        <f>AVERAGE(FJ8:FJ15)</f>
        <v>16.737500000000001</v>
      </c>
      <c r="FK35" s="802">
        <f>AVERAGE(FK8:FK15)</f>
        <v>13.149999999999999</v>
      </c>
      <c r="FL35" s="802"/>
      <c r="FM35" s="802">
        <f>AVERAGE(FM8:FM15)</f>
        <v>49.666666666666664</v>
      </c>
      <c r="FN35" s="802">
        <f>AVERAGE(FN8:FN15)</f>
        <v>39.31666666666667</v>
      </c>
      <c r="FV35" s="119" t="s">
        <v>557</v>
      </c>
      <c r="FW35" s="455" t="s">
        <v>561</v>
      </c>
      <c r="FX35" s="466">
        <f t="shared" si="16"/>
        <v>231.5</v>
      </c>
      <c r="FY35" s="62">
        <v>238</v>
      </c>
      <c r="FZ35" s="62">
        <v>225</v>
      </c>
      <c r="GA35" s="456"/>
      <c r="GC35" s="456"/>
      <c r="GD35" s="456"/>
      <c r="GE35" s="456"/>
      <c r="GM35" s="73" t="s">
        <v>582</v>
      </c>
      <c r="GN35" s="66">
        <v>0</v>
      </c>
      <c r="GO35" s="66">
        <v>0</v>
      </c>
      <c r="GP35" s="66">
        <v>0</v>
      </c>
      <c r="GQ35" s="66">
        <v>99.784000000000006</v>
      </c>
      <c r="GR35" s="66">
        <v>388.971</v>
      </c>
      <c r="GS35" s="66">
        <v>410.59399999999999</v>
      </c>
      <c r="HC35" s="473"/>
    </row>
    <row r="36" spans="2:211" ht="13.5" customHeight="1" thickBot="1" x14ac:dyDescent="0.4">
      <c r="C36" s="81" t="s">
        <v>683</v>
      </c>
      <c r="D36" s="81" t="s">
        <v>671</v>
      </c>
      <c r="E36" s="509" t="s">
        <v>155</v>
      </c>
      <c r="F36" s="510">
        <v>531.88099999999997</v>
      </c>
      <c r="G36" s="511">
        <v>713</v>
      </c>
      <c r="EE36" s="451">
        <v>42922</v>
      </c>
      <c r="EF36" s="62">
        <v>314.75</v>
      </c>
      <c r="EG36" s="62">
        <v>2409.75</v>
      </c>
      <c r="EH36" s="92">
        <f t="shared" si="18"/>
        <v>1.6698229452784565</v>
      </c>
      <c r="EI36" s="92">
        <f t="shared" si="19"/>
        <v>1.2789162224450563</v>
      </c>
      <c r="EN36" s="62" t="s">
        <v>186</v>
      </c>
      <c r="EO36" s="66">
        <v>167.03399999999999</v>
      </c>
      <c r="EP36" s="66">
        <v>182.376</v>
      </c>
      <c r="EQ36" s="122" t="s">
        <v>185</v>
      </c>
      <c r="ER36" s="126" t="s">
        <v>185</v>
      </c>
      <c r="ES36" s="119" t="s">
        <v>185</v>
      </c>
      <c r="EV36" s="930" t="s">
        <v>145</v>
      </c>
      <c r="EW36" s="929">
        <f ca="1">((EW35/$EZ$23)^(1/5)-1)</f>
        <v>0.11411961247036118</v>
      </c>
      <c r="EX36" s="929">
        <f>((EX35/$EZ$23)^(1/5)-1)</f>
        <v>0.15283374665601523</v>
      </c>
      <c r="FI36" s="791" t="s">
        <v>1046</v>
      </c>
      <c r="FJ36" s="802">
        <f>AVERAGE(FJ18:FJ22)</f>
        <v>15.52</v>
      </c>
      <c r="FK36" s="802">
        <f>AVERAGE(FK18:FK22)</f>
        <v>14.3</v>
      </c>
      <c r="FL36" s="802"/>
      <c r="FM36" s="802">
        <f>AVERAGE(FM18:FM22)</f>
        <v>27.179999999999996</v>
      </c>
      <c r="FN36" s="802">
        <f>AVERAGE(FN18:FN22)</f>
        <v>23.139999999999997</v>
      </c>
      <c r="FU36" s="105">
        <v>2017</v>
      </c>
      <c r="FV36" s="461" t="s">
        <v>554</v>
      </c>
      <c r="FW36" s="460" t="s">
        <v>558</v>
      </c>
      <c r="FX36" s="467">
        <f t="shared" si="16"/>
        <v>249.83333333333334</v>
      </c>
      <c r="FY36" s="105">
        <v>264</v>
      </c>
      <c r="FZ36" s="105">
        <v>260</v>
      </c>
      <c r="GA36" s="105">
        <v>210</v>
      </c>
      <c r="GB36" s="105">
        <v>255</v>
      </c>
      <c r="GC36" s="105"/>
      <c r="GD36" s="105">
        <v>265</v>
      </c>
      <c r="GE36" s="105">
        <f>(240+250)/2</f>
        <v>245</v>
      </c>
      <c r="GF36" s="105"/>
      <c r="GM36" s="66" t="s">
        <v>315</v>
      </c>
      <c r="GN36" s="66">
        <v>222.64</v>
      </c>
      <c r="GO36" s="66">
        <v>297.14100000000002</v>
      </c>
      <c r="GP36" s="66">
        <v>125.245</v>
      </c>
      <c r="GQ36" s="66">
        <v>196.49299999999999</v>
      </c>
      <c r="GR36" s="66">
        <v>241.886</v>
      </c>
      <c r="GS36" s="66">
        <v>105.529</v>
      </c>
      <c r="GU36" s="70"/>
      <c r="GV36" s="70"/>
      <c r="GW36" s="70"/>
      <c r="GX36" s="70"/>
      <c r="GY36" s="70"/>
      <c r="GZ36" s="70"/>
      <c r="HA36" s="70"/>
    </row>
    <row r="37" spans="2:211" ht="13.5" customHeight="1" thickTop="1" x14ac:dyDescent="0.35">
      <c r="C37" s="514" t="s">
        <v>640</v>
      </c>
      <c r="D37" s="514" t="s">
        <v>671</v>
      </c>
      <c r="E37" s="509" t="s">
        <v>151</v>
      </c>
      <c r="F37" s="510">
        <v>452.08300000000003</v>
      </c>
      <c r="G37" s="511">
        <v>551</v>
      </c>
      <c r="EE37" s="451">
        <v>42921</v>
      </c>
      <c r="EF37" s="62">
        <v>314.72000000000003</v>
      </c>
      <c r="EG37" s="62">
        <v>2432.540039</v>
      </c>
      <c r="EH37" s="92">
        <f t="shared" si="18"/>
        <v>1.6697276224518172</v>
      </c>
      <c r="EI37" s="92">
        <f t="shared" si="19"/>
        <v>1.2882850462401905</v>
      </c>
      <c r="EN37" s="62" t="s">
        <v>184</v>
      </c>
      <c r="EO37" s="66">
        <v>201.29499999999999</v>
      </c>
      <c r="EP37" s="66">
        <v>203.042</v>
      </c>
      <c r="EQ37" s="122" t="s">
        <v>185</v>
      </c>
      <c r="ER37" s="126" t="s">
        <v>185</v>
      </c>
      <c r="ES37" s="119" t="s">
        <v>185</v>
      </c>
      <c r="EW37" s="925" t="s">
        <v>1063</v>
      </c>
      <c r="EX37" s="926"/>
      <c r="FA37" s="924" t="s">
        <v>1060</v>
      </c>
      <c r="FB37" s="101"/>
      <c r="FI37" s="791" t="s">
        <v>1047</v>
      </c>
      <c r="FJ37" s="802">
        <f>AVERAGE(FJ25:FJ33)</f>
        <v>11.822222222222221</v>
      </c>
      <c r="FK37" s="802">
        <f>AVERAGE(FK25:FK33)</f>
        <v>11.044444444444444</v>
      </c>
      <c r="FL37" s="802"/>
      <c r="FM37" s="802">
        <f>AVERAGE(FM25:FM33)</f>
        <v>23.144444444444446</v>
      </c>
      <c r="FN37" s="802">
        <f>AVERAGE(FN25:FN33)</f>
        <v>20.511111111111106</v>
      </c>
      <c r="GM37" s="74" t="s">
        <v>372</v>
      </c>
      <c r="GN37" s="74">
        <f t="shared" ref="GN37:GS37" si="22">GN31-GN36+GN34+GN35</f>
        <v>4834.5768492699999</v>
      </c>
      <c r="GO37" s="74">
        <f t="shared" si="22"/>
        <v>4432.5951502800008</v>
      </c>
      <c r="GP37" s="74">
        <f t="shared" si="22"/>
        <v>4676.4207451000002</v>
      </c>
      <c r="GQ37" s="74">
        <f t="shared" si="22"/>
        <v>4639.4461995799993</v>
      </c>
      <c r="GR37" s="74">
        <f t="shared" si="22"/>
        <v>5065.5680963199993</v>
      </c>
      <c r="GS37" s="74">
        <f t="shared" si="22"/>
        <v>5596.3672879999995</v>
      </c>
      <c r="GT37" s="70"/>
      <c r="HB37" s="70"/>
    </row>
    <row r="38" spans="2:211" ht="13.5" customHeight="1" x14ac:dyDescent="0.35">
      <c r="C38" s="81" t="s">
        <v>639</v>
      </c>
      <c r="D38" s="81" t="s">
        <v>671</v>
      </c>
      <c r="E38" s="62" t="s">
        <v>155</v>
      </c>
      <c r="F38" s="510">
        <v>380.12299999999999</v>
      </c>
      <c r="G38" s="511">
        <v>460</v>
      </c>
      <c r="EE38" s="451">
        <v>42919</v>
      </c>
      <c r="EF38" s="62">
        <v>314.51</v>
      </c>
      <c r="EG38" s="62">
        <v>2429.01001</v>
      </c>
      <c r="EH38" s="92">
        <f t="shared" si="18"/>
        <v>1.6690599171324314</v>
      </c>
      <c r="EI38" s="92">
        <f t="shared" si="19"/>
        <v>1.2868317673383056</v>
      </c>
      <c r="EW38" s="923" t="s">
        <v>1059</v>
      </c>
      <c r="EX38" s="923" t="s">
        <v>543</v>
      </c>
      <c r="FA38" s="923" t="s">
        <v>1059</v>
      </c>
      <c r="FB38" s="923" t="s">
        <v>543</v>
      </c>
      <c r="FV38" s="62" t="s">
        <v>542</v>
      </c>
      <c r="GU38" s="210"/>
      <c r="GV38" s="210"/>
      <c r="GW38" s="210"/>
      <c r="GX38" s="210"/>
      <c r="GY38" s="210"/>
      <c r="GZ38" s="210"/>
      <c r="HA38" s="210"/>
    </row>
    <row r="39" spans="2:211" ht="13.5" customHeight="1" thickBot="1" x14ac:dyDescent="0.4">
      <c r="B39" s="105"/>
      <c r="C39" s="545" t="s">
        <v>674</v>
      </c>
      <c r="D39" s="545" t="s">
        <v>671</v>
      </c>
      <c r="E39" s="105" t="s">
        <v>676</v>
      </c>
      <c r="F39" s="546">
        <f>47.512+119.015</f>
        <v>166.52699999999999</v>
      </c>
      <c r="G39" s="111">
        <v>2538</v>
      </c>
      <c r="EE39" s="451">
        <v>42916</v>
      </c>
      <c r="EF39" s="62">
        <v>314.64</v>
      </c>
      <c r="EG39" s="62">
        <v>2423.4099120000001</v>
      </c>
      <c r="EH39" s="92">
        <f t="shared" si="18"/>
        <v>1.6694730877401101</v>
      </c>
      <c r="EI39" s="92">
        <f t="shared" si="19"/>
        <v>1.2845209333468006</v>
      </c>
      <c r="EN39" s="121" t="s">
        <v>181</v>
      </c>
      <c r="EO39" s="124">
        <v>2017</v>
      </c>
      <c r="EP39" s="124">
        <f>EO39+1</f>
        <v>2018</v>
      </c>
      <c r="EQ39" s="124">
        <f>EP39+1</f>
        <v>2019</v>
      </c>
      <c r="ER39" s="124">
        <f>EQ39+1</f>
        <v>2020</v>
      </c>
      <c r="ES39" s="124">
        <f>ER39+1</f>
        <v>2021</v>
      </c>
      <c r="EV39" s="62">
        <v>2017</v>
      </c>
      <c r="EW39" s="63">
        <f t="shared" ref="EW39:EX43" ca="1" si="23">EW31-FA39</f>
        <v>230.00624999999985</v>
      </c>
      <c r="EX39" s="63">
        <f t="shared" si="23"/>
        <v>271</v>
      </c>
      <c r="FA39" s="75">
        <f ca="1">'LBO Model'!I201</f>
        <v>210.89375000000007</v>
      </c>
      <c r="FB39" s="66">
        <v>187</v>
      </c>
      <c r="FU39" s="62" t="s">
        <v>540</v>
      </c>
      <c r="FV39" s="62" t="s">
        <v>543</v>
      </c>
      <c r="FW39" s="62" t="s">
        <v>568</v>
      </c>
      <c r="GM39" s="66" t="s">
        <v>583</v>
      </c>
      <c r="GN39" s="210">
        <f t="shared" ref="GN39:GS39" si="24">GN37/GN25</f>
        <v>16.10677326364781</v>
      </c>
      <c r="GO39" s="210">
        <f t="shared" si="24"/>
        <v>11.857914470438114</v>
      </c>
      <c r="GP39" s="210">
        <f t="shared" si="24"/>
        <v>11.233861773233818</v>
      </c>
      <c r="GQ39" s="210">
        <f t="shared" si="24"/>
        <v>11.597107874926257</v>
      </c>
      <c r="GR39" s="210">
        <f t="shared" si="24"/>
        <v>12.853509506013699</v>
      </c>
      <c r="GS39" s="210">
        <f t="shared" si="24"/>
        <v>13.880223438081298</v>
      </c>
      <c r="GT39" s="210"/>
      <c r="HB39" s="210"/>
    </row>
    <row r="40" spans="2:211" ht="13.5" customHeight="1" thickTop="1" x14ac:dyDescent="0.35">
      <c r="EE40" s="451">
        <v>42915</v>
      </c>
      <c r="EF40" s="62">
        <v>314.64</v>
      </c>
      <c r="EG40" s="62">
        <v>2419.6999510000001</v>
      </c>
      <c r="EH40" s="92">
        <f t="shared" si="18"/>
        <v>1.6694730877401101</v>
      </c>
      <c r="EI40" s="92">
        <f t="shared" si="19"/>
        <v>1.2829877015101563</v>
      </c>
      <c r="EN40" s="62" t="s">
        <v>107</v>
      </c>
      <c r="EO40" s="66">
        <v>2990.3380000000002</v>
      </c>
      <c r="EP40" s="66">
        <v>3268.8319999999999</v>
      </c>
      <c r="EQ40" s="66">
        <v>3637.66</v>
      </c>
      <c r="ER40" s="66">
        <v>3886.8910000000001</v>
      </c>
      <c r="ES40" s="66">
        <v>4220.0079999999998</v>
      </c>
      <c r="EV40" s="62">
        <v>2018</v>
      </c>
      <c r="EW40" s="63">
        <f t="shared" ca="1" si="23"/>
        <v>289.62850000000037</v>
      </c>
      <c r="EX40" s="63">
        <f t="shared" si="23"/>
        <v>333</v>
      </c>
      <c r="FA40" s="75">
        <f ca="1">'LBO Model'!J201</f>
        <v>199.77150000000009</v>
      </c>
      <c r="FB40" s="66">
        <v>200</v>
      </c>
      <c r="FU40" s="451">
        <v>42933</v>
      </c>
      <c r="FV40" s="457">
        <v>314.93</v>
      </c>
      <c r="FW40" s="457"/>
    </row>
    <row r="41" spans="2:211" ht="13.5" customHeight="1" x14ac:dyDescent="0.35">
      <c r="EE41" s="451">
        <v>42914</v>
      </c>
      <c r="EF41" s="62">
        <v>314.70999999999998</v>
      </c>
      <c r="EG41" s="62">
        <v>2440.6899410000001</v>
      </c>
      <c r="EH41" s="92">
        <f t="shared" si="18"/>
        <v>1.6696955147363923</v>
      </c>
      <c r="EI41" s="92">
        <f t="shared" si="19"/>
        <v>1.2915877246623801</v>
      </c>
      <c r="EN41" s="62" t="s">
        <v>111</v>
      </c>
      <c r="EO41" s="66">
        <v>453.447</v>
      </c>
      <c r="EP41" s="66">
        <v>510.32799999999997</v>
      </c>
      <c r="EQ41" s="66">
        <v>576.33900000000006</v>
      </c>
      <c r="ER41" s="66">
        <v>631.64</v>
      </c>
      <c r="ES41" s="66">
        <v>692.13300000000004</v>
      </c>
      <c r="EV41" s="62">
        <v>2019</v>
      </c>
      <c r="EW41" s="63">
        <f t="shared" ca="1" si="23"/>
        <v>365.21600000000052</v>
      </c>
      <c r="EX41" s="63">
        <f t="shared" si="23"/>
        <v>384</v>
      </c>
      <c r="FA41" s="75">
        <f ca="1">'LBO Model'!K201</f>
        <v>195.88400000000007</v>
      </c>
      <c r="FB41" s="66">
        <v>240</v>
      </c>
      <c r="FU41" s="451">
        <v>42930</v>
      </c>
      <c r="FV41" s="457">
        <v>314.88</v>
      </c>
      <c r="FW41" s="457"/>
    </row>
    <row r="42" spans="2:211" ht="13.5" customHeight="1" x14ac:dyDescent="0.35">
      <c r="EE42" s="451">
        <v>42913</v>
      </c>
      <c r="EF42" s="62">
        <v>314.70999999999998</v>
      </c>
      <c r="EG42" s="62">
        <v>2419.3798830000001</v>
      </c>
      <c r="EH42" s="92">
        <f t="shared" si="18"/>
        <v>1.6696955147363923</v>
      </c>
      <c r="EI42" s="92">
        <f t="shared" si="19"/>
        <v>1.2827796585336431</v>
      </c>
      <c r="EN42" s="62" t="s">
        <v>112</v>
      </c>
      <c r="EO42" s="66">
        <v>280.53899999999999</v>
      </c>
      <c r="EP42" s="66">
        <v>329.22800000000001</v>
      </c>
      <c r="EQ42" s="66">
        <v>380.67</v>
      </c>
      <c r="ER42" s="66">
        <v>425.26499999999999</v>
      </c>
      <c r="ES42" s="66">
        <v>471.68</v>
      </c>
      <c r="EV42" s="62">
        <v>2020</v>
      </c>
      <c r="EW42" s="63">
        <f t="shared" ca="1" si="23"/>
        <v>435.23600000000033</v>
      </c>
      <c r="EX42" s="63">
        <f t="shared" si="23"/>
        <v>467</v>
      </c>
      <c r="FA42" s="75">
        <f ca="1">'LBO Model'!L201</f>
        <v>196.36400000000006</v>
      </c>
      <c r="FB42" s="66">
        <v>255</v>
      </c>
      <c r="FU42" s="451">
        <v>42929</v>
      </c>
      <c r="FV42" s="457">
        <v>314.81</v>
      </c>
      <c r="FW42" s="457"/>
    </row>
    <row r="43" spans="2:211" ht="13.5" customHeight="1" x14ac:dyDescent="0.35">
      <c r="EE43" s="451">
        <v>42912</v>
      </c>
      <c r="EF43" s="62">
        <v>314.70999999999998</v>
      </c>
      <c r="EG43" s="62">
        <v>2439.070068</v>
      </c>
      <c r="EH43" s="92">
        <f t="shared" si="18"/>
        <v>1.6696955147363923</v>
      </c>
      <c r="EI43" s="92">
        <f t="shared" si="19"/>
        <v>1.2908524831967514</v>
      </c>
      <c r="EN43" s="62" t="s">
        <v>186</v>
      </c>
      <c r="EO43" s="66">
        <v>170.446</v>
      </c>
      <c r="EP43" s="66">
        <v>195.59800000000001</v>
      </c>
      <c r="EQ43" s="66">
        <v>228.00800000000001</v>
      </c>
      <c r="ER43" s="66">
        <v>256.101</v>
      </c>
      <c r="ES43" s="66">
        <v>285.34300000000002</v>
      </c>
      <c r="EV43" s="62">
        <v>2021</v>
      </c>
      <c r="EW43" s="63">
        <f t="shared" ca="1" si="23"/>
        <v>499.39600000000064</v>
      </c>
      <c r="EX43" s="63">
        <f t="shared" si="23"/>
        <v>563</v>
      </c>
      <c r="FA43" s="75">
        <f ca="1">'LBO Model'!M201</f>
        <v>192.70400000000009</v>
      </c>
      <c r="FB43" s="66">
        <v>258</v>
      </c>
      <c r="FU43" s="451">
        <v>42928</v>
      </c>
      <c r="FV43" s="457">
        <v>314.79000000000002</v>
      </c>
      <c r="FW43" s="457"/>
      <c r="HC43" s="70"/>
    </row>
    <row r="44" spans="2:211" x14ac:dyDescent="0.35">
      <c r="EE44" s="451">
        <v>42909</v>
      </c>
      <c r="EF44" s="62">
        <v>314.5</v>
      </c>
      <c r="EG44" s="62">
        <v>2438.3000489999999</v>
      </c>
      <c r="EH44" s="92">
        <f t="shared" si="18"/>
        <v>1.6690277881863129</v>
      </c>
      <c r="EI44" s="92">
        <f t="shared" si="19"/>
        <v>1.2905366816200274</v>
      </c>
      <c r="EN44" s="62" t="s">
        <v>184</v>
      </c>
      <c r="EO44" s="66">
        <v>222.28</v>
      </c>
      <c r="EP44" s="66">
        <v>196.04400000000001</v>
      </c>
      <c r="EQ44" s="66">
        <v>196.768</v>
      </c>
      <c r="ER44" s="66">
        <v>196.364</v>
      </c>
      <c r="ES44" s="66">
        <v>192.70400000000001</v>
      </c>
      <c r="EV44" s="930" t="s">
        <v>145</v>
      </c>
      <c r="EW44" s="929">
        <f ca="1">((EW43/$EZ$25)^(1/5)-1)</f>
        <v>0.19711392059102884</v>
      </c>
      <c r="EX44" s="929">
        <f>((EX43/$EZ$25)^(1/5)-1)</f>
        <v>0.22616283375902513</v>
      </c>
      <c r="FI44" s="795" t="s">
        <v>979</v>
      </c>
      <c r="FU44" s="451">
        <v>42927</v>
      </c>
      <c r="FV44" s="457">
        <v>314.75</v>
      </c>
      <c r="FW44" s="457"/>
    </row>
    <row r="45" spans="2:211" x14ac:dyDescent="0.35">
      <c r="EE45" s="451">
        <v>42908</v>
      </c>
      <c r="EF45" s="62">
        <v>314.58</v>
      </c>
      <c r="EG45" s="62">
        <v>2434.5</v>
      </c>
      <c r="EH45" s="92">
        <f t="shared" si="18"/>
        <v>1.6692820955167216</v>
      </c>
      <c r="EI45" s="92">
        <f t="shared" si="19"/>
        <v>1.288975766031611</v>
      </c>
      <c r="FI45" s="791" t="s">
        <v>977</v>
      </c>
      <c r="FJ45" s="794">
        <f>MEDIAN(FJ8:FJ15,FJ18:FJ22,FJ25:FJ33)</f>
        <v>14</v>
      </c>
      <c r="FK45" s="794">
        <f>MEDIAN(FK8:FK15,FK18:FK22,FK25:FK33)</f>
        <v>12.65</v>
      </c>
      <c r="FL45" s="794"/>
      <c r="FM45" s="794">
        <f>MEDIAN(FM8:FM15,FM18:FM22,FM25:FM33)</f>
        <v>27.5</v>
      </c>
      <c r="FN45" s="794">
        <f>MEDIAN(FN8:FN15,FN18:FN22,FN25:FN33)</f>
        <v>23.049999999999997</v>
      </c>
      <c r="FU45" s="451">
        <v>42926</v>
      </c>
      <c r="FV45" s="457">
        <v>314.83999999999997</v>
      </c>
      <c r="FW45" s="457"/>
      <c r="HC45" s="210"/>
    </row>
    <row r="46" spans="2:211" x14ac:dyDescent="0.35">
      <c r="EE46" s="451">
        <v>42907</v>
      </c>
      <c r="EF46" s="62">
        <v>314.55</v>
      </c>
      <c r="EG46" s="62">
        <v>2435.610107</v>
      </c>
      <c r="EH46" s="92">
        <f t="shared" si="18"/>
        <v>1.6691867211724203</v>
      </c>
      <c r="EI46" s="92">
        <f t="shared" si="19"/>
        <v>1.2894315479306964</v>
      </c>
      <c r="FI46" s="791" t="s">
        <v>978</v>
      </c>
      <c r="FJ46" s="794">
        <f>AVERAGE(FJ8:FJ15,FJ18:FJ22,FJ25:FJ33)</f>
        <v>14.45</v>
      </c>
      <c r="FK46" s="794">
        <f>AVERAGE(FK8:FK15,FK18:FK22,FK25:FK33)</f>
        <v>12.55</v>
      </c>
      <c r="FL46" s="794"/>
      <c r="FM46" s="794">
        <f>AVERAGE(FM8:FM15,FM18:FM22,FM25:FM33)</f>
        <v>32.11</v>
      </c>
      <c r="FN46" s="794">
        <f>AVERAGE(FN8:FN15,FN18:FN22,FN25:FN33)</f>
        <v>26.810000000000002</v>
      </c>
      <c r="FU46" s="451">
        <v>42923</v>
      </c>
      <c r="FV46" s="457">
        <v>314.83999999999997</v>
      </c>
      <c r="FW46" s="457"/>
    </row>
    <row r="47" spans="2:211" ht="17.25" customHeight="1" x14ac:dyDescent="0.35">
      <c r="EE47" s="451">
        <v>42906</v>
      </c>
      <c r="EF47" s="62">
        <v>314.58999999999997</v>
      </c>
      <c r="EG47" s="62">
        <v>2437.030029</v>
      </c>
      <c r="EH47" s="92">
        <f t="shared" si="18"/>
        <v>1.6693138707957393</v>
      </c>
      <c r="EI47" s="92">
        <f t="shared" si="19"/>
        <v>1.2900141923721284</v>
      </c>
      <c r="EN47" s="121" t="s">
        <v>187</v>
      </c>
      <c r="EO47" s="124">
        <v>2017</v>
      </c>
      <c r="EP47" s="124">
        <f>EO47+1</f>
        <v>2018</v>
      </c>
      <c r="EQ47" s="124">
        <f>EP47+1</f>
        <v>2019</v>
      </c>
      <c r="ER47" s="124">
        <f>EQ47+1</f>
        <v>2020</v>
      </c>
      <c r="ES47" s="124">
        <f>ER47+1</f>
        <v>2021</v>
      </c>
      <c r="FU47" s="451">
        <v>42922</v>
      </c>
      <c r="FV47" s="457">
        <v>314.75</v>
      </c>
      <c r="FW47" s="457"/>
    </row>
    <row r="48" spans="2:211" x14ac:dyDescent="0.35">
      <c r="EE48" s="451">
        <v>42905</v>
      </c>
      <c r="EF48" s="62">
        <v>314.64999999999998</v>
      </c>
      <c r="EG48" s="62">
        <v>2453.459961</v>
      </c>
      <c r="EH48" s="92">
        <f t="shared" si="18"/>
        <v>1.6695045588618445</v>
      </c>
      <c r="EI48" s="92">
        <f t="shared" si="19"/>
        <v>1.2967108298804508</v>
      </c>
      <c r="EN48" s="62" t="s">
        <v>107</v>
      </c>
      <c r="EO48" s="66">
        <v>2931.569</v>
      </c>
      <c r="EP48" s="66">
        <v>3131.913</v>
      </c>
      <c r="EQ48" s="122" t="s">
        <v>185</v>
      </c>
      <c r="ER48" s="122" t="s">
        <v>185</v>
      </c>
      <c r="ES48" s="122" t="s">
        <v>185</v>
      </c>
      <c r="FI48" s="70" t="s">
        <v>982</v>
      </c>
      <c r="FU48" s="451">
        <v>42921</v>
      </c>
      <c r="FV48" s="457">
        <v>314.72000000000003</v>
      </c>
      <c r="FW48" s="457"/>
    </row>
    <row r="49" spans="3:179" x14ac:dyDescent="0.35">
      <c r="EE49" s="451">
        <v>42902</v>
      </c>
      <c r="EF49" s="62">
        <v>314.57</v>
      </c>
      <c r="EG49" s="62">
        <v>2433.1499020000001</v>
      </c>
      <c r="EH49" s="92">
        <f t="shared" si="18"/>
        <v>1.6692502434471514</v>
      </c>
      <c r="EI49" s="92">
        <f t="shared" si="19"/>
        <v>1.2883636010544317</v>
      </c>
      <c r="EN49" s="62" t="s">
        <v>111</v>
      </c>
      <c r="EO49" s="66">
        <v>432.12599999999998</v>
      </c>
      <c r="EP49" s="66">
        <v>473.64400000000001</v>
      </c>
      <c r="EQ49" s="122" t="s">
        <v>185</v>
      </c>
      <c r="ER49" s="122" t="s">
        <v>185</v>
      </c>
      <c r="ES49" s="122" t="s">
        <v>185</v>
      </c>
      <c r="FU49" s="451">
        <v>42919</v>
      </c>
      <c r="FV49" s="457">
        <v>314.51</v>
      </c>
      <c r="FW49" s="457"/>
    </row>
    <row r="50" spans="3:179" x14ac:dyDescent="0.35">
      <c r="EE50" s="451">
        <v>42901</v>
      </c>
      <c r="EF50" s="62">
        <v>314.45</v>
      </c>
      <c r="EG50" s="62">
        <v>2432.459961</v>
      </c>
      <c r="EH50" s="92">
        <f t="shared" si="18"/>
        <v>1.6688686247478353</v>
      </c>
      <c r="EI50" s="92">
        <f t="shared" si="19"/>
        <v>1.2880799618533505</v>
      </c>
      <c r="EN50" s="62" t="s">
        <v>112</v>
      </c>
      <c r="EO50" s="122" t="s">
        <v>185</v>
      </c>
      <c r="EP50" s="122" t="s">
        <v>185</v>
      </c>
      <c r="EQ50" s="122" t="s">
        <v>185</v>
      </c>
      <c r="ER50" s="122" t="s">
        <v>185</v>
      </c>
      <c r="ES50" s="122" t="s">
        <v>185</v>
      </c>
      <c r="FI50" s="66" t="s">
        <v>642</v>
      </c>
      <c r="FU50" s="451">
        <v>42916</v>
      </c>
      <c r="FV50" s="457">
        <v>314.64</v>
      </c>
      <c r="FW50" s="457"/>
    </row>
    <row r="51" spans="3:179" x14ac:dyDescent="0.35">
      <c r="EE51" s="451">
        <v>42900</v>
      </c>
      <c r="EF51" s="62">
        <v>314.47000000000003</v>
      </c>
      <c r="EG51" s="62">
        <v>2437.919922</v>
      </c>
      <c r="EH51" s="92">
        <f t="shared" si="18"/>
        <v>1.668932223819289</v>
      </c>
      <c r="EI51" s="92">
        <f t="shared" si="19"/>
        <v>1.290319560025025</v>
      </c>
      <c r="EN51" s="62" t="s">
        <v>186</v>
      </c>
      <c r="EO51" s="66">
        <v>167.803</v>
      </c>
      <c r="EP51" s="66">
        <v>184.53200000000001</v>
      </c>
      <c r="EQ51" s="122" t="s">
        <v>185</v>
      </c>
      <c r="ER51" s="122" t="s">
        <v>185</v>
      </c>
      <c r="ES51" s="122" t="s">
        <v>185</v>
      </c>
      <c r="FU51" s="451">
        <v>42915</v>
      </c>
      <c r="FV51" s="457">
        <v>314.64</v>
      </c>
      <c r="FW51" s="457"/>
    </row>
    <row r="52" spans="3:179" x14ac:dyDescent="0.35">
      <c r="EE52" s="451">
        <v>42899</v>
      </c>
      <c r="EF52" s="62">
        <v>314.51</v>
      </c>
      <c r="EG52" s="62">
        <v>2440.3500979999999</v>
      </c>
      <c r="EH52" s="92">
        <f t="shared" si="18"/>
        <v>1.6690594057848862</v>
      </c>
      <c r="EI52" s="92">
        <f t="shared" si="19"/>
        <v>1.2913153909109261</v>
      </c>
      <c r="EN52" s="62" t="s">
        <v>184</v>
      </c>
      <c r="EO52" s="122" t="s">
        <v>185</v>
      </c>
      <c r="EP52" s="122" t="s">
        <v>185</v>
      </c>
      <c r="EQ52" s="122" t="s">
        <v>185</v>
      </c>
      <c r="ER52" s="122" t="s">
        <v>185</v>
      </c>
      <c r="ES52" s="122" t="s">
        <v>185</v>
      </c>
      <c r="FU52" s="451">
        <v>42914</v>
      </c>
      <c r="FV52" s="457">
        <v>314.70999999999998</v>
      </c>
      <c r="FW52" s="457"/>
    </row>
    <row r="53" spans="3:179" ht="17.25" customHeight="1" x14ac:dyDescent="0.35">
      <c r="EE53" s="451">
        <v>42898</v>
      </c>
      <c r="EF53" s="62">
        <v>314.39999999999998</v>
      </c>
      <c r="EG53" s="62">
        <v>2429.389893</v>
      </c>
      <c r="EH53" s="92">
        <f t="shared" si="18"/>
        <v>1.6687095330113493</v>
      </c>
      <c r="EI53" s="92">
        <f t="shared" si="19"/>
        <v>1.2868038857665356</v>
      </c>
      <c r="FU53" s="451">
        <v>42913</v>
      </c>
      <c r="FV53" s="457">
        <v>314.70999999999998</v>
      </c>
      <c r="FW53" s="457"/>
    </row>
    <row r="54" spans="3:179" x14ac:dyDescent="0.35">
      <c r="C54" s="514"/>
      <c r="D54" s="514"/>
      <c r="E54" s="509"/>
      <c r="F54" s="510"/>
      <c r="G54" s="511"/>
      <c r="EE54" s="451">
        <v>42895</v>
      </c>
      <c r="EF54" s="62">
        <v>314.22000000000003</v>
      </c>
      <c r="EG54" s="62">
        <v>2431.7700199999999</v>
      </c>
      <c r="EH54" s="92">
        <f t="shared" si="18"/>
        <v>1.6681366859615117</v>
      </c>
      <c r="EI54" s="92">
        <f t="shared" si="19"/>
        <v>1.2877826489638875</v>
      </c>
      <c r="EN54" s="95" t="s">
        <v>182</v>
      </c>
      <c r="EO54" s="124">
        <v>2017</v>
      </c>
      <c r="EP54" s="124">
        <f>EO54+1</f>
        <v>2018</v>
      </c>
      <c r="EQ54" s="124">
        <f>EP54+1</f>
        <v>2019</v>
      </c>
      <c r="ER54" s="124">
        <f>EQ54+1</f>
        <v>2020</v>
      </c>
      <c r="ES54" s="124">
        <f>ER54+1</f>
        <v>2021</v>
      </c>
      <c r="FU54" s="451">
        <v>42912</v>
      </c>
      <c r="FV54" s="457">
        <v>314.70999999999998</v>
      </c>
      <c r="FW54" s="457"/>
    </row>
    <row r="55" spans="3:179" x14ac:dyDescent="0.35">
      <c r="C55" s="81"/>
      <c r="D55" s="81"/>
      <c r="E55" s="509"/>
      <c r="F55" s="510"/>
      <c r="G55" s="511"/>
      <c r="EE55" s="451">
        <v>42894</v>
      </c>
      <c r="EF55" s="62">
        <v>314.19</v>
      </c>
      <c r="EG55" s="62">
        <v>2433.790039</v>
      </c>
      <c r="EH55" s="92">
        <f t="shared" si="18"/>
        <v>1.6680412023369531</v>
      </c>
      <c r="EI55" s="92">
        <f t="shared" si="19"/>
        <v>1.2886126379800436</v>
      </c>
      <c r="EN55" s="62" t="s">
        <v>107</v>
      </c>
      <c r="EO55" s="66">
        <v>2573.5</v>
      </c>
      <c r="EP55" s="66">
        <v>2794.6</v>
      </c>
      <c r="EQ55" s="122" t="s">
        <v>185</v>
      </c>
      <c r="ER55" s="122" t="s">
        <v>185</v>
      </c>
      <c r="ES55" s="122" t="s">
        <v>185</v>
      </c>
      <c r="FU55" s="451">
        <v>42909</v>
      </c>
      <c r="FV55" s="457">
        <v>314.5</v>
      </c>
      <c r="FW55" s="457"/>
    </row>
    <row r="56" spans="3:179" x14ac:dyDescent="0.35">
      <c r="EE56" s="451">
        <v>42893</v>
      </c>
      <c r="EF56" s="62">
        <v>314.02</v>
      </c>
      <c r="EG56" s="62">
        <v>2433.139893</v>
      </c>
      <c r="EH56" s="92">
        <f t="shared" si="18"/>
        <v>1.667499835545029</v>
      </c>
      <c r="EI56" s="92">
        <f t="shared" si="19"/>
        <v>1.2883454334506736</v>
      </c>
      <c r="EN56" s="62" t="s">
        <v>111</v>
      </c>
      <c r="EO56" s="66">
        <v>443.6</v>
      </c>
      <c r="EP56" s="66">
        <v>492.5</v>
      </c>
      <c r="EQ56" s="122" t="s">
        <v>185</v>
      </c>
      <c r="ER56" s="122" t="s">
        <v>185</v>
      </c>
      <c r="ES56" s="122" t="s">
        <v>185</v>
      </c>
      <c r="FU56" s="451">
        <v>42908</v>
      </c>
      <c r="FV56" s="457">
        <v>314.58</v>
      </c>
      <c r="FW56" s="457"/>
    </row>
    <row r="57" spans="3:179" x14ac:dyDescent="0.35">
      <c r="EE57" s="451">
        <v>42892</v>
      </c>
      <c r="EF57" s="62">
        <v>314.01</v>
      </c>
      <c r="EG57" s="62">
        <v>2429.330078</v>
      </c>
      <c r="EH57" s="92">
        <f t="shared" si="18"/>
        <v>1.6674679894254787</v>
      </c>
      <c r="EI57" s="92">
        <f t="shared" si="19"/>
        <v>1.2867771759979292</v>
      </c>
      <c r="EN57" s="62" t="s">
        <v>112</v>
      </c>
      <c r="EO57" s="122" t="s">
        <v>185</v>
      </c>
      <c r="EP57" s="122" t="s">
        <v>185</v>
      </c>
      <c r="EQ57" s="122" t="s">
        <v>185</v>
      </c>
      <c r="ER57" s="122" t="s">
        <v>185</v>
      </c>
      <c r="ES57" s="122" t="s">
        <v>185</v>
      </c>
      <c r="FU57" s="451">
        <v>42907</v>
      </c>
      <c r="FV57" s="457">
        <v>314.55</v>
      </c>
      <c r="FW57" s="457"/>
    </row>
    <row r="58" spans="3:179" x14ac:dyDescent="0.35">
      <c r="EE58" s="451">
        <v>42891</v>
      </c>
      <c r="EF58" s="62">
        <v>314.17</v>
      </c>
      <c r="EG58" s="62">
        <v>2436.1000979999999</v>
      </c>
      <c r="EH58" s="92">
        <f t="shared" si="18"/>
        <v>1.6679772678416229</v>
      </c>
      <c r="EI58" s="92">
        <f t="shared" si="19"/>
        <v>1.2895562161554162</v>
      </c>
      <c r="EN58" s="62" t="s">
        <v>186</v>
      </c>
      <c r="EO58" s="66">
        <v>170.1</v>
      </c>
      <c r="EP58" s="66">
        <v>192.3</v>
      </c>
      <c r="EQ58" s="122" t="s">
        <v>185</v>
      </c>
      <c r="ER58" s="122" t="s">
        <v>185</v>
      </c>
      <c r="ES58" s="122" t="s">
        <v>185</v>
      </c>
      <c r="FU58" s="451">
        <v>42906</v>
      </c>
      <c r="FV58" s="457">
        <v>314.58999999999997</v>
      </c>
      <c r="FW58" s="457"/>
    </row>
    <row r="59" spans="3:179" x14ac:dyDescent="0.35">
      <c r="EE59" s="451">
        <v>42888</v>
      </c>
      <c r="EF59" s="62">
        <v>314.19</v>
      </c>
      <c r="EG59" s="62">
        <v>2439.070068</v>
      </c>
      <c r="EH59" s="92">
        <f t="shared" si="18"/>
        <v>1.6680409235913285</v>
      </c>
      <c r="EI59" s="92">
        <f t="shared" si="19"/>
        <v>1.2907738810511342</v>
      </c>
      <c r="EN59" s="62" t="s">
        <v>184</v>
      </c>
      <c r="EO59" s="66">
        <v>215</v>
      </c>
      <c r="EP59" s="66">
        <v>200</v>
      </c>
      <c r="EQ59" s="122" t="s">
        <v>185</v>
      </c>
      <c r="ER59" s="122" t="s">
        <v>185</v>
      </c>
      <c r="ES59" s="122" t="s">
        <v>185</v>
      </c>
      <c r="FU59" s="451">
        <v>42905</v>
      </c>
      <c r="FV59" s="457">
        <v>314.64999999999998</v>
      </c>
      <c r="FW59" s="457"/>
    </row>
    <row r="60" spans="3:179" x14ac:dyDescent="0.35">
      <c r="EE60" s="451">
        <v>42887</v>
      </c>
      <c r="EF60" s="62">
        <v>314.44</v>
      </c>
      <c r="EG60" s="62">
        <v>2430.0600589999999</v>
      </c>
      <c r="EH60" s="92">
        <f t="shared" si="18"/>
        <v>1.6688359878325192</v>
      </c>
      <c r="EI60" s="92">
        <f t="shared" si="19"/>
        <v>1.2870661500563259</v>
      </c>
      <c r="FU60" s="451">
        <v>42902</v>
      </c>
      <c r="FV60" s="457">
        <v>314.57</v>
      </c>
      <c r="FW60" s="457"/>
    </row>
    <row r="61" spans="3:179" x14ac:dyDescent="0.35">
      <c r="EE61" s="451">
        <v>42886</v>
      </c>
      <c r="EF61" s="62">
        <v>314.49</v>
      </c>
      <c r="EG61" s="62">
        <v>2411.8000489999999</v>
      </c>
      <c r="EH61" s="92">
        <f t="shared" si="18"/>
        <v>1.6689949753996915</v>
      </c>
      <c r="EI61" s="92">
        <f t="shared" si="19"/>
        <v>1.2794950373483835</v>
      </c>
      <c r="EN61" s="95" t="s">
        <v>256</v>
      </c>
      <c r="EO61" s="124">
        <v>2017</v>
      </c>
      <c r="EP61" s="124">
        <f>EO61+1</f>
        <v>2018</v>
      </c>
      <c r="EQ61" s="124">
        <f>EP61+1</f>
        <v>2019</v>
      </c>
      <c r="ER61" s="124">
        <f>EQ61+1</f>
        <v>2020</v>
      </c>
      <c r="ES61" s="124">
        <f>ER61+1</f>
        <v>2021</v>
      </c>
      <c r="FU61" s="451">
        <v>42901</v>
      </c>
      <c r="FV61" s="457">
        <v>314.45</v>
      </c>
      <c r="FW61" s="457"/>
    </row>
    <row r="62" spans="3:179" x14ac:dyDescent="0.35">
      <c r="EE62" s="451">
        <v>42885</v>
      </c>
      <c r="EF62" s="62">
        <v>314.45999999999998</v>
      </c>
      <c r="EG62" s="62">
        <v>2412.9099120000001</v>
      </c>
      <c r="EH62" s="92">
        <f t="shared" si="18"/>
        <v>1.6688995737587833</v>
      </c>
      <c r="EI62" s="92">
        <f t="shared" si="19"/>
        <v>1.2799550060336959</v>
      </c>
      <c r="EN62" s="62" t="s">
        <v>107</v>
      </c>
      <c r="EO62" s="66">
        <v>2583.9</v>
      </c>
      <c r="EP62" s="66">
        <v>2828.6</v>
      </c>
      <c r="EQ62" s="122">
        <v>3094.6</v>
      </c>
      <c r="ER62" s="122" t="s">
        <v>185</v>
      </c>
      <c r="ES62" s="122" t="s">
        <v>185</v>
      </c>
      <c r="FU62" s="451">
        <v>42900</v>
      </c>
      <c r="FV62" s="457">
        <v>314.47000000000003</v>
      </c>
      <c r="FW62" s="457"/>
    </row>
    <row r="63" spans="3:179" x14ac:dyDescent="0.35">
      <c r="EE63" s="451">
        <v>42881</v>
      </c>
      <c r="EF63" s="62">
        <v>313.83999999999997</v>
      </c>
      <c r="EG63" s="62">
        <v>2415.820068</v>
      </c>
      <c r="EH63" s="92">
        <f t="shared" si="18"/>
        <v>1.6669240448268434</v>
      </c>
      <c r="EI63" s="92">
        <f t="shared" si="19"/>
        <v>1.2811596305165156</v>
      </c>
      <c r="EN63" s="62" t="s">
        <v>111</v>
      </c>
      <c r="EO63" s="66">
        <v>438.2</v>
      </c>
      <c r="EP63" s="66">
        <v>490.3</v>
      </c>
      <c r="EQ63" s="122">
        <v>554</v>
      </c>
      <c r="ER63" s="122" t="s">
        <v>185</v>
      </c>
      <c r="ES63" s="122" t="s">
        <v>185</v>
      </c>
      <c r="FU63" s="451">
        <v>42899</v>
      </c>
      <c r="FV63" s="457">
        <v>314.51</v>
      </c>
      <c r="FW63" s="457"/>
    </row>
    <row r="64" spans="3:179" x14ac:dyDescent="0.35">
      <c r="EE64" s="451">
        <v>42880</v>
      </c>
      <c r="EF64" s="62">
        <v>313.7</v>
      </c>
      <c r="EG64" s="62">
        <v>2415.070068</v>
      </c>
      <c r="EH64" s="92">
        <f t="shared" si="18"/>
        <v>1.6664777585660848</v>
      </c>
      <c r="EI64" s="92">
        <f t="shared" si="19"/>
        <v>1.280849080520498</v>
      </c>
      <c r="EN64" s="62" t="s">
        <v>112</v>
      </c>
      <c r="EO64" s="122" t="s">
        <v>185</v>
      </c>
      <c r="EP64" s="122" t="s">
        <v>185</v>
      </c>
      <c r="EQ64" s="122" t="s">
        <v>185</v>
      </c>
      <c r="ER64" s="122" t="s">
        <v>185</v>
      </c>
      <c r="ES64" s="122" t="s">
        <v>185</v>
      </c>
      <c r="FU64" s="451">
        <v>42898</v>
      </c>
      <c r="FV64" s="457">
        <v>314.39999999999998</v>
      </c>
      <c r="FW64" s="457"/>
    </row>
    <row r="65" spans="135:179" x14ac:dyDescent="0.35">
      <c r="EE65" s="451">
        <v>42879</v>
      </c>
      <c r="EF65" s="62">
        <v>313.48</v>
      </c>
      <c r="EG65" s="62">
        <v>2404.389893</v>
      </c>
      <c r="EH65" s="92">
        <f t="shared" si="18"/>
        <v>1.665775959408244</v>
      </c>
      <c r="EI65" s="92">
        <f t="shared" si="19"/>
        <v>1.2764071324691051</v>
      </c>
      <c r="EN65" s="62" t="s">
        <v>186</v>
      </c>
      <c r="EO65" s="66">
        <v>168.5</v>
      </c>
      <c r="EP65" s="66">
        <v>192.9</v>
      </c>
      <c r="EQ65" s="122">
        <v>228</v>
      </c>
      <c r="ER65" s="122" t="s">
        <v>185</v>
      </c>
      <c r="ES65" s="122" t="s">
        <v>185</v>
      </c>
      <c r="FU65" s="451">
        <v>42895</v>
      </c>
      <c r="FV65" s="457">
        <v>314.22000000000003</v>
      </c>
      <c r="FW65" s="457"/>
    </row>
    <row r="66" spans="135:179" x14ac:dyDescent="0.35">
      <c r="EE66" s="451">
        <v>42878</v>
      </c>
      <c r="EF66" s="62">
        <v>313.33999999999997</v>
      </c>
      <c r="EG66" s="62">
        <v>2398.419922</v>
      </c>
      <c r="EH66" s="92">
        <f t="shared" si="18"/>
        <v>1.6653291604039673</v>
      </c>
      <c r="EI66" s="92">
        <f t="shared" si="19"/>
        <v>1.2739180057964823</v>
      </c>
      <c r="EN66" s="62" t="s">
        <v>184</v>
      </c>
      <c r="EO66" s="122" t="s">
        <v>185</v>
      </c>
      <c r="EP66" s="122" t="s">
        <v>185</v>
      </c>
      <c r="EQ66" s="122" t="s">
        <v>185</v>
      </c>
      <c r="ER66" s="122" t="s">
        <v>185</v>
      </c>
      <c r="ES66" s="122" t="s">
        <v>185</v>
      </c>
      <c r="FU66" s="451">
        <v>42894</v>
      </c>
      <c r="FV66" s="457">
        <v>314.19</v>
      </c>
      <c r="FW66" s="457"/>
    </row>
    <row r="67" spans="135:179" x14ac:dyDescent="0.35">
      <c r="EE67" s="451">
        <v>42877</v>
      </c>
      <c r="EF67" s="62">
        <v>313.08</v>
      </c>
      <c r="EG67" s="62">
        <v>2394.0200199999999</v>
      </c>
      <c r="EH67" s="92">
        <f t="shared" si="18"/>
        <v>1.6644987017352564</v>
      </c>
      <c r="EI67" s="92">
        <f t="shared" si="19"/>
        <v>1.2720801339477747</v>
      </c>
      <c r="FU67" s="451">
        <v>42893</v>
      </c>
      <c r="FV67" s="457">
        <v>314.02</v>
      </c>
      <c r="FW67" s="457"/>
    </row>
    <row r="68" spans="135:179" x14ac:dyDescent="0.35">
      <c r="EE68" s="451">
        <v>42874</v>
      </c>
      <c r="EF68" s="62">
        <v>313.05</v>
      </c>
      <c r="EG68" s="62">
        <v>2381.7299800000001</v>
      </c>
      <c r="EH68" s="92">
        <f t="shared" si="18"/>
        <v>1.6644028703984093</v>
      </c>
      <c r="EI68" s="92">
        <f t="shared" si="19"/>
        <v>1.2669200024033922</v>
      </c>
      <c r="EN68" s="95" t="s">
        <v>257</v>
      </c>
      <c r="EO68" s="124">
        <v>2017</v>
      </c>
      <c r="EP68" s="124">
        <f>EO68+1</f>
        <v>2018</v>
      </c>
      <c r="EQ68" s="124">
        <f>EP68+1</f>
        <v>2019</v>
      </c>
      <c r="ER68" s="124">
        <f>EQ68+1</f>
        <v>2020</v>
      </c>
      <c r="ES68" s="124">
        <f>ER68+1</f>
        <v>2021</v>
      </c>
      <c r="FU68" s="451">
        <v>42892</v>
      </c>
      <c r="FV68" s="457">
        <v>314.01</v>
      </c>
      <c r="FW68" s="457"/>
    </row>
    <row r="69" spans="135:179" x14ac:dyDescent="0.35">
      <c r="EE69" s="451">
        <v>42873</v>
      </c>
      <c r="EF69" s="62">
        <v>312.88</v>
      </c>
      <c r="EG69" s="62">
        <v>2365.719971</v>
      </c>
      <c r="EH69" s="92">
        <f t="shared" si="18"/>
        <v>1.6638595310989974</v>
      </c>
      <c r="EI69" s="92">
        <f t="shared" si="19"/>
        <v>1.2601525027854079</v>
      </c>
      <c r="EN69" s="62" t="s">
        <v>107</v>
      </c>
      <c r="EO69" s="66">
        <v>2945.306</v>
      </c>
      <c r="EP69" s="66">
        <v>3151.5830000000001</v>
      </c>
      <c r="EQ69" s="122" t="s">
        <v>185</v>
      </c>
      <c r="ER69" s="122" t="s">
        <v>185</v>
      </c>
      <c r="ES69" s="122" t="s">
        <v>185</v>
      </c>
      <c r="FU69" s="451">
        <v>42891</v>
      </c>
      <c r="FV69" s="457">
        <v>314.17</v>
      </c>
      <c r="FW69" s="457"/>
    </row>
    <row r="70" spans="135:179" x14ac:dyDescent="0.35">
      <c r="EE70" s="451">
        <v>42872</v>
      </c>
      <c r="EF70" s="62">
        <v>312.87</v>
      </c>
      <c r="EG70" s="62">
        <v>2357.030029</v>
      </c>
      <c r="EH70" s="92">
        <f t="shared" si="18"/>
        <v>1.6638275689421911</v>
      </c>
      <c r="EI70" s="92">
        <f t="shared" si="19"/>
        <v>1.2564656842497584</v>
      </c>
      <c r="EN70" s="62" t="s">
        <v>111</v>
      </c>
      <c r="EO70" s="66">
        <v>438.642</v>
      </c>
      <c r="EP70" s="66">
        <v>479.17899999999997</v>
      </c>
      <c r="EQ70" s="122" t="s">
        <v>185</v>
      </c>
      <c r="ER70" s="122" t="s">
        <v>185</v>
      </c>
      <c r="ES70" s="122" t="s">
        <v>185</v>
      </c>
      <c r="FU70" s="451">
        <v>42888</v>
      </c>
      <c r="FV70" s="457">
        <v>314.19</v>
      </c>
      <c r="FW70" s="457"/>
    </row>
    <row r="71" spans="135:179" x14ac:dyDescent="0.35">
      <c r="EE71" s="451">
        <v>42871</v>
      </c>
      <c r="EF71" s="62">
        <v>313.02999999999997</v>
      </c>
      <c r="EG71" s="62">
        <v>2400.669922</v>
      </c>
      <c r="EH71" s="92">
        <f t="shared" si="18"/>
        <v>1.6643387020604226</v>
      </c>
      <c r="EI71" s="92">
        <f t="shared" si="19"/>
        <v>1.2746438988389774</v>
      </c>
      <c r="EN71" s="62" t="s">
        <v>112</v>
      </c>
      <c r="EO71" s="66">
        <v>273.90100000000001</v>
      </c>
      <c r="EP71" s="66">
        <v>303.65199999999999</v>
      </c>
      <c r="EQ71" s="122" t="s">
        <v>185</v>
      </c>
      <c r="ER71" s="122" t="s">
        <v>185</v>
      </c>
      <c r="ES71" s="122" t="s">
        <v>185</v>
      </c>
      <c r="FU71" s="451">
        <v>42887</v>
      </c>
      <c r="FV71" s="457">
        <v>314.44</v>
      </c>
      <c r="FW71" s="457"/>
    </row>
    <row r="72" spans="135:179" x14ac:dyDescent="0.35">
      <c r="EE72" s="451">
        <v>42870</v>
      </c>
      <c r="EF72" s="62">
        <v>312.97000000000003</v>
      </c>
      <c r="EG72" s="62">
        <v>2402.320068</v>
      </c>
      <c r="EH72" s="92">
        <f t="shared" si="18"/>
        <v>1.6641469903947679</v>
      </c>
      <c r="EI72" s="92">
        <f t="shared" si="19"/>
        <v>1.2753307956525954</v>
      </c>
      <c r="EN72" s="62" t="s">
        <v>186</v>
      </c>
      <c r="EO72" s="66">
        <v>171.95599999999999</v>
      </c>
      <c r="EP72" s="66">
        <v>191.369</v>
      </c>
      <c r="EQ72" s="122" t="s">
        <v>185</v>
      </c>
      <c r="ER72" s="122" t="s">
        <v>185</v>
      </c>
      <c r="ES72" s="122" t="s">
        <v>185</v>
      </c>
      <c r="FU72" s="451">
        <v>42886</v>
      </c>
      <c r="FV72" s="457">
        <v>314.49</v>
      </c>
      <c r="FW72" s="457"/>
    </row>
    <row r="73" spans="135:179" x14ac:dyDescent="0.35">
      <c r="EE73" s="451">
        <v>42867</v>
      </c>
      <c r="EF73" s="62">
        <v>312.85000000000002</v>
      </c>
      <c r="EG73" s="62">
        <v>2390.8999020000001</v>
      </c>
      <c r="EH73" s="92">
        <f t="shared" si="18"/>
        <v>1.6637634199936171</v>
      </c>
      <c r="EI73" s="92">
        <f t="shared" si="19"/>
        <v>1.2705542820099929</v>
      </c>
      <c r="EN73" s="62" t="s">
        <v>184</v>
      </c>
      <c r="EO73" s="122" t="s">
        <v>185</v>
      </c>
      <c r="EP73" s="122" t="s">
        <v>185</v>
      </c>
      <c r="EQ73" s="122" t="s">
        <v>185</v>
      </c>
      <c r="ER73" s="122" t="s">
        <v>185</v>
      </c>
      <c r="ES73" s="122" t="s">
        <v>185</v>
      </c>
      <c r="FU73" s="451">
        <v>42885</v>
      </c>
      <c r="FV73" s="457">
        <v>314.45999999999998</v>
      </c>
      <c r="FW73" s="457"/>
    </row>
    <row r="74" spans="135:179" x14ac:dyDescent="0.35">
      <c r="EE74" s="451">
        <v>42866</v>
      </c>
      <c r="EF74" s="62">
        <v>312.98</v>
      </c>
      <c r="EG74" s="62">
        <v>2394.4399410000001</v>
      </c>
      <c r="EH74" s="92">
        <f t="shared" si="18"/>
        <v>1.6641787819975791</v>
      </c>
      <c r="EI74" s="92">
        <f t="shared" si="19"/>
        <v>1.2720327233521138</v>
      </c>
      <c r="FU74" s="451">
        <v>42881</v>
      </c>
      <c r="FV74" s="457">
        <v>313.83999999999997</v>
      </c>
      <c r="FW74" s="457"/>
    </row>
    <row r="75" spans="135:179" x14ac:dyDescent="0.35">
      <c r="EE75" s="451">
        <v>42865</v>
      </c>
      <c r="EF75" s="62">
        <v>313.01</v>
      </c>
      <c r="EG75" s="62">
        <v>2399.6298830000001</v>
      </c>
      <c r="EH75" s="92">
        <f t="shared" si="18"/>
        <v>1.6642746255808512</v>
      </c>
      <c r="EI75" s="92">
        <f t="shared" si="19"/>
        <v>1.2741955327239955</v>
      </c>
      <c r="FU75" s="451">
        <v>42880</v>
      </c>
      <c r="FV75" s="457">
        <v>313.7</v>
      </c>
      <c r="FW75" s="457"/>
    </row>
    <row r="76" spans="135:179" x14ac:dyDescent="0.35">
      <c r="EE76" s="451">
        <v>42864</v>
      </c>
      <c r="EF76" s="62">
        <v>313.05</v>
      </c>
      <c r="EG76" s="62">
        <v>2396.919922</v>
      </c>
      <c r="EH76" s="92">
        <f t="shared" si="18"/>
        <v>1.6644024006966474</v>
      </c>
      <c r="EI76" s="92">
        <f t="shared" si="19"/>
        <v>1.2730649313321314</v>
      </c>
      <c r="FU76" s="451">
        <v>42879</v>
      </c>
      <c r="FV76" s="457">
        <v>313.48</v>
      </c>
      <c r="FW76" s="457"/>
    </row>
    <row r="77" spans="135:179" x14ac:dyDescent="0.35">
      <c r="EE77" s="451">
        <v>42863</v>
      </c>
      <c r="EF77" s="62">
        <v>312.83999999999997</v>
      </c>
      <c r="EG77" s="62">
        <v>2399.3798830000001</v>
      </c>
      <c r="EH77" s="92">
        <f t="shared" si="18"/>
        <v>1.6637311310380358</v>
      </c>
      <c r="EI77" s="92">
        <f t="shared" si="19"/>
        <v>1.2740901799880151</v>
      </c>
      <c r="FU77" s="451">
        <v>42878</v>
      </c>
      <c r="FV77" s="457">
        <v>313.33999999999997</v>
      </c>
      <c r="FW77" s="457"/>
    </row>
    <row r="78" spans="135:179" x14ac:dyDescent="0.35">
      <c r="EE78" s="451">
        <v>42860</v>
      </c>
      <c r="EF78" s="62">
        <v>313.16000000000003</v>
      </c>
      <c r="EG78" s="62">
        <v>2399.290039</v>
      </c>
      <c r="EH78" s="92">
        <f t="shared" si="18"/>
        <v>1.6647529729080066</v>
      </c>
      <c r="EI78" s="92">
        <f t="shared" si="19"/>
        <v>1.2740527339108256</v>
      </c>
      <c r="FU78" s="451">
        <v>42877</v>
      </c>
      <c r="FV78" s="457">
        <v>313.08</v>
      </c>
      <c r="FW78" s="457"/>
    </row>
    <row r="79" spans="135:179" x14ac:dyDescent="0.35">
      <c r="EE79" s="451">
        <v>42859</v>
      </c>
      <c r="EF79" s="62">
        <v>313.33</v>
      </c>
      <c r="EG79" s="62">
        <v>2389.5200199999999</v>
      </c>
      <c r="EH79" s="92">
        <f t="shared" si="18"/>
        <v>1.6652955318713998</v>
      </c>
      <c r="EI79" s="92">
        <f t="shared" si="19"/>
        <v>1.2699640387259239</v>
      </c>
      <c r="FU79" s="451">
        <v>42874</v>
      </c>
      <c r="FV79" s="457">
        <v>313.05</v>
      </c>
      <c r="FW79" s="457"/>
    </row>
    <row r="80" spans="135:179" x14ac:dyDescent="0.35">
      <c r="EE80" s="451">
        <v>42858</v>
      </c>
      <c r="EF80" s="62">
        <v>313.20999999999998</v>
      </c>
      <c r="EG80" s="62">
        <v>2388.1298830000001</v>
      </c>
      <c r="EH80" s="92">
        <f t="shared" si="18"/>
        <v>1.6649124023416912</v>
      </c>
      <c r="EI80" s="92">
        <f t="shared" si="19"/>
        <v>1.2693819359643046</v>
      </c>
      <c r="FU80" s="451">
        <v>42873</v>
      </c>
      <c r="FV80" s="457">
        <v>312.88</v>
      </c>
      <c r="FW80" s="457"/>
    </row>
    <row r="81" spans="135:179" x14ac:dyDescent="0.35">
      <c r="EE81" s="451">
        <v>42857</v>
      </c>
      <c r="EF81" s="62">
        <v>313.25</v>
      </c>
      <c r="EG81" s="62">
        <v>2391.169922</v>
      </c>
      <c r="EH81" s="92">
        <f t="shared" si="18"/>
        <v>1.665040095877206</v>
      </c>
      <c r="EI81" s="92">
        <f t="shared" si="19"/>
        <v>1.2706532964694823</v>
      </c>
      <c r="FU81" s="451">
        <v>42872</v>
      </c>
      <c r="FV81" s="457">
        <v>312.87</v>
      </c>
      <c r="FW81" s="457"/>
    </row>
    <row r="82" spans="135:179" x14ac:dyDescent="0.35">
      <c r="EE82" s="451">
        <v>42856</v>
      </c>
      <c r="EF82" s="62">
        <v>313.07</v>
      </c>
      <c r="EG82" s="62">
        <v>2388.330078</v>
      </c>
      <c r="EH82" s="92">
        <f t="shared" si="18"/>
        <v>1.6644651445883569</v>
      </c>
      <c r="EI82" s="92">
        <f t="shared" si="19"/>
        <v>1.2694642464189223</v>
      </c>
      <c r="FU82" s="451">
        <v>42871</v>
      </c>
      <c r="FV82" s="457">
        <v>313.02999999999997</v>
      </c>
      <c r="FW82" s="457"/>
    </row>
    <row r="83" spans="135:179" x14ac:dyDescent="0.35">
      <c r="EE83" s="451">
        <v>42853</v>
      </c>
      <c r="EF83" s="62">
        <v>312.68</v>
      </c>
      <c r="EG83" s="62">
        <v>2384.1999510000001</v>
      </c>
      <c r="EH83" s="92">
        <f t="shared" si="18"/>
        <v>1.6632178630225389</v>
      </c>
      <c r="EI83" s="92">
        <f t="shared" si="19"/>
        <v>1.2677319558875566</v>
      </c>
      <c r="FU83" s="451">
        <v>42870</v>
      </c>
      <c r="FV83" s="457">
        <v>312.97000000000003</v>
      </c>
      <c r="FW83" s="457"/>
    </row>
    <row r="84" spans="135:179" x14ac:dyDescent="0.35">
      <c r="EE84" s="451">
        <v>42852</v>
      </c>
      <c r="EF84" s="62">
        <v>313.39</v>
      </c>
      <c r="EG84" s="62">
        <v>2388.7700199999999</v>
      </c>
      <c r="EH84" s="92">
        <f t="shared" si="18"/>
        <v>1.665483410742632</v>
      </c>
      <c r="EI84" s="92">
        <f t="shared" si="19"/>
        <v>1.2696451032235232</v>
      </c>
      <c r="FU84" s="451">
        <v>42867</v>
      </c>
      <c r="FV84" s="457">
        <v>312.85000000000002</v>
      </c>
      <c r="FW84" s="457"/>
    </row>
    <row r="85" spans="135:179" x14ac:dyDescent="0.35">
      <c r="EE85" s="451">
        <v>42851</v>
      </c>
      <c r="EF85" s="62">
        <v>313.51</v>
      </c>
      <c r="EG85" s="62">
        <v>2387.4499510000001</v>
      </c>
      <c r="EH85" s="92">
        <f t="shared" si="18"/>
        <v>1.6658661736529059</v>
      </c>
      <c r="EI85" s="92">
        <f t="shared" si="19"/>
        <v>1.269092183151022</v>
      </c>
      <c r="FU85" s="451">
        <v>42866</v>
      </c>
      <c r="FV85" s="457">
        <v>312.98</v>
      </c>
      <c r="FW85" s="457"/>
    </row>
    <row r="86" spans="135:179" x14ac:dyDescent="0.35">
      <c r="EE86" s="451">
        <v>42850</v>
      </c>
      <c r="EF86" s="62">
        <v>313.72000000000003</v>
      </c>
      <c r="EG86" s="62">
        <v>2388.610107</v>
      </c>
      <c r="EH86" s="92">
        <f t="shared" si="18"/>
        <v>1.6665355603671734</v>
      </c>
      <c r="EI86" s="92">
        <f t="shared" si="19"/>
        <v>1.2695778865299869</v>
      </c>
      <c r="FU86" s="451">
        <v>42865</v>
      </c>
      <c r="FV86" s="457">
        <v>313.01</v>
      </c>
      <c r="FW86" s="457"/>
    </row>
    <row r="87" spans="135:179" x14ac:dyDescent="0.35">
      <c r="EE87" s="451">
        <v>42849</v>
      </c>
      <c r="EF87" s="62">
        <v>314.07</v>
      </c>
      <c r="EG87" s="62">
        <v>2374.1499020000001</v>
      </c>
      <c r="EH87" s="92">
        <f t="shared" si="18"/>
        <v>1.6676499616153027</v>
      </c>
      <c r="EI87" s="92">
        <f t="shared" si="19"/>
        <v>1.2634871990852647</v>
      </c>
      <c r="FU87" s="451">
        <v>42864</v>
      </c>
      <c r="FV87" s="457">
        <v>313.05</v>
      </c>
      <c r="FW87" s="457"/>
    </row>
    <row r="88" spans="135:179" x14ac:dyDescent="0.35">
      <c r="EE88" s="451">
        <v>42846</v>
      </c>
      <c r="EF88" s="62">
        <v>314.27</v>
      </c>
      <c r="EG88" s="62">
        <v>2348.6899410000001</v>
      </c>
      <c r="EH88" s="92">
        <f t="shared" si="18"/>
        <v>1.668286357071439</v>
      </c>
      <c r="EI88" s="92">
        <f t="shared" si="19"/>
        <v>1.2526471300937996</v>
      </c>
      <c r="FU88" s="451">
        <v>42863</v>
      </c>
      <c r="FV88" s="457">
        <v>312.83999999999997</v>
      </c>
      <c r="FW88" s="457"/>
    </row>
    <row r="89" spans="135:179" x14ac:dyDescent="0.35">
      <c r="EE89" s="451">
        <v>42845</v>
      </c>
      <c r="EF89" s="62">
        <v>314.39999999999998</v>
      </c>
      <c r="EG89" s="62">
        <v>2355.8400879999999</v>
      </c>
      <c r="EH89" s="92">
        <f t="shared" si="18"/>
        <v>1.6686998430765281</v>
      </c>
      <c r="EI89" s="92">
        <f t="shared" si="19"/>
        <v>1.2556822032451653</v>
      </c>
      <c r="FU89" s="451">
        <v>42860</v>
      </c>
      <c r="FV89" s="457">
        <v>313.16000000000003</v>
      </c>
      <c r="FW89" s="457"/>
    </row>
    <row r="90" spans="135:179" x14ac:dyDescent="0.35">
      <c r="EE90" s="451">
        <v>42844</v>
      </c>
      <c r="EF90" s="62">
        <v>314.98</v>
      </c>
      <c r="EG90" s="62">
        <v>2338.169922</v>
      </c>
      <c r="EH90" s="92">
        <f t="shared" si="18"/>
        <v>1.6705412298312428</v>
      </c>
      <c r="EI90" s="92">
        <f t="shared" si="19"/>
        <v>1.2481249398342644</v>
      </c>
      <c r="FU90" s="451">
        <v>42859</v>
      </c>
      <c r="FV90" s="457">
        <v>313.33</v>
      </c>
      <c r="FW90" s="457"/>
    </row>
    <row r="91" spans="135:179" x14ac:dyDescent="0.35">
      <c r="EE91" s="451">
        <v>42843</v>
      </c>
      <c r="EF91" s="62">
        <v>315.23</v>
      </c>
      <c r="EG91" s="62">
        <v>2342.1899410000001</v>
      </c>
      <c r="EH91" s="92">
        <f t="shared" si="18"/>
        <v>1.6713343015566495</v>
      </c>
      <c r="EI91" s="92">
        <f t="shared" si="19"/>
        <v>1.2498412903870653</v>
      </c>
      <c r="FU91" s="451">
        <v>42858</v>
      </c>
      <c r="FV91" s="457">
        <v>313.20999999999998</v>
      </c>
      <c r="FW91" s="457"/>
    </row>
    <row r="92" spans="135:179" x14ac:dyDescent="0.35">
      <c r="EE92" s="451">
        <v>42842</v>
      </c>
      <c r="EF92" s="62">
        <v>314.99</v>
      </c>
      <c r="EG92" s="62">
        <v>2349.01001</v>
      </c>
      <c r="EH92" s="92">
        <f t="shared" si="18"/>
        <v>1.670572372606524</v>
      </c>
      <c r="EI92" s="92">
        <f t="shared" si="19"/>
        <v>1.2527446705220864</v>
      </c>
      <c r="FU92" s="451">
        <v>42857</v>
      </c>
      <c r="FV92" s="457">
        <v>313.25</v>
      </c>
      <c r="FW92" s="457"/>
    </row>
    <row r="93" spans="135:179" x14ac:dyDescent="0.35">
      <c r="EE93" s="451">
        <v>42838</v>
      </c>
      <c r="EF93" s="62">
        <v>315.44</v>
      </c>
      <c r="EG93" s="62">
        <v>2328.9499510000001</v>
      </c>
      <c r="EH93" s="92">
        <f t="shared" ref="EH93:EH156" si="25">EH94+(EF93-EF94)/EF94</f>
        <v>1.6719989513536708</v>
      </c>
      <c r="EI93" s="92">
        <f t="shared" ref="EI93:EI156" si="26">EI94+(EG93-EG94)/EG94</f>
        <v>1.2441313214067966</v>
      </c>
      <c r="FU93" s="451">
        <v>42856</v>
      </c>
      <c r="FV93" s="457">
        <v>313.07</v>
      </c>
      <c r="FW93" s="457"/>
    </row>
    <row r="94" spans="135:179" x14ac:dyDescent="0.35">
      <c r="EE94" s="451">
        <v>42837</v>
      </c>
      <c r="EF94" s="62">
        <v>314.2</v>
      </c>
      <c r="EG94" s="62">
        <v>2344.929932</v>
      </c>
      <c r="EH94" s="92">
        <f t="shared" si="25"/>
        <v>1.6680524204816147</v>
      </c>
      <c r="EI94" s="92">
        <f t="shared" si="26"/>
        <v>1.2509460158596797</v>
      </c>
      <c r="FU94" s="451">
        <v>42853</v>
      </c>
      <c r="FV94" s="457">
        <v>312.68</v>
      </c>
      <c r="FW94" s="457"/>
    </row>
    <row r="95" spans="135:179" x14ac:dyDescent="0.35">
      <c r="EE95" s="451">
        <v>42836</v>
      </c>
      <c r="EF95" s="62">
        <v>313.82</v>
      </c>
      <c r="EG95" s="62">
        <v>2353.780029</v>
      </c>
      <c r="EH95" s="92">
        <f t="shared" si="25"/>
        <v>1.6668415352607875</v>
      </c>
      <c r="EI95" s="92">
        <f t="shared" si="26"/>
        <v>1.2547059666158937</v>
      </c>
      <c r="FU95" s="451">
        <v>42852</v>
      </c>
      <c r="FV95" s="457">
        <v>313.39</v>
      </c>
      <c r="FW95" s="457"/>
    </row>
    <row r="96" spans="135:179" x14ac:dyDescent="0.35">
      <c r="EE96" s="451">
        <v>42835</v>
      </c>
      <c r="EF96" s="62">
        <v>313.3</v>
      </c>
      <c r="EG96" s="62">
        <v>2357.1599120000001</v>
      </c>
      <c r="EH96" s="92">
        <f t="shared" si="25"/>
        <v>1.6651817842234431</v>
      </c>
      <c r="EI96" s="92">
        <f t="shared" si="26"/>
        <v>1.2561398459987874</v>
      </c>
      <c r="FU96" s="451">
        <v>42851</v>
      </c>
      <c r="FV96" s="457">
        <v>313.51</v>
      </c>
      <c r="FW96" s="457"/>
    </row>
    <row r="97" spans="135:179" x14ac:dyDescent="0.35">
      <c r="EE97" s="451">
        <v>42832</v>
      </c>
      <c r="EF97" s="62">
        <v>312</v>
      </c>
      <c r="EG97" s="62">
        <v>2355.540039</v>
      </c>
      <c r="EH97" s="92">
        <f t="shared" si="25"/>
        <v>1.6610151175567764</v>
      </c>
      <c r="EI97" s="92">
        <f t="shared" si="26"/>
        <v>1.2554521595348851</v>
      </c>
      <c r="FU97" s="451">
        <v>42850</v>
      </c>
      <c r="FV97" s="457">
        <v>313.72000000000003</v>
      </c>
      <c r="FW97" s="457"/>
    </row>
    <row r="98" spans="135:179" x14ac:dyDescent="0.35">
      <c r="EE98" s="451">
        <v>42831</v>
      </c>
      <c r="EF98" s="62">
        <v>312.55</v>
      </c>
      <c r="EG98" s="62">
        <v>2357.48999</v>
      </c>
      <c r="EH98" s="92">
        <f t="shared" si="25"/>
        <v>1.6627748360018253</v>
      </c>
      <c r="EI98" s="92">
        <f t="shared" si="26"/>
        <v>1.2562792896640782</v>
      </c>
      <c r="FU98" s="451">
        <v>42849</v>
      </c>
      <c r="FV98" s="457">
        <v>314.07</v>
      </c>
      <c r="FW98" s="457"/>
    </row>
    <row r="99" spans="135:179" x14ac:dyDescent="0.35">
      <c r="EE99" s="451">
        <v>42830</v>
      </c>
      <c r="EF99" s="62">
        <v>312.94</v>
      </c>
      <c r="EG99" s="62">
        <v>2352.9499510000001</v>
      </c>
      <c r="EH99" s="92">
        <f t="shared" si="25"/>
        <v>1.6640210812884617</v>
      </c>
      <c r="EI99" s="92">
        <f t="shared" si="26"/>
        <v>1.2543497802845565</v>
      </c>
      <c r="FU99" s="451">
        <v>42846</v>
      </c>
      <c r="FV99" s="457">
        <v>314.27</v>
      </c>
      <c r="FW99" s="457"/>
    </row>
    <row r="100" spans="135:179" x14ac:dyDescent="0.35">
      <c r="EE100" s="451">
        <v>42829</v>
      </c>
      <c r="EF100" s="62">
        <v>274</v>
      </c>
      <c r="EG100" s="62">
        <v>2360.1599120000001</v>
      </c>
      <c r="EH100" s="92">
        <f t="shared" si="25"/>
        <v>1.5219042929672939</v>
      </c>
      <c r="EI100" s="92">
        <f t="shared" si="26"/>
        <v>1.2574046415095699</v>
      </c>
      <c r="FU100" s="451">
        <v>42845</v>
      </c>
      <c r="FV100" s="457">
        <v>314.39999999999998</v>
      </c>
      <c r="FW100" s="457"/>
    </row>
    <row r="101" spans="135:179" x14ac:dyDescent="0.35">
      <c r="EE101" s="451">
        <v>42828</v>
      </c>
      <c r="EF101" s="62">
        <v>282.63</v>
      </c>
      <c r="EG101" s="62">
        <v>2358.8400879999999</v>
      </c>
      <c r="EH101" s="92">
        <f t="shared" si="25"/>
        <v>1.5524389142035391</v>
      </c>
      <c r="EI101" s="92">
        <f t="shared" si="26"/>
        <v>1.2568451190532939</v>
      </c>
      <c r="EJ101" s="92"/>
      <c r="FU101" s="451">
        <v>42844</v>
      </c>
      <c r="FV101" s="457">
        <v>314.98</v>
      </c>
      <c r="FW101" s="457"/>
    </row>
    <row r="102" spans="135:179" x14ac:dyDescent="0.35">
      <c r="EE102" s="451">
        <v>42825</v>
      </c>
      <c r="EF102" s="62">
        <v>261.87</v>
      </c>
      <c r="EG102" s="62">
        <v>2362.719971</v>
      </c>
      <c r="EH102" s="92">
        <f t="shared" si="25"/>
        <v>1.4731629375739137</v>
      </c>
      <c r="EI102" s="92">
        <f t="shared" si="26"/>
        <v>1.2584872446744515</v>
      </c>
      <c r="FU102" s="451">
        <v>42843</v>
      </c>
      <c r="FV102" s="457">
        <v>315.23</v>
      </c>
      <c r="FW102" s="457"/>
    </row>
    <row r="103" spans="135:179" x14ac:dyDescent="0.35">
      <c r="EE103" s="451">
        <v>42824</v>
      </c>
      <c r="EF103" s="62">
        <v>255.45</v>
      </c>
      <c r="EG103" s="62">
        <v>2368.0600589999999</v>
      </c>
      <c r="EH103" s="92">
        <f t="shared" si="25"/>
        <v>1.4480308177853054</v>
      </c>
      <c r="EI103" s="92">
        <f t="shared" si="26"/>
        <v>1.2607422922099667</v>
      </c>
      <c r="FU103" s="451">
        <v>42842</v>
      </c>
      <c r="FV103" s="457">
        <v>314.99</v>
      </c>
      <c r="FW103" s="457"/>
    </row>
    <row r="104" spans="135:179" x14ac:dyDescent="0.35">
      <c r="EE104" s="451">
        <v>42823</v>
      </c>
      <c r="EF104" s="62">
        <v>255.24</v>
      </c>
      <c r="EG104" s="62">
        <v>2361.1298830000001</v>
      </c>
      <c r="EH104" s="92">
        <f t="shared" si="25"/>
        <v>1.4472080627312387</v>
      </c>
      <c r="EI104" s="92">
        <f t="shared" si="26"/>
        <v>1.2578071821806978</v>
      </c>
      <c r="FU104" s="451">
        <v>42838</v>
      </c>
      <c r="FV104" s="457">
        <v>315.44</v>
      </c>
      <c r="FW104" s="457"/>
    </row>
    <row r="105" spans="135:179" x14ac:dyDescent="0.35">
      <c r="EE105" s="451">
        <v>42822</v>
      </c>
      <c r="EF105" s="62">
        <v>256.97000000000003</v>
      </c>
      <c r="EG105" s="62">
        <v>2358.570068</v>
      </c>
      <c r="EH105" s="92">
        <f t="shared" si="25"/>
        <v>1.4539403661129564</v>
      </c>
      <c r="EI105" s="92">
        <f t="shared" si="26"/>
        <v>1.256721857205735</v>
      </c>
      <c r="FU105" s="451">
        <v>42837</v>
      </c>
      <c r="FV105" s="457">
        <v>314.2</v>
      </c>
      <c r="FW105" s="457"/>
    </row>
    <row r="106" spans="135:179" x14ac:dyDescent="0.35">
      <c r="EE106" s="451">
        <v>42821</v>
      </c>
      <c r="EF106" s="62">
        <v>253.26</v>
      </c>
      <c r="EG106" s="62">
        <v>2341.5900879999999</v>
      </c>
      <c r="EH106" s="92">
        <f t="shared" si="25"/>
        <v>1.4392913887774117</v>
      </c>
      <c r="EI106" s="92">
        <f t="shared" si="26"/>
        <v>1.2494703830527576</v>
      </c>
      <c r="FU106" s="451">
        <v>42836</v>
      </c>
      <c r="FV106" s="457">
        <v>313.82</v>
      </c>
      <c r="FW106" s="457"/>
    </row>
    <row r="107" spans="135:179" x14ac:dyDescent="0.35">
      <c r="EE107" s="451">
        <v>42818</v>
      </c>
      <c r="EF107" s="62">
        <v>249.48</v>
      </c>
      <c r="EG107" s="62">
        <v>2343.9799800000001</v>
      </c>
      <c r="EH107" s="92">
        <f t="shared" si="25"/>
        <v>1.4241398736258966</v>
      </c>
      <c r="EI107" s="92">
        <f t="shared" si="26"/>
        <v>1.2504899702593002</v>
      </c>
      <c r="FU107" s="451">
        <v>42835</v>
      </c>
      <c r="FV107" s="457">
        <v>313.3</v>
      </c>
      <c r="FW107" s="457"/>
    </row>
    <row r="108" spans="135:179" x14ac:dyDescent="0.35">
      <c r="EE108" s="451">
        <v>42817</v>
      </c>
      <c r="EF108" s="62">
        <v>246.48</v>
      </c>
      <c r="EG108" s="62">
        <v>2345.959961</v>
      </c>
      <c r="EH108" s="92">
        <f t="shared" si="25"/>
        <v>1.41196850069503</v>
      </c>
      <c r="EI108" s="92">
        <f t="shared" si="26"/>
        <v>1.251333966334645</v>
      </c>
      <c r="FU108" s="451">
        <v>42832</v>
      </c>
      <c r="FV108" s="457">
        <v>312</v>
      </c>
      <c r="FW108" s="457"/>
    </row>
    <row r="109" spans="135:179" x14ac:dyDescent="0.35">
      <c r="EE109" s="451">
        <v>42816</v>
      </c>
      <c r="EF109" s="62">
        <v>245.03</v>
      </c>
      <c r="EG109" s="62">
        <v>2348.4499510000001</v>
      </c>
      <c r="EH109" s="92">
        <f t="shared" si="25"/>
        <v>1.406050857957406</v>
      </c>
      <c r="EI109" s="92">
        <f t="shared" si="26"/>
        <v>1.2523942358962508</v>
      </c>
      <c r="FU109" s="451">
        <v>42831</v>
      </c>
      <c r="FV109" s="457">
        <v>312.55</v>
      </c>
      <c r="FW109" s="457"/>
    </row>
    <row r="110" spans="135:179" x14ac:dyDescent="0.35">
      <c r="EE110" s="451">
        <v>42815</v>
      </c>
      <c r="EF110" s="62">
        <v>240.77</v>
      </c>
      <c r="EG110" s="62">
        <v>2344.0200199999999</v>
      </c>
      <c r="EH110" s="92">
        <f t="shared" si="25"/>
        <v>1.3883576237504867</v>
      </c>
      <c r="EI110" s="92">
        <f t="shared" si="26"/>
        <v>1.2505043497339303</v>
      </c>
      <c r="FU110" s="451">
        <v>42830</v>
      </c>
      <c r="FV110" s="457">
        <v>312.94</v>
      </c>
      <c r="FW110" s="457"/>
    </row>
    <row r="111" spans="135:179" x14ac:dyDescent="0.35">
      <c r="EE111" s="451">
        <v>42814</v>
      </c>
      <c r="EF111" s="62">
        <v>238.61</v>
      </c>
      <c r="EG111" s="62">
        <v>2373.469971</v>
      </c>
      <c r="EH111" s="92">
        <f t="shared" si="25"/>
        <v>1.3793051951012263</v>
      </c>
      <c r="EI111" s="92">
        <f t="shared" si="26"/>
        <v>1.2629123226005903</v>
      </c>
      <c r="EJ111" s="92"/>
      <c r="FU111" s="451">
        <v>42829</v>
      </c>
      <c r="FV111" s="457">
        <v>274</v>
      </c>
      <c r="FW111" s="457"/>
    </row>
    <row r="112" spans="135:179" x14ac:dyDescent="0.35">
      <c r="EE112" s="451">
        <v>42811</v>
      </c>
      <c r="EF112" s="62">
        <v>238.39</v>
      </c>
      <c r="EG112" s="62">
        <v>2378.25</v>
      </c>
      <c r="EH112" s="92">
        <f t="shared" si="25"/>
        <v>1.3783823375988142</v>
      </c>
      <c r="EI112" s="92">
        <f t="shared" si="26"/>
        <v>1.2649222160096094</v>
      </c>
      <c r="FU112" s="451">
        <v>42828</v>
      </c>
      <c r="FV112" s="457">
        <v>282.63</v>
      </c>
      <c r="FW112" s="457"/>
    </row>
    <row r="113" spans="135:179" x14ac:dyDescent="0.35">
      <c r="EE113" s="451">
        <v>42810</v>
      </c>
      <c r="EF113" s="62">
        <v>235.73</v>
      </c>
      <c r="EG113" s="62">
        <v>2381.3798830000001</v>
      </c>
      <c r="EH113" s="92">
        <f t="shared" si="25"/>
        <v>1.3670982413870465</v>
      </c>
      <c r="EI113" s="92">
        <f t="shared" si="26"/>
        <v>1.2662365308832435</v>
      </c>
      <c r="FU113" s="451">
        <v>42825</v>
      </c>
      <c r="FV113" s="457">
        <v>261.87</v>
      </c>
      <c r="FW113" s="457"/>
    </row>
    <row r="114" spans="135:179" x14ac:dyDescent="0.35">
      <c r="EE114" s="451">
        <v>42809</v>
      </c>
      <c r="EF114" s="62">
        <v>236.49</v>
      </c>
      <c r="EG114" s="62">
        <v>2385.26001</v>
      </c>
      <c r="EH114" s="92">
        <f t="shared" si="25"/>
        <v>1.370311907926858</v>
      </c>
      <c r="EI114" s="92">
        <f t="shared" si="26"/>
        <v>1.2678632411721567</v>
      </c>
      <c r="FU114" s="451">
        <v>42824</v>
      </c>
      <c r="FV114" s="457">
        <v>255.45</v>
      </c>
      <c r="FW114" s="457"/>
    </row>
    <row r="115" spans="135:179" x14ac:dyDescent="0.35">
      <c r="EE115" s="451">
        <v>42808</v>
      </c>
      <c r="EF115" s="62">
        <v>234.27</v>
      </c>
      <c r="EG115" s="62">
        <v>2365.4499510000001</v>
      </c>
      <c r="EH115" s="92">
        <f t="shared" si="25"/>
        <v>1.3608356625689377</v>
      </c>
      <c r="EI115" s="92">
        <f t="shared" si="26"/>
        <v>1.2594884882032236</v>
      </c>
      <c r="FU115" s="451">
        <v>42823</v>
      </c>
      <c r="FV115" s="457">
        <v>255.24</v>
      </c>
      <c r="FW115" s="457"/>
    </row>
    <row r="116" spans="135:179" x14ac:dyDescent="0.35">
      <c r="EE116" s="451">
        <v>42807</v>
      </c>
      <c r="EF116" s="62">
        <v>234.47</v>
      </c>
      <c r="EG116" s="62">
        <v>2373.469971</v>
      </c>
      <c r="EH116" s="92">
        <f t="shared" si="25"/>
        <v>1.3616886501579684</v>
      </c>
      <c r="EI116" s="92">
        <f t="shared" si="26"/>
        <v>1.2628675155758011</v>
      </c>
      <c r="FU116" s="451">
        <v>42822</v>
      </c>
      <c r="FV116" s="457">
        <v>256.97000000000003</v>
      </c>
      <c r="FW116" s="457"/>
    </row>
    <row r="117" spans="135:179" x14ac:dyDescent="0.35">
      <c r="EE117" s="451">
        <v>42804</v>
      </c>
      <c r="EF117" s="62">
        <v>234.91</v>
      </c>
      <c r="EG117" s="62">
        <v>2372.6000979999999</v>
      </c>
      <c r="EH117" s="92">
        <f t="shared" si="25"/>
        <v>1.3635617079247726</v>
      </c>
      <c r="EI117" s="92">
        <f t="shared" si="26"/>
        <v>1.2625008827830548</v>
      </c>
      <c r="FU117" s="451">
        <v>42821</v>
      </c>
      <c r="FV117" s="457">
        <v>253.26</v>
      </c>
      <c r="FW117" s="457"/>
    </row>
    <row r="118" spans="135:179" x14ac:dyDescent="0.35">
      <c r="EE118" s="451">
        <v>42803</v>
      </c>
      <c r="EF118" s="62">
        <v>235.86</v>
      </c>
      <c r="EG118" s="62">
        <v>2364.8701169999999</v>
      </c>
      <c r="EH118" s="92">
        <f t="shared" si="25"/>
        <v>1.3675895210342444</v>
      </c>
      <c r="EI118" s="92">
        <f t="shared" si="26"/>
        <v>1.2592322123624544</v>
      </c>
      <c r="FU118" s="451">
        <v>42818</v>
      </c>
      <c r="FV118" s="457">
        <v>249.48</v>
      </c>
      <c r="FW118" s="457"/>
    </row>
    <row r="119" spans="135:179" x14ac:dyDescent="0.35">
      <c r="EE119" s="451">
        <v>42802</v>
      </c>
      <c r="EF119" s="62">
        <v>233.77</v>
      </c>
      <c r="EG119" s="62">
        <v>2362.9799800000001</v>
      </c>
      <c r="EH119" s="92">
        <f t="shared" si="25"/>
        <v>1.3586491095186521</v>
      </c>
      <c r="EI119" s="92">
        <f t="shared" si="26"/>
        <v>1.2584323168847111</v>
      </c>
      <c r="EJ119" s="92"/>
      <c r="FU119" s="451">
        <v>42817</v>
      </c>
      <c r="FV119" s="457">
        <v>246.48</v>
      </c>
      <c r="FW119" s="457"/>
    </row>
    <row r="120" spans="135:179" x14ac:dyDescent="0.35">
      <c r="EE120" s="451">
        <v>42801</v>
      </c>
      <c r="EF120" s="62">
        <v>230.38</v>
      </c>
      <c r="EG120" s="62">
        <v>2368.389893</v>
      </c>
      <c r="EH120" s="92">
        <f t="shared" si="25"/>
        <v>1.3439342905239477</v>
      </c>
      <c r="EI120" s="92">
        <f t="shared" si="26"/>
        <v>1.2607165324253995</v>
      </c>
      <c r="FU120" s="451">
        <v>42816</v>
      </c>
      <c r="FV120" s="457">
        <v>245.03</v>
      </c>
      <c r="FW120" s="457"/>
    </row>
    <row r="121" spans="135:179" x14ac:dyDescent="0.35">
      <c r="EE121" s="451">
        <v>42800</v>
      </c>
      <c r="EF121" s="62">
        <v>230.08</v>
      </c>
      <c r="EG121" s="62">
        <v>2375.3100589999999</v>
      </c>
      <c r="EH121" s="92">
        <f t="shared" si="25"/>
        <v>1.3426303962263122</v>
      </c>
      <c r="EI121" s="92">
        <f t="shared" si="26"/>
        <v>1.2636299061863447</v>
      </c>
      <c r="FU121" s="451">
        <v>42815</v>
      </c>
      <c r="FV121" s="457">
        <v>240.77</v>
      </c>
      <c r="FW121" s="457"/>
    </row>
    <row r="122" spans="135:179" x14ac:dyDescent="0.35">
      <c r="EE122" s="451">
        <v>42797</v>
      </c>
      <c r="EF122" s="62">
        <v>229.04</v>
      </c>
      <c r="EG122" s="62">
        <v>2383.1201169999999</v>
      </c>
      <c r="EH122" s="92">
        <f t="shared" si="25"/>
        <v>1.3380897046440556</v>
      </c>
      <c r="EI122" s="92">
        <f t="shared" si="26"/>
        <v>1.2669071467854598</v>
      </c>
      <c r="FU122" s="451">
        <v>42814</v>
      </c>
      <c r="FV122" s="457">
        <v>238.61</v>
      </c>
      <c r="FW122" s="457"/>
    </row>
    <row r="123" spans="135:179" x14ac:dyDescent="0.35">
      <c r="EE123" s="451">
        <v>42796</v>
      </c>
      <c r="EF123" s="62">
        <v>230.13</v>
      </c>
      <c r="EG123" s="62">
        <v>2381.919922</v>
      </c>
      <c r="EH123" s="92">
        <f t="shared" si="25"/>
        <v>1.3428261579530549</v>
      </c>
      <c r="EI123" s="92">
        <f t="shared" si="26"/>
        <v>1.2664032696446228</v>
      </c>
      <c r="EJ123" s="92"/>
      <c r="FU123" s="451">
        <v>42811</v>
      </c>
      <c r="FV123" s="457">
        <v>238.39</v>
      </c>
      <c r="FW123" s="457"/>
    </row>
    <row r="124" spans="135:179" x14ac:dyDescent="0.35">
      <c r="EE124" s="451">
        <v>42795</v>
      </c>
      <c r="EF124" s="62">
        <v>231.63</v>
      </c>
      <c r="EG124" s="62">
        <v>2395.959961</v>
      </c>
      <c r="EH124" s="92">
        <f t="shared" si="25"/>
        <v>1.3493020030508402</v>
      </c>
      <c r="EI124" s="92">
        <f t="shared" si="26"/>
        <v>1.2722631501219828</v>
      </c>
      <c r="FU124" s="451">
        <v>42810</v>
      </c>
      <c r="FV124" s="457">
        <v>235.73</v>
      </c>
      <c r="FW124" s="457"/>
    </row>
    <row r="125" spans="135:179" x14ac:dyDescent="0.35">
      <c r="EE125" s="451">
        <v>42794</v>
      </c>
      <c r="EF125" s="62">
        <v>230.8</v>
      </c>
      <c r="EG125" s="62">
        <v>2363.639893</v>
      </c>
      <c r="EH125" s="92">
        <f t="shared" si="25"/>
        <v>1.3457058158757971</v>
      </c>
      <c r="EI125" s="92">
        <f t="shared" si="26"/>
        <v>1.2585892956166003</v>
      </c>
      <c r="FU125" s="451">
        <v>42809</v>
      </c>
      <c r="FV125" s="457">
        <v>236.49</v>
      </c>
      <c r="FW125" s="457"/>
    </row>
    <row r="126" spans="135:179" x14ac:dyDescent="0.35">
      <c r="EE126" s="451">
        <v>42793</v>
      </c>
      <c r="EF126" s="62">
        <v>230.91</v>
      </c>
      <c r="EG126" s="62">
        <v>2369.75</v>
      </c>
      <c r="EH126" s="92">
        <f t="shared" si="25"/>
        <v>1.3461821919530566</v>
      </c>
      <c r="EI126" s="92">
        <f t="shared" si="26"/>
        <v>1.2611676718166214</v>
      </c>
      <c r="FU126" s="451">
        <v>42808</v>
      </c>
      <c r="FV126" s="457">
        <v>234.27</v>
      </c>
      <c r="FW126" s="457"/>
    </row>
    <row r="127" spans="135:179" x14ac:dyDescent="0.35">
      <c r="EE127" s="451">
        <v>42790</v>
      </c>
      <c r="EF127" s="62">
        <v>231.39</v>
      </c>
      <c r="EG127" s="62">
        <v>2367.3400879999999</v>
      </c>
      <c r="EH127" s="92">
        <f t="shared" si="25"/>
        <v>1.3482566117637658</v>
      </c>
      <c r="EI127" s="92">
        <f t="shared" si="26"/>
        <v>1.2601496888017534</v>
      </c>
      <c r="FU127" s="451">
        <v>42807</v>
      </c>
      <c r="FV127" s="457">
        <v>234.47</v>
      </c>
      <c r="FW127" s="457"/>
    </row>
    <row r="128" spans="135:179" x14ac:dyDescent="0.35">
      <c r="EE128" s="451">
        <v>42789</v>
      </c>
      <c r="EF128" s="62">
        <v>228.95</v>
      </c>
      <c r="EG128" s="62">
        <v>2363.8100589999999</v>
      </c>
      <c r="EH128" s="92">
        <f t="shared" si="25"/>
        <v>1.3375992629976596</v>
      </c>
      <c r="EI128" s="92">
        <f t="shared" si="26"/>
        <v>1.2586563247361595</v>
      </c>
      <c r="FU128" s="451">
        <v>42804</v>
      </c>
      <c r="FV128" s="457">
        <v>234.91</v>
      </c>
      <c r="FW128" s="457"/>
    </row>
    <row r="129" spans="135:179" x14ac:dyDescent="0.35">
      <c r="EE129" s="451">
        <v>42788</v>
      </c>
      <c r="EF129" s="62">
        <v>228.57</v>
      </c>
      <c r="EG129" s="62">
        <v>2362.820068</v>
      </c>
      <c r="EH129" s="92">
        <f t="shared" si="25"/>
        <v>1.3359367526069696</v>
      </c>
      <c r="EI129" s="92">
        <f t="shared" si="26"/>
        <v>1.2582373376903799</v>
      </c>
      <c r="FU129" s="451">
        <v>42803</v>
      </c>
      <c r="FV129" s="457">
        <v>235.86</v>
      </c>
      <c r="FW129" s="457"/>
    </row>
    <row r="130" spans="135:179" x14ac:dyDescent="0.35">
      <c r="EE130" s="451">
        <v>42787</v>
      </c>
      <c r="EF130" s="62">
        <v>232.1</v>
      </c>
      <c r="EG130" s="62">
        <v>2365.3798830000001</v>
      </c>
      <c r="EH130" s="92">
        <f t="shared" si="25"/>
        <v>1.3511457142614289</v>
      </c>
      <c r="EI130" s="92">
        <f t="shared" si="26"/>
        <v>1.259319538066902</v>
      </c>
      <c r="FU130" s="451">
        <v>42802</v>
      </c>
      <c r="FV130" s="457">
        <v>233.77</v>
      </c>
      <c r="FW130" s="457"/>
    </row>
    <row r="131" spans="135:179" x14ac:dyDescent="0.35">
      <c r="EE131" s="451">
        <v>42783</v>
      </c>
      <c r="EF131" s="62">
        <v>231.42</v>
      </c>
      <c r="EG131" s="62">
        <v>2351.1599120000001</v>
      </c>
      <c r="EH131" s="92">
        <f t="shared" si="25"/>
        <v>1.3482073338275857</v>
      </c>
      <c r="EI131" s="92">
        <f t="shared" si="26"/>
        <v>1.2532714717795248</v>
      </c>
      <c r="FU131" s="451">
        <v>42801</v>
      </c>
      <c r="FV131" s="457">
        <v>230.38</v>
      </c>
      <c r="FW131" s="457"/>
    </row>
    <row r="132" spans="135:179" x14ac:dyDescent="0.35">
      <c r="EE132" s="451">
        <v>42782</v>
      </c>
      <c r="EF132" s="62">
        <v>230.28</v>
      </c>
      <c r="EG132" s="62">
        <v>2347.219971</v>
      </c>
      <c r="EH132" s="92">
        <f t="shared" si="25"/>
        <v>1.3432568387780808</v>
      </c>
      <c r="EI132" s="92">
        <f t="shared" si="26"/>
        <v>1.2515929154240582</v>
      </c>
      <c r="FU132" s="451">
        <v>42800</v>
      </c>
      <c r="FV132" s="457">
        <v>230.08</v>
      </c>
      <c r="FW132" s="457"/>
    </row>
    <row r="133" spans="135:179" x14ac:dyDescent="0.35">
      <c r="EE133" s="451">
        <v>42781</v>
      </c>
      <c r="EF133" s="62">
        <v>232.05</v>
      </c>
      <c r="EG133" s="62">
        <v>2349.25</v>
      </c>
      <c r="EH133" s="92">
        <f t="shared" si="25"/>
        <v>1.3508845052292766</v>
      </c>
      <c r="EI133" s="92">
        <f t="shared" si="26"/>
        <v>1.2524570333340295</v>
      </c>
      <c r="FU133" s="451">
        <v>42797</v>
      </c>
      <c r="FV133" s="457">
        <v>229.04</v>
      </c>
      <c r="FW133" s="457"/>
    </row>
    <row r="134" spans="135:179" x14ac:dyDescent="0.35">
      <c r="EE134" s="451">
        <v>42780</v>
      </c>
      <c r="EF134" s="62">
        <v>233.05</v>
      </c>
      <c r="EG134" s="62">
        <v>2337.580078</v>
      </c>
      <c r="EH134" s="92">
        <f t="shared" si="25"/>
        <v>1.3551754299235483</v>
      </c>
      <c r="EI134" s="92">
        <f t="shared" si="26"/>
        <v>1.24746472436039</v>
      </c>
      <c r="FU134" s="451">
        <v>42796</v>
      </c>
      <c r="FV134" s="457">
        <v>230.13</v>
      </c>
      <c r="FW134" s="457"/>
    </row>
    <row r="135" spans="135:179" x14ac:dyDescent="0.35">
      <c r="EE135" s="451">
        <v>42779</v>
      </c>
      <c r="EF135" s="62">
        <v>232.46</v>
      </c>
      <c r="EG135" s="62">
        <v>2328.25</v>
      </c>
      <c r="EH135" s="92">
        <f t="shared" si="25"/>
        <v>1.3526373588575584</v>
      </c>
      <c r="EI135" s="92">
        <f t="shared" si="26"/>
        <v>1.2434573892374436</v>
      </c>
      <c r="FU135" s="451">
        <v>42795</v>
      </c>
      <c r="FV135" s="457">
        <v>231.63</v>
      </c>
      <c r="FW135" s="457"/>
    </row>
    <row r="136" spans="135:179" x14ac:dyDescent="0.35">
      <c r="EE136" s="451">
        <v>42776</v>
      </c>
      <c r="EF136" s="62">
        <v>233.21</v>
      </c>
      <c r="EG136" s="62">
        <v>2316.1000979999999</v>
      </c>
      <c r="EH136" s="92">
        <f t="shared" si="25"/>
        <v>1.355853344449943</v>
      </c>
      <c r="EI136" s="92">
        <f t="shared" si="26"/>
        <v>1.2382115442886472</v>
      </c>
      <c r="FU136" s="451">
        <v>42794</v>
      </c>
      <c r="FV136" s="457">
        <v>230.8</v>
      </c>
      <c r="FW136" s="457"/>
    </row>
    <row r="137" spans="135:179" x14ac:dyDescent="0.35">
      <c r="EE137" s="451">
        <v>42775</v>
      </c>
      <c r="EF137" s="62">
        <v>231.18</v>
      </c>
      <c r="EG137" s="62">
        <v>2307.8701169999999</v>
      </c>
      <c r="EH137" s="92">
        <f t="shared" si="25"/>
        <v>1.3470723080281073</v>
      </c>
      <c r="EI137" s="92">
        <f t="shared" si="26"/>
        <v>1.2346454939553217</v>
      </c>
      <c r="FU137" s="451">
        <v>42793</v>
      </c>
      <c r="FV137" s="457">
        <v>230.91</v>
      </c>
      <c r="FW137" s="457"/>
    </row>
    <row r="138" spans="135:179" x14ac:dyDescent="0.35">
      <c r="EE138" s="451">
        <v>42774</v>
      </c>
      <c r="EF138" s="62">
        <v>232.9</v>
      </c>
      <c r="EG138" s="62">
        <v>2294.669922</v>
      </c>
      <c r="EH138" s="92">
        <f t="shared" si="25"/>
        <v>1.3544574518666646</v>
      </c>
      <c r="EI138" s="92">
        <f t="shared" si="26"/>
        <v>1.2288929476420398</v>
      </c>
      <c r="EJ138" s="92">
        <f>EH138</f>
        <v>1.3544574518666646</v>
      </c>
      <c r="EK138" s="62" t="s">
        <v>553</v>
      </c>
      <c r="FU138" s="451">
        <v>42790</v>
      </c>
      <c r="FV138" s="457">
        <v>231.39</v>
      </c>
      <c r="FW138" s="457"/>
    </row>
    <row r="139" spans="135:179" x14ac:dyDescent="0.35">
      <c r="EE139" s="451">
        <v>42773</v>
      </c>
      <c r="EF139" s="62">
        <v>214.27</v>
      </c>
      <c r="EG139" s="62">
        <v>2293.080078</v>
      </c>
      <c r="EH139" s="92">
        <f t="shared" si="25"/>
        <v>1.2675110757990862</v>
      </c>
      <c r="EI139" s="92">
        <f t="shared" si="26"/>
        <v>1.2281996251474383</v>
      </c>
      <c r="FU139" s="451">
        <v>42789</v>
      </c>
      <c r="FV139" s="457">
        <v>228.95</v>
      </c>
      <c r="FW139" s="457"/>
    </row>
    <row r="140" spans="135:179" x14ac:dyDescent="0.35">
      <c r="EE140" s="451">
        <v>42772</v>
      </c>
      <c r="EF140" s="62">
        <v>215.48</v>
      </c>
      <c r="EG140" s="62">
        <v>2292.5600589999999</v>
      </c>
      <c r="EH140" s="92">
        <f t="shared" si="25"/>
        <v>1.2731264461350802</v>
      </c>
      <c r="EI140" s="92">
        <f t="shared" si="26"/>
        <v>1.2279727961935103</v>
      </c>
      <c r="FU140" s="451">
        <v>42788</v>
      </c>
      <c r="FV140" s="457">
        <v>228.57</v>
      </c>
      <c r="FW140" s="457"/>
    </row>
    <row r="141" spans="135:179" x14ac:dyDescent="0.35">
      <c r="EE141" s="451">
        <v>42769</v>
      </c>
      <c r="EF141" s="62">
        <v>213.17</v>
      </c>
      <c r="EG141" s="62">
        <v>2297.419922</v>
      </c>
      <c r="EH141" s="92">
        <f t="shared" si="25"/>
        <v>1.2622900244997657</v>
      </c>
      <c r="EI141" s="92">
        <f t="shared" si="26"/>
        <v>1.2300881530568604</v>
      </c>
      <c r="FU141" s="451">
        <v>42787</v>
      </c>
      <c r="FV141" s="457">
        <v>232.1</v>
      </c>
      <c r="FW141" s="457"/>
    </row>
    <row r="142" spans="135:179" x14ac:dyDescent="0.35">
      <c r="EE142" s="451">
        <v>42768</v>
      </c>
      <c r="EF142" s="62">
        <v>211.22</v>
      </c>
      <c r="EG142" s="62">
        <v>2280.8500979999999</v>
      </c>
      <c r="EH142" s="92">
        <f t="shared" si="25"/>
        <v>1.2530579442043392</v>
      </c>
      <c r="EI142" s="92">
        <f t="shared" si="26"/>
        <v>1.2228233950552145</v>
      </c>
      <c r="FU142" s="451">
        <v>42783</v>
      </c>
      <c r="FV142" s="457">
        <v>231.42</v>
      </c>
      <c r="FW142" s="457"/>
    </row>
    <row r="143" spans="135:179" x14ac:dyDescent="0.35">
      <c r="EE143" s="451">
        <v>42767</v>
      </c>
      <c r="EF143" s="62">
        <v>208.67</v>
      </c>
      <c r="EG143" s="62">
        <v>2279.5500489999999</v>
      </c>
      <c r="EH143" s="92">
        <f t="shared" si="25"/>
        <v>1.2408376921316886</v>
      </c>
      <c r="EI143" s="92">
        <f t="shared" si="26"/>
        <v>1.2222530855765654</v>
      </c>
      <c r="FU143" s="451">
        <v>42782</v>
      </c>
      <c r="FV143" s="457">
        <v>230.28</v>
      </c>
      <c r="FW143" s="457"/>
    </row>
    <row r="144" spans="135:179" x14ac:dyDescent="0.35">
      <c r="EE144" s="451">
        <v>42766</v>
      </c>
      <c r="EF144" s="62">
        <v>209.06</v>
      </c>
      <c r="EG144" s="62">
        <v>2278.8701169999999</v>
      </c>
      <c r="EH144" s="92">
        <f t="shared" si="25"/>
        <v>1.2427031852915471</v>
      </c>
      <c r="EI144" s="92">
        <f t="shared" si="26"/>
        <v>1.2219547219291913</v>
      </c>
      <c r="FU144" s="451">
        <v>42781</v>
      </c>
      <c r="FV144" s="457">
        <v>232.05</v>
      </c>
      <c r="FW144" s="457"/>
    </row>
    <row r="145" spans="135:179" x14ac:dyDescent="0.35">
      <c r="EE145" s="451">
        <v>42765</v>
      </c>
      <c r="EF145" s="62">
        <v>210.53</v>
      </c>
      <c r="EG145" s="62">
        <v>2280.8999020000001</v>
      </c>
      <c r="EH145" s="92">
        <f t="shared" si="25"/>
        <v>1.2496855630999355</v>
      </c>
      <c r="EI145" s="92">
        <f t="shared" si="26"/>
        <v>1.2228446272679658</v>
      </c>
      <c r="FU145" s="451">
        <v>42780</v>
      </c>
      <c r="FV145" s="457">
        <v>233.05</v>
      </c>
      <c r="FW145" s="457"/>
    </row>
    <row r="146" spans="135:179" x14ac:dyDescent="0.35">
      <c r="EE146" s="451">
        <v>42762</v>
      </c>
      <c r="EF146" s="62">
        <v>209.83</v>
      </c>
      <c r="EG146" s="62">
        <v>2294.6899410000001</v>
      </c>
      <c r="EH146" s="92">
        <f t="shared" si="25"/>
        <v>1.2463495291677047</v>
      </c>
      <c r="EI146" s="92">
        <f t="shared" si="26"/>
        <v>1.2288541707594889</v>
      </c>
      <c r="FU146" s="451">
        <v>42779</v>
      </c>
      <c r="FV146" s="457">
        <v>232.46</v>
      </c>
      <c r="FW146" s="457"/>
    </row>
    <row r="147" spans="135:179" x14ac:dyDescent="0.35">
      <c r="EE147" s="451">
        <v>42761</v>
      </c>
      <c r="EF147" s="62">
        <v>210</v>
      </c>
      <c r="EG147" s="62">
        <v>2296.679932</v>
      </c>
      <c r="EH147" s="92">
        <f t="shared" si="25"/>
        <v>1.2471590529772285</v>
      </c>
      <c r="EI147" s="92">
        <f t="shared" si="26"/>
        <v>1.2297206349856411</v>
      </c>
      <c r="FU147" s="451">
        <v>42776</v>
      </c>
      <c r="FV147" s="457">
        <v>233.21</v>
      </c>
      <c r="FW147" s="457"/>
    </row>
    <row r="148" spans="135:179" x14ac:dyDescent="0.35">
      <c r="EE148" s="451">
        <v>42760</v>
      </c>
      <c r="EF148" s="62">
        <v>212.22</v>
      </c>
      <c r="EG148" s="62">
        <v>2298.3701169999999</v>
      </c>
      <c r="EH148" s="92">
        <f t="shared" si="25"/>
        <v>1.2576198954991398</v>
      </c>
      <c r="EI148" s="92">
        <f t="shared" si="26"/>
        <v>1.2304560191552742</v>
      </c>
      <c r="FU148" s="451">
        <v>42775</v>
      </c>
      <c r="FV148" s="457">
        <v>231.18</v>
      </c>
      <c r="FW148" s="457"/>
    </row>
    <row r="149" spans="135:179" x14ac:dyDescent="0.35">
      <c r="EE149" s="451">
        <v>42759</v>
      </c>
      <c r="EF149" s="62">
        <v>213.55</v>
      </c>
      <c r="EG149" s="62">
        <v>2280.070068</v>
      </c>
      <c r="EH149" s="92">
        <f t="shared" si="25"/>
        <v>1.2638479451362272</v>
      </c>
      <c r="EI149" s="92">
        <f t="shared" si="26"/>
        <v>1.2224299285290103</v>
      </c>
      <c r="FU149" s="451">
        <v>42774</v>
      </c>
      <c r="FV149" s="457">
        <v>232.9</v>
      </c>
      <c r="FW149" s="457"/>
    </row>
    <row r="150" spans="135:179" x14ac:dyDescent="0.35">
      <c r="EE150" s="451">
        <v>42758</v>
      </c>
      <c r="EF150" s="62">
        <v>216.06</v>
      </c>
      <c r="EG150" s="62">
        <v>2265.1999510000001</v>
      </c>
      <c r="EH150" s="92">
        <f t="shared" si="25"/>
        <v>1.2754650885223235</v>
      </c>
      <c r="EI150" s="92">
        <f t="shared" si="26"/>
        <v>1.2158653349736224</v>
      </c>
      <c r="FU150" s="451">
        <v>42773</v>
      </c>
      <c r="FV150" s="457">
        <v>214.27</v>
      </c>
      <c r="FW150" s="457"/>
    </row>
    <row r="151" spans="135:179" x14ac:dyDescent="0.35">
      <c r="EE151" s="451">
        <v>42755</v>
      </c>
      <c r="EF151" s="62">
        <v>216.65</v>
      </c>
      <c r="EG151" s="62">
        <v>2271.3100589999999</v>
      </c>
      <c r="EH151" s="92">
        <f t="shared" si="25"/>
        <v>1.2781883749289702</v>
      </c>
      <c r="EI151" s="92">
        <f t="shared" si="26"/>
        <v>1.2185554599857442</v>
      </c>
      <c r="FU151" s="451">
        <v>42772</v>
      </c>
      <c r="FV151" s="457">
        <v>215.48</v>
      </c>
      <c r="FW151" s="457"/>
    </row>
    <row r="152" spans="135:179" x14ac:dyDescent="0.35">
      <c r="EE152" s="451">
        <v>42754</v>
      </c>
      <c r="EF152" s="62">
        <v>214.53</v>
      </c>
      <c r="EG152" s="62">
        <v>2263.6899410000001</v>
      </c>
      <c r="EH152" s="92">
        <f t="shared" si="25"/>
        <v>1.2683063071529015</v>
      </c>
      <c r="EI152" s="92">
        <f t="shared" si="26"/>
        <v>1.2151892224715051</v>
      </c>
      <c r="FU152" s="451">
        <v>42769</v>
      </c>
      <c r="FV152" s="457">
        <v>213.17</v>
      </c>
      <c r="FW152" s="457"/>
    </row>
    <row r="153" spans="135:179" x14ac:dyDescent="0.35">
      <c r="EE153" s="451">
        <v>42753</v>
      </c>
      <c r="EF153" s="62">
        <v>213.15</v>
      </c>
      <c r="EG153" s="62">
        <v>2271.889893</v>
      </c>
      <c r="EH153" s="92">
        <f t="shared" si="25"/>
        <v>1.2618319932894251</v>
      </c>
      <c r="EI153" s="92">
        <f t="shared" si="26"/>
        <v>1.2187985311907634</v>
      </c>
      <c r="FU153" s="451">
        <v>42768</v>
      </c>
      <c r="FV153" s="457">
        <v>211.22</v>
      </c>
      <c r="FW153" s="457"/>
    </row>
    <row r="154" spans="135:179" x14ac:dyDescent="0.35">
      <c r="EE154" s="451">
        <v>42752</v>
      </c>
      <c r="EF154" s="62">
        <v>211.51</v>
      </c>
      <c r="EG154" s="62">
        <v>2267.889893</v>
      </c>
      <c r="EH154" s="92">
        <f t="shared" si="25"/>
        <v>1.2540782227821203</v>
      </c>
      <c r="EI154" s="92">
        <f t="shared" si="26"/>
        <v>1.2170347771335905</v>
      </c>
      <c r="FU154" s="451">
        <v>42767</v>
      </c>
      <c r="FV154" s="457">
        <v>208.67</v>
      </c>
      <c r="FW154" s="457"/>
    </row>
    <row r="155" spans="135:179" x14ac:dyDescent="0.35">
      <c r="EE155" s="451">
        <v>42748</v>
      </c>
      <c r="EF155" s="62">
        <v>213.34</v>
      </c>
      <c r="EG155" s="62">
        <v>2274.639893</v>
      </c>
      <c r="EH155" s="92">
        <f t="shared" si="25"/>
        <v>1.2626560797240909</v>
      </c>
      <c r="EI155" s="92">
        <f t="shared" si="26"/>
        <v>1.2200022798230372</v>
      </c>
      <c r="EJ155" s="92"/>
      <c r="FU155" s="451">
        <v>42766</v>
      </c>
      <c r="FV155" s="457">
        <v>209.06</v>
      </c>
      <c r="FW155" s="457"/>
    </row>
    <row r="156" spans="135:179" x14ac:dyDescent="0.35">
      <c r="EE156" s="451">
        <v>42747</v>
      </c>
      <c r="EF156" s="62">
        <v>213.82</v>
      </c>
      <c r="EG156" s="62">
        <v>2270.4399410000001</v>
      </c>
      <c r="EH156" s="92">
        <f t="shared" si="25"/>
        <v>1.2649009585941684</v>
      </c>
      <c r="EI156" s="92">
        <f t="shared" si="26"/>
        <v>1.2181524392154279</v>
      </c>
      <c r="FU156" s="451">
        <v>42765</v>
      </c>
      <c r="FV156" s="457">
        <v>210.53</v>
      </c>
      <c r="FW156" s="457"/>
    </row>
    <row r="157" spans="135:179" x14ac:dyDescent="0.35">
      <c r="EE157" s="451">
        <v>42746</v>
      </c>
      <c r="EF157" s="62">
        <v>214.86</v>
      </c>
      <c r="EG157" s="62">
        <v>2275.320068</v>
      </c>
      <c r="EH157" s="92">
        <f t="shared" ref="EH157:EH220" si="27">EH158+(EF157-EF158)/EF158</f>
        <v>1.2697413197595786</v>
      </c>
      <c r="EI157" s="92">
        <f t="shared" ref="EI157:EI220" si="28">EI158+(EG157-EG158)/EG158</f>
        <v>1.2202972482331278</v>
      </c>
      <c r="FU157" s="451">
        <v>42762</v>
      </c>
      <c r="FV157" s="457">
        <v>209.83</v>
      </c>
      <c r="FW157" s="457"/>
    </row>
    <row r="158" spans="135:179" x14ac:dyDescent="0.35">
      <c r="EE158" s="451">
        <v>42745</v>
      </c>
      <c r="EF158" s="62">
        <v>214.03</v>
      </c>
      <c r="EG158" s="62">
        <v>2268.8999020000001</v>
      </c>
      <c r="EH158" s="92">
        <f t="shared" si="27"/>
        <v>1.2658633587260786</v>
      </c>
      <c r="EI158" s="92">
        <f t="shared" si="28"/>
        <v>1.2174676099602624</v>
      </c>
      <c r="FU158" s="451">
        <v>42761</v>
      </c>
      <c r="FV158" s="457">
        <v>210</v>
      </c>
      <c r="FW158" s="457"/>
    </row>
    <row r="159" spans="135:179" x14ac:dyDescent="0.35">
      <c r="EE159" s="451">
        <v>42744</v>
      </c>
      <c r="EF159" s="62">
        <v>212.43</v>
      </c>
      <c r="EG159" s="62">
        <v>2268.8999020000001</v>
      </c>
      <c r="EH159" s="92">
        <f t="shared" si="27"/>
        <v>1.2583314658672544</v>
      </c>
      <c r="EI159" s="92">
        <f t="shared" si="28"/>
        <v>1.2174676099602624</v>
      </c>
      <c r="FU159" s="451">
        <v>42760</v>
      </c>
      <c r="FV159" s="457">
        <v>212.22</v>
      </c>
      <c r="FW159" s="457"/>
    </row>
    <row r="160" spans="135:179" x14ac:dyDescent="0.35">
      <c r="EE160" s="451">
        <v>42741</v>
      </c>
      <c r="EF160" s="62">
        <v>208.09</v>
      </c>
      <c r="EG160" s="62">
        <v>2276.9799800000001</v>
      </c>
      <c r="EH160" s="92">
        <f t="shared" si="27"/>
        <v>1.2374751056385072</v>
      </c>
      <c r="EI160" s="92">
        <f t="shared" si="28"/>
        <v>1.2210162041819823</v>
      </c>
      <c r="FU160" s="451">
        <v>42759</v>
      </c>
      <c r="FV160" s="457">
        <v>213.55</v>
      </c>
      <c r="FW160" s="457"/>
    </row>
    <row r="161" spans="135:179" x14ac:dyDescent="0.35">
      <c r="EE161" s="451">
        <v>42740</v>
      </c>
      <c r="EF161" s="62">
        <v>208.53</v>
      </c>
      <c r="EG161" s="62">
        <v>2269</v>
      </c>
      <c r="EH161" s="92">
        <f t="shared" si="27"/>
        <v>1.2395851137908114</v>
      </c>
      <c r="EI161" s="92">
        <f t="shared" si="28"/>
        <v>1.2174992451692013</v>
      </c>
      <c r="FU161" s="451">
        <v>42758</v>
      </c>
      <c r="FV161" s="457">
        <v>216.06</v>
      </c>
      <c r="FW161" s="457"/>
    </row>
    <row r="162" spans="135:179" x14ac:dyDescent="0.35">
      <c r="EE162" s="451">
        <v>42739</v>
      </c>
      <c r="EF162" s="62">
        <v>207.39</v>
      </c>
      <c r="EG162" s="62">
        <v>2270.75</v>
      </c>
      <c r="EH162" s="92">
        <f t="shared" si="27"/>
        <v>1.2340882238732647</v>
      </c>
      <c r="EI162" s="92">
        <f t="shared" si="28"/>
        <v>1.2182699156525219</v>
      </c>
      <c r="FU162" s="451">
        <v>42755</v>
      </c>
      <c r="FV162" s="457">
        <v>216.65</v>
      </c>
      <c r="FW162" s="457"/>
    </row>
    <row r="163" spans="135:179" x14ac:dyDescent="0.35">
      <c r="EE163" s="451">
        <v>42738</v>
      </c>
      <c r="EF163" s="62">
        <v>203.55</v>
      </c>
      <c r="EG163" s="62">
        <v>2257.830078</v>
      </c>
      <c r="EH163" s="92">
        <f t="shared" si="27"/>
        <v>1.2152230801739281</v>
      </c>
      <c r="EI163" s="92">
        <f t="shared" si="28"/>
        <v>1.2125476418083163</v>
      </c>
      <c r="FU163" s="451">
        <v>42754</v>
      </c>
      <c r="FV163" s="457">
        <v>214.53</v>
      </c>
      <c r="FW163" s="457"/>
    </row>
    <row r="164" spans="135:179" x14ac:dyDescent="0.35">
      <c r="EE164" s="451">
        <v>42734</v>
      </c>
      <c r="EF164" s="62">
        <v>205.09</v>
      </c>
      <c r="EG164" s="62">
        <v>2238.830078</v>
      </c>
      <c r="EH164" s="92">
        <f t="shared" si="27"/>
        <v>1.2227319787062798</v>
      </c>
      <c r="EI164" s="92">
        <f t="shared" si="28"/>
        <v>1.2040610665265632</v>
      </c>
      <c r="FU164" s="451">
        <v>42753</v>
      </c>
      <c r="FV164" s="457">
        <v>213.15</v>
      </c>
      <c r="FW164" s="457"/>
    </row>
    <row r="165" spans="135:179" x14ac:dyDescent="0.35">
      <c r="EE165" s="451">
        <v>42733</v>
      </c>
      <c r="EF165" s="62">
        <v>207.93</v>
      </c>
      <c r="EG165" s="62">
        <v>2249.26001</v>
      </c>
      <c r="EH165" s="92">
        <f t="shared" si="27"/>
        <v>1.2363904214514345</v>
      </c>
      <c r="EI165" s="92">
        <f t="shared" si="28"/>
        <v>1.208698116913637</v>
      </c>
      <c r="FU165" s="451">
        <v>42752</v>
      </c>
      <c r="FV165" s="457">
        <v>211.51</v>
      </c>
      <c r="FW165" s="457"/>
    </row>
    <row r="166" spans="135:179" x14ac:dyDescent="0.35">
      <c r="EE166" s="451">
        <v>42732</v>
      </c>
      <c r="EF166" s="62">
        <v>208.06</v>
      </c>
      <c r="EG166" s="62">
        <v>2249.919922</v>
      </c>
      <c r="EH166" s="92">
        <f t="shared" si="27"/>
        <v>1.2370152412149642</v>
      </c>
      <c r="EI166" s="92">
        <f t="shared" si="28"/>
        <v>1.2089914215746373</v>
      </c>
      <c r="FU166" s="451">
        <v>42748</v>
      </c>
      <c r="FV166" s="457">
        <v>213.34</v>
      </c>
      <c r="FW166" s="457"/>
    </row>
    <row r="167" spans="135:179" x14ac:dyDescent="0.35">
      <c r="EE167" s="451">
        <v>42731</v>
      </c>
      <c r="EF167" s="62">
        <v>210.4</v>
      </c>
      <c r="EG167" s="62">
        <v>2268.8798830000001</v>
      </c>
      <c r="EH167" s="92">
        <f t="shared" si="27"/>
        <v>1.2481369142187666</v>
      </c>
      <c r="EI167" s="92">
        <f t="shared" si="28"/>
        <v>1.217347950777466</v>
      </c>
      <c r="FU167" s="451">
        <v>42747</v>
      </c>
      <c r="FV167" s="457">
        <v>213.82</v>
      </c>
      <c r="FW167" s="457"/>
    </row>
    <row r="168" spans="135:179" x14ac:dyDescent="0.35">
      <c r="EE168" s="451">
        <v>42727</v>
      </c>
      <c r="EF168" s="62">
        <v>209.6</v>
      </c>
      <c r="EG168" s="62">
        <v>2263.790039</v>
      </c>
      <c r="EH168" s="92">
        <f t="shared" si="27"/>
        <v>1.2443201203256369</v>
      </c>
      <c r="EI168" s="92">
        <f t="shared" si="28"/>
        <v>1.21509957795476</v>
      </c>
      <c r="FU168" s="451">
        <v>42746</v>
      </c>
      <c r="FV168" s="457">
        <v>214.86</v>
      </c>
      <c r="FW168" s="457"/>
    </row>
    <row r="169" spans="135:179" x14ac:dyDescent="0.35">
      <c r="EE169" s="451">
        <v>42726</v>
      </c>
      <c r="EF169" s="62">
        <v>210.72</v>
      </c>
      <c r="EG169" s="62">
        <v>2260.959961</v>
      </c>
      <c r="EH169" s="92">
        <f t="shared" si="27"/>
        <v>1.2496352304243461</v>
      </c>
      <c r="EI169" s="92">
        <f t="shared" si="28"/>
        <v>1.213847862732546</v>
      </c>
      <c r="FU169" s="451">
        <v>42745</v>
      </c>
      <c r="FV169" s="457">
        <v>214.03</v>
      </c>
      <c r="FW169" s="457"/>
    </row>
    <row r="170" spans="135:179" x14ac:dyDescent="0.35">
      <c r="EE170" s="451">
        <v>42725</v>
      </c>
      <c r="EF170" s="62">
        <v>210.74</v>
      </c>
      <c r="EG170" s="62">
        <v>2265.179932</v>
      </c>
      <c r="EH170" s="92">
        <f t="shared" si="27"/>
        <v>1.2497301340971183</v>
      </c>
      <c r="EI170" s="92">
        <f t="shared" si="28"/>
        <v>1.2157108365918783</v>
      </c>
      <c r="FU170" s="451">
        <v>42744</v>
      </c>
      <c r="FV170" s="457">
        <v>212.43</v>
      </c>
      <c r="FW170" s="457"/>
    </row>
    <row r="171" spans="135:179" x14ac:dyDescent="0.35">
      <c r="EE171" s="451">
        <v>42724</v>
      </c>
      <c r="EF171" s="62">
        <v>210.22</v>
      </c>
      <c r="EG171" s="62">
        <v>2270.76001</v>
      </c>
      <c r="EH171" s="92">
        <f t="shared" si="27"/>
        <v>1.2472565350104472</v>
      </c>
      <c r="EI171" s="92">
        <f t="shared" si="28"/>
        <v>1.2181681979930947</v>
      </c>
      <c r="FU171" s="451">
        <v>42741</v>
      </c>
      <c r="FV171" s="457">
        <v>208.09</v>
      </c>
      <c r="FW171" s="457"/>
    </row>
    <row r="172" spans="135:179" x14ac:dyDescent="0.35">
      <c r="EE172" s="451">
        <v>42723</v>
      </c>
      <c r="EF172" s="62">
        <v>212.12</v>
      </c>
      <c r="EG172" s="62">
        <v>2262.530029</v>
      </c>
      <c r="EH172" s="92">
        <f t="shared" si="27"/>
        <v>1.256213729051556</v>
      </c>
      <c r="EI172" s="92">
        <f t="shared" si="28"/>
        <v>1.2145306856089442</v>
      </c>
      <c r="FU172" s="451">
        <v>42740</v>
      </c>
      <c r="FV172" s="457">
        <v>208.53</v>
      </c>
      <c r="FW172" s="457"/>
    </row>
    <row r="173" spans="135:179" x14ac:dyDescent="0.35">
      <c r="EE173" s="451">
        <v>42720</v>
      </c>
      <c r="EF173" s="62">
        <v>212.21</v>
      </c>
      <c r="EG173" s="62">
        <v>2258.070068</v>
      </c>
      <c r="EH173" s="92">
        <f t="shared" si="27"/>
        <v>1.2566378372462688</v>
      </c>
      <c r="EI173" s="92">
        <f t="shared" si="28"/>
        <v>1.2125555648794311</v>
      </c>
      <c r="FU173" s="451">
        <v>42739</v>
      </c>
      <c r="FV173" s="457">
        <v>207.39</v>
      </c>
      <c r="FW173" s="457"/>
    </row>
    <row r="174" spans="135:179" x14ac:dyDescent="0.35">
      <c r="EE174" s="451">
        <v>42719</v>
      </c>
      <c r="EF174" s="62">
        <v>212.04</v>
      </c>
      <c r="EG174" s="62">
        <v>2262.030029</v>
      </c>
      <c r="EH174" s="92">
        <f t="shared" si="27"/>
        <v>1.2558361017246691</v>
      </c>
      <c r="EI174" s="92">
        <f t="shared" si="28"/>
        <v>1.2143061875277743</v>
      </c>
      <c r="FU174" s="451">
        <v>42738</v>
      </c>
      <c r="FV174" s="457">
        <v>203.55</v>
      </c>
      <c r="FW174" s="457">
        <f>FX20</f>
        <v>249.83333333333334</v>
      </c>
    </row>
    <row r="175" spans="135:179" x14ac:dyDescent="0.35">
      <c r="EE175" s="451">
        <v>42718</v>
      </c>
      <c r="EF175" s="62">
        <v>210.32</v>
      </c>
      <c r="EG175" s="62">
        <v>2253.280029</v>
      </c>
      <c r="EH175" s="92">
        <f t="shared" si="27"/>
        <v>1.2476580872705041</v>
      </c>
      <c r="EI175" s="92">
        <f t="shared" si="28"/>
        <v>1.2104229595723555</v>
      </c>
      <c r="FU175" s="451">
        <v>42734</v>
      </c>
      <c r="FV175" s="457">
        <v>205.09</v>
      </c>
      <c r="FW175" s="457"/>
    </row>
    <row r="176" spans="135:179" x14ac:dyDescent="0.35">
      <c r="EE176" s="451">
        <v>42717</v>
      </c>
      <c r="EF176" s="62">
        <v>212.84</v>
      </c>
      <c r="EG176" s="62">
        <v>2271.719971</v>
      </c>
      <c r="EH176" s="92">
        <f t="shared" si="27"/>
        <v>1.2594979669923609</v>
      </c>
      <c r="EI176" s="92">
        <f t="shared" si="28"/>
        <v>1.2185401316866116</v>
      </c>
      <c r="FU176" s="451">
        <v>42733</v>
      </c>
      <c r="FV176" s="457">
        <v>207.93</v>
      </c>
      <c r="FW176" s="457"/>
    </row>
    <row r="177" spans="135:179" x14ac:dyDescent="0.35">
      <c r="EE177" s="451">
        <v>42716</v>
      </c>
      <c r="EF177" s="62">
        <v>210.31</v>
      </c>
      <c r="EG177" s="62">
        <v>2256.959961</v>
      </c>
      <c r="EH177" s="92">
        <f t="shared" si="27"/>
        <v>1.2474681063105104</v>
      </c>
      <c r="EI177" s="92">
        <f t="shared" si="28"/>
        <v>1.2120003568323603</v>
      </c>
      <c r="FU177" s="451">
        <v>42732</v>
      </c>
      <c r="FV177" s="457">
        <v>208.06</v>
      </c>
      <c r="FW177" s="457"/>
    </row>
    <row r="178" spans="135:179" x14ac:dyDescent="0.35">
      <c r="EE178" s="451">
        <v>42713</v>
      </c>
      <c r="EF178" s="62">
        <v>213.58</v>
      </c>
      <c r="EG178" s="62">
        <v>2259.530029</v>
      </c>
      <c r="EH178" s="92">
        <f t="shared" si="27"/>
        <v>1.2627785286346982</v>
      </c>
      <c r="EI178" s="92">
        <f t="shared" si="28"/>
        <v>1.2131377915940207</v>
      </c>
      <c r="EJ178" s="92">
        <f>EH178</f>
        <v>1.2627785286346982</v>
      </c>
      <c r="EK178" s="62" t="s">
        <v>855</v>
      </c>
      <c r="FU178" s="451">
        <v>42731</v>
      </c>
      <c r="FV178" s="457">
        <v>210.4</v>
      </c>
      <c r="FW178" s="457"/>
    </row>
    <row r="179" spans="135:179" x14ac:dyDescent="0.35">
      <c r="EE179" s="451">
        <v>42712</v>
      </c>
      <c r="EF179" s="62">
        <v>215.54</v>
      </c>
      <c r="EG179" s="62">
        <v>2246.1899410000001</v>
      </c>
      <c r="EH179" s="92">
        <f t="shared" si="27"/>
        <v>1.2718719683674624</v>
      </c>
      <c r="EI179" s="92">
        <f t="shared" si="28"/>
        <v>1.2071988067572972</v>
      </c>
      <c r="FU179" s="451">
        <v>42727</v>
      </c>
      <c r="FV179" s="457">
        <v>209.6</v>
      </c>
      <c r="FW179" s="457"/>
    </row>
    <row r="180" spans="135:179" x14ac:dyDescent="0.35">
      <c r="EE180" s="451">
        <v>42711</v>
      </c>
      <c r="EF180" s="62">
        <v>215.95</v>
      </c>
      <c r="EG180" s="62">
        <v>2241.3500979999999</v>
      </c>
      <c r="EH180" s="92">
        <f t="shared" si="27"/>
        <v>1.2737705560034893</v>
      </c>
      <c r="EI180" s="92">
        <f t="shared" si="28"/>
        <v>1.2050394640449209</v>
      </c>
      <c r="FU180" s="451">
        <v>42726</v>
      </c>
      <c r="FV180" s="457">
        <v>210.72</v>
      </c>
      <c r="FW180" s="457"/>
    </row>
    <row r="181" spans="135:179" x14ac:dyDescent="0.35">
      <c r="EE181" s="451">
        <v>42710</v>
      </c>
      <c r="EF181" s="62">
        <v>215.02</v>
      </c>
      <c r="EG181" s="62">
        <v>2212.2299800000001</v>
      </c>
      <c r="EH181" s="92">
        <f t="shared" si="27"/>
        <v>1.2694453769503782</v>
      </c>
      <c r="EI181" s="92">
        <f t="shared" si="28"/>
        <v>1.1918762223099908</v>
      </c>
      <c r="FU181" s="451">
        <v>42725</v>
      </c>
      <c r="FV181" s="457">
        <v>210.74</v>
      </c>
      <c r="FW181" s="457"/>
    </row>
    <row r="182" spans="135:179" x14ac:dyDescent="0.35">
      <c r="EE182" s="451">
        <v>42709</v>
      </c>
      <c r="EF182" s="62">
        <v>213.51</v>
      </c>
      <c r="EG182" s="62">
        <v>2204.709961</v>
      </c>
      <c r="EH182" s="92">
        <f t="shared" si="27"/>
        <v>1.2623731086725456</v>
      </c>
      <c r="EI182" s="92">
        <f t="shared" si="28"/>
        <v>1.1884653341963503</v>
      </c>
      <c r="FU182" s="451">
        <v>42724</v>
      </c>
      <c r="FV182" s="457">
        <v>210.22</v>
      </c>
      <c r="FW182" s="457"/>
    </row>
    <row r="183" spans="135:179" x14ac:dyDescent="0.35">
      <c r="EE183" s="451">
        <v>42706</v>
      </c>
      <c r="EF183" s="62">
        <v>213.67</v>
      </c>
      <c r="EG183" s="62">
        <v>2191.9499510000001</v>
      </c>
      <c r="EH183" s="92">
        <f t="shared" si="27"/>
        <v>1.2631219269437115</v>
      </c>
      <c r="EI183" s="92">
        <f t="shared" si="28"/>
        <v>1.1826440288357152</v>
      </c>
      <c r="FU183" s="451">
        <v>42723</v>
      </c>
      <c r="FV183" s="457">
        <v>212.12</v>
      </c>
      <c r="FW183" s="457"/>
    </row>
    <row r="184" spans="135:179" x14ac:dyDescent="0.35">
      <c r="EE184" s="451">
        <v>42705</v>
      </c>
      <c r="EF184" s="62">
        <v>213.69</v>
      </c>
      <c r="EG184" s="62">
        <v>2191.080078</v>
      </c>
      <c r="EH184" s="92">
        <f t="shared" si="27"/>
        <v>1.2632155204670397</v>
      </c>
      <c r="EI184" s="92">
        <f t="shared" si="28"/>
        <v>1.1822470223507699</v>
      </c>
      <c r="FU184" s="451">
        <v>42720</v>
      </c>
      <c r="FV184" s="457">
        <v>212.21</v>
      </c>
      <c r="FW184" s="457"/>
    </row>
    <row r="185" spans="135:179" x14ac:dyDescent="0.35">
      <c r="EE185" s="451">
        <v>42704</v>
      </c>
      <c r="EF185" s="62">
        <v>212.11</v>
      </c>
      <c r="EG185" s="62">
        <v>2198.8100589999999</v>
      </c>
      <c r="EH185" s="92">
        <f t="shared" si="27"/>
        <v>1.2557665553074526</v>
      </c>
      <c r="EI185" s="92">
        <f t="shared" si="28"/>
        <v>1.1857625515654742</v>
      </c>
      <c r="FU185" s="451">
        <v>42719</v>
      </c>
      <c r="FV185" s="457">
        <v>212.04</v>
      </c>
      <c r="FW185" s="457"/>
    </row>
    <row r="186" spans="135:179" x14ac:dyDescent="0.35">
      <c r="EE186" s="451">
        <v>42703</v>
      </c>
      <c r="EF186" s="62">
        <v>211.84</v>
      </c>
      <c r="EG186" s="62">
        <v>2204.6599120000001</v>
      </c>
      <c r="EH186" s="92">
        <f t="shared" si="27"/>
        <v>1.254492008479658</v>
      </c>
      <c r="EI186" s="92">
        <f t="shared" si="28"/>
        <v>1.1884159553708227</v>
      </c>
      <c r="FU186" s="451">
        <v>42718</v>
      </c>
      <c r="FV186" s="457">
        <v>210.32</v>
      </c>
      <c r="FW186" s="457"/>
    </row>
    <row r="187" spans="135:179" x14ac:dyDescent="0.35">
      <c r="EE187" s="451">
        <v>42702</v>
      </c>
      <c r="EF187" s="62">
        <v>212.19</v>
      </c>
      <c r="EG187" s="62">
        <v>2201.719971</v>
      </c>
      <c r="EH187" s="92">
        <f t="shared" si="27"/>
        <v>1.2561414735816891</v>
      </c>
      <c r="EI187" s="92">
        <f t="shared" si="28"/>
        <v>1.1870806624912904</v>
      </c>
      <c r="FU187" s="451">
        <v>42717</v>
      </c>
      <c r="FV187" s="457">
        <v>212.84</v>
      </c>
      <c r="FW187" s="457"/>
    </row>
    <row r="188" spans="135:179" x14ac:dyDescent="0.35">
      <c r="EE188" s="451">
        <v>42699</v>
      </c>
      <c r="EF188" s="62">
        <v>217.16</v>
      </c>
      <c r="EG188" s="62">
        <v>2213.3500979999999</v>
      </c>
      <c r="EH188" s="92">
        <f t="shared" si="27"/>
        <v>1.2790278246592357</v>
      </c>
      <c r="EI188" s="92">
        <f t="shared" si="28"/>
        <v>1.1923351981431554</v>
      </c>
      <c r="FU188" s="451">
        <v>42716</v>
      </c>
      <c r="FV188" s="457">
        <v>210.31</v>
      </c>
      <c r="FW188" s="457"/>
    </row>
    <row r="189" spans="135:179" x14ac:dyDescent="0.35">
      <c r="EE189" s="451">
        <v>42697</v>
      </c>
      <c r="EF189" s="62">
        <v>217.9</v>
      </c>
      <c r="EG189" s="62">
        <v>2204.719971</v>
      </c>
      <c r="EH189" s="92">
        <f t="shared" si="27"/>
        <v>1.2824238778946648</v>
      </c>
      <c r="EI189" s="92">
        <f t="shared" si="28"/>
        <v>1.1884208112307506</v>
      </c>
      <c r="FU189" s="451">
        <v>42713</v>
      </c>
      <c r="FV189" s="457">
        <v>213.58</v>
      </c>
      <c r="FW189" s="457"/>
    </row>
    <row r="190" spans="135:179" x14ac:dyDescent="0.35">
      <c r="EE190" s="451">
        <v>42696</v>
      </c>
      <c r="EF190" s="62">
        <v>215.19</v>
      </c>
      <c r="EG190" s="62">
        <v>2202.9399410000001</v>
      </c>
      <c r="EH190" s="92">
        <f t="shared" si="27"/>
        <v>1.2698303558908541</v>
      </c>
      <c r="EI190" s="92">
        <f t="shared" si="28"/>
        <v>1.1876127864785224</v>
      </c>
      <c r="FU190" s="451">
        <v>42712</v>
      </c>
      <c r="FV190" s="457">
        <v>215.54</v>
      </c>
      <c r="FW190" s="457"/>
    </row>
    <row r="191" spans="135:179" x14ac:dyDescent="0.35">
      <c r="EE191" s="451">
        <v>42695</v>
      </c>
      <c r="EF191" s="62">
        <v>212.83</v>
      </c>
      <c r="EG191" s="62">
        <v>2198.179932</v>
      </c>
      <c r="EH191" s="92">
        <f t="shared" si="27"/>
        <v>1.2587416935782103</v>
      </c>
      <c r="EI191" s="92">
        <f t="shared" si="28"/>
        <v>1.1854473545542716</v>
      </c>
      <c r="FU191" s="451">
        <v>42711</v>
      </c>
      <c r="FV191" s="457">
        <v>215.95</v>
      </c>
      <c r="FW191" s="457"/>
    </row>
    <row r="192" spans="135:179" x14ac:dyDescent="0.35">
      <c r="EE192" s="451">
        <v>42692</v>
      </c>
      <c r="EF192" s="62">
        <v>209.47</v>
      </c>
      <c r="EG192" s="62">
        <v>2181.8999020000001</v>
      </c>
      <c r="EH192" s="92">
        <f t="shared" si="27"/>
        <v>1.2427012104541353</v>
      </c>
      <c r="EI192" s="92">
        <f t="shared" si="28"/>
        <v>1.1779859536049992</v>
      </c>
      <c r="FU192" s="451">
        <v>42710</v>
      </c>
      <c r="FV192" s="457">
        <v>215.02</v>
      </c>
      <c r="FW192" s="457"/>
    </row>
    <row r="193" spans="135:179" x14ac:dyDescent="0.35">
      <c r="EE193" s="451">
        <v>42691</v>
      </c>
      <c r="EF193" s="62">
        <v>210.52</v>
      </c>
      <c r="EG193" s="62">
        <v>2187.1201169999999</v>
      </c>
      <c r="EH193" s="92">
        <f t="shared" si="27"/>
        <v>1.2476888600836242</v>
      </c>
      <c r="EI193" s="92">
        <f t="shared" si="28"/>
        <v>1.1803727520983349</v>
      </c>
      <c r="FU193" s="451">
        <v>42709</v>
      </c>
      <c r="FV193" s="457">
        <v>213.51</v>
      </c>
      <c r="FW193" s="457"/>
    </row>
    <row r="194" spans="135:179" x14ac:dyDescent="0.35">
      <c r="EE194" s="451">
        <v>42690</v>
      </c>
      <c r="EF194" s="62">
        <v>206.96</v>
      </c>
      <c r="EG194" s="62">
        <v>2176.9399410000001</v>
      </c>
      <c r="EH194" s="92">
        <f t="shared" si="27"/>
        <v>1.2304874685103733</v>
      </c>
      <c r="EI194" s="92">
        <f t="shared" si="28"/>
        <v>1.1756963823886022</v>
      </c>
      <c r="FU194" s="451">
        <v>42706</v>
      </c>
      <c r="FV194" s="457">
        <v>213.67</v>
      </c>
      <c r="FW194" s="457"/>
    </row>
    <row r="195" spans="135:179" x14ac:dyDescent="0.35">
      <c r="EE195" s="451">
        <v>42689</v>
      </c>
      <c r="EF195" s="62">
        <v>208.76</v>
      </c>
      <c r="EG195" s="62">
        <v>2180.389893</v>
      </c>
      <c r="EH195" s="92">
        <f t="shared" si="27"/>
        <v>1.2391098099550943</v>
      </c>
      <c r="EI195" s="92">
        <f t="shared" si="28"/>
        <v>1.1772786461897122</v>
      </c>
      <c r="FU195" s="451">
        <v>42705</v>
      </c>
      <c r="FV195" s="457">
        <v>213.69</v>
      </c>
      <c r="FW195" s="457"/>
    </row>
    <row r="196" spans="135:179" x14ac:dyDescent="0.35">
      <c r="EE196" s="451">
        <v>42688</v>
      </c>
      <c r="EF196" s="62">
        <v>209.38</v>
      </c>
      <c r="EG196" s="62">
        <v>2164.1999510000001</v>
      </c>
      <c r="EH196" s="92">
        <f t="shared" si="27"/>
        <v>1.2420709332715525</v>
      </c>
      <c r="EI196" s="92">
        <f t="shared" si="28"/>
        <v>1.169797848497004</v>
      </c>
      <c r="FU196" s="451">
        <v>42704</v>
      </c>
      <c r="FV196" s="457">
        <v>212.11</v>
      </c>
      <c r="FW196" s="457"/>
    </row>
    <row r="197" spans="135:179" x14ac:dyDescent="0.35">
      <c r="EE197" s="451">
        <v>42685</v>
      </c>
      <c r="EF197" s="62">
        <v>202.12</v>
      </c>
      <c r="EG197" s="62">
        <v>2164.4499510000001</v>
      </c>
      <c r="EH197" s="92">
        <f t="shared" si="27"/>
        <v>1.2061516773839611</v>
      </c>
      <c r="EI197" s="92">
        <f t="shared" si="28"/>
        <v>1.1699133512832358</v>
      </c>
      <c r="FU197" s="451">
        <v>42703</v>
      </c>
      <c r="FV197" s="457">
        <v>211.84</v>
      </c>
      <c r="FW197" s="457"/>
    </row>
    <row r="198" spans="135:179" x14ac:dyDescent="0.35">
      <c r="EE198" s="451">
        <v>42684</v>
      </c>
      <c r="EF198" s="62">
        <v>196.67</v>
      </c>
      <c r="EG198" s="62">
        <v>2167.4799800000001</v>
      </c>
      <c r="EH198" s="92">
        <f t="shared" si="27"/>
        <v>1.1784402826618376</v>
      </c>
      <c r="EI198" s="92">
        <f t="shared" si="28"/>
        <v>1.1713113014502312</v>
      </c>
      <c r="FU198" s="451">
        <v>42702</v>
      </c>
      <c r="FV198" s="457">
        <v>212.19</v>
      </c>
      <c r="FW198" s="457"/>
    </row>
    <row r="199" spans="135:179" x14ac:dyDescent="0.35">
      <c r="EE199" s="451">
        <v>42683</v>
      </c>
      <c r="EF199" s="62">
        <v>196.62</v>
      </c>
      <c r="EG199" s="62">
        <v>2163.26001</v>
      </c>
      <c r="EH199" s="92">
        <f t="shared" si="27"/>
        <v>1.1781859850318916</v>
      </c>
      <c r="EI199" s="92">
        <f t="shared" si="28"/>
        <v>1.1693605558253444</v>
      </c>
      <c r="FU199" s="451">
        <v>42699</v>
      </c>
      <c r="FV199" s="457">
        <v>217.16</v>
      </c>
      <c r="FW199" s="457"/>
    </row>
    <row r="200" spans="135:179" x14ac:dyDescent="0.35">
      <c r="EE200" s="451">
        <v>42682</v>
      </c>
      <c r="EF200" s="62">
        <v>188.28</v>
      </c>
      <c r="EG200" s="62">
        <v>2139.5600589999999</v>
      </c>
      <c r="EH200" s="92">
        <f t="shared" si="27"/>
        <v>1.1338902552677106</v>
      </c>
      <c r="EI200" s="92">
        <f t="shared" si="28"/>
        <v>1.1582835351545262</v>
      </c>
      <c r="FU200" s="451">
        <v>42697</v>
      </c>
      <c r="FV200" s="457">
        <v>217.9</v>
      </c>
      <c r="FW200" s="457"/>
    </row>
    <row r="201" spans="135:179" x14ac:dyDescent="0.35">
      <c r="EE201" s="451">
        <v>42681</v>
      </c>
      <c r="EF201" s="62">
        <v>190.03</v>
      </c>
      <c r="EG201" s="62">
        <v>2131.5200199999999</v>
      </c>
      <c r="EH201" s="92">
        <f t="shared" si="27"/>
        <v>1.1430993275194603</v>
      </c>
      <c r="EI201" s="92">
        <f t="shared" si="28"/>
        <v>1.154511560730378</v>
      </c>
      <c r="FU201" s="451">
        <v>42696</v>
      </c>
      <c r="FV201" s="457">
        <v>215.19</v>
      </c>
      <c r="FW201" s="457"/>
    </row>
    <row r="202" spans="135:179" x14ac:dyDescent="0.35">
      <c r="EE202" s="451">
        <v>42678</v>
      </c>
      <c r="EF202" s="62">
        <v>186.74</v>
      </c>
      <c r="EG202" s="62">
        <v>2085.179932</v>
      </c>
      <c r="EH202" s="92">
        <f t="shared" si="27"/>
        <v>1.1254812489074866</v>
      </c>
      <c r="EI202" s="92">
        <f t="shared" si="28"/>
        <v>1.1322880167144174</v>
      </c>
      <c r="FU202" s="451">
        <v>42695</v>
      </c>
      <c r="FV202" s="457">
        <v>212.83</v>
      </c>
      <c r="FW202" s="457"/>
    </row>
    <row r="203" spans="135:179" x14ac:dyDescent="0.35">
      <c r="EE203" s="451">
        <v>42677</v>
      </c>
      <c r="EF203" s="62">
        <v>190.91</v>
      </c>
      <c r="EG203" s="62">
        <v>2088.6599120000001</v>
      </c>
      <c r="EH203" s="92">
        <f t="shared" si="27"/>
        <v>1.1473240020372335</v>
      </c>
      <c r="EI203" s="92">
        <f t="shared" si="28"/>
        <v>1.1339541472223122</v>
      </c>
      <c r="FU203" s="451">
        <v>42692</v>
      </c>
      <c r="FV203" s="457">
        <v>209.47</v>
      </c>
      <c r="FW203" s="457"/>
    </row>
    <row r="204" spans="135:179" x14ac:dyDescent="0.35">
      <c r="EE204" s="451">
        <v>42676</v>
      </c>
      <c r="EF204" s="62">
        <v>192.69</v>
      </c>
      <c r="EG204" s="62">
        <v>2097.9399410000001</v>
      </c>
      <c r="EH204" s="92">
        <f t="shared" si="27"/>
        <v>1.1565616376176995</v>
      </c>
      <c r="EI204" s="92">
        <f t="shared" si="28"/>
        <v>1.1383775479206071</v>
      </c>
      <c r="FU204" s="451">
        <v>42691</v>
      </c>
      <c r="FV204" s="457">
        <v>210.52</v>
      </c>
      <c r="FW204" s="457"/>
    </row>
    <row r="205" spans="135:179" x14ac:dyDescent="0.35">
      <c r="EE205" s="451">
        <v>42675</v>
      </c>
      <c r="EF205" s="62">
        <v>192.42</v>
      </c>
      <c r="EG205" s="62">
        <v>2111.719971</v>
      </c>
      <c r="EH205" s="92">
        <f t="shared" si="27"/>
        <v>1.1551584570751363</v>
      </c>
      <c r="EI205" s="92">
        <f t="shared" si="28"/>
        <v>1.1449030485500653</v>
      </c>
      <c r="FU205" s="451">
        <v>42690</v>
      </c>
      <c r="FV205" s="457">
        <v>206.96</v>
      </c>
      <c r="FW205" s="457"/>
    </row>
    <row r="206" spans="135:179" x14ac:dyDescent="0.35">
      <c r="EE206" s="451">
        <v>42674</v>
      </c>
      <c r="EF206" s="62">
        <v>190.76</v>
      </c>
      <c r="EG206" s="62">
        <v>2126.1499020000001</v>
      </c>
      <c r="EH206" s="92">
        <f t="shared" si="27"/>
        <v>1.1464564231057508</v>
      </c>
      <c r="EI206" s="92">
        <f t="shared" si="28"/>
        <v>1.1516899317262828</v>
      </c>
      <c r="FU206" s="451">
        <v>42689</v>
      </c>
      <c r="FV206" s="457">
        <v>208.76</v>
      </c>
      <c r="FW206" s="457"/>
    </row>
    <row r="207" spans="135:179" x14ac:dyDescent="0.35">
      <c r="EE207" s="451">
        <v>42671</v>
      </c>
      <c r="EF207" s="62">
        <v>194.26</v>
      </c>
      <c r="EG207" s="62">
        <v>2126.4099120000001</v>
      </c>
      <c r="EH207" s="92">
        <f t="shared" si="27"/>
        <v>1.1644735136030224</v>
      </c>
      <c r="EI207" s="92">
        <f t="shared" si="28"/>
        <v>1.1518122082443392</v>
      </c>
      <c r="FU207" s="451">
        <v>42688</v>
      </c>
      <c r="FV207" s="457">
        <v>209.38</v>
      </c>
      <c r="FW207" s="457"/>
    </row>
    <row r="208" spans="135:179" x14ac:dyDescent="0.35">
      <c r="EE208" s="451">
        <v>42670</v>
      </c>
      <c r="EF208" s="62">
        <v>189.42</v>
      </c>
      <c r="EG208" s="62">
        <v>2133.040039</v>
      </c>
      <c r="EH208" s="92">
        <f t="shared" si="27"/>
        <v>1.138921829514753</v>
      </c>
      <c r="EI208" s="92">
        <f t="shared" si="28"/>
        <v>1.1549205076099283</v>
      </c>
      <c r="FU208" s="451">
        <v>42685</v>
      </c>
      <c r="FV208" s="457">
        <v>202.12</v>
      </c>
      <c r="FW208" s="457"/>
    </row>
    <row r="209" spans="135:179" x14ac:dyDescent="0.35">
      <c r="EE209" s="451">
        <v>42669</v>
      </c>
      <c r="EF209" s="62">
        <v>191.11</v>
      </c>
      <c r="EG209" s="62">
        <v>2139.429932</v>
      </c>
      <c r="EH209" s="92">
        <f t="shared" si="27"/>
        <v>1.1477649041837918</v>
      </c>
      <c r="EI209" s="92">
        <f t="shared" si="28"/>
        <v>1.1579072345433159</v>
      </c>
      <c r="FU209" s="451">
        <v>42684</v>
      </c>
      <c r="FV209" s="457">
        <v>196.67</v>
      </c>
      <c r="FW209" s="457"/>
    </row>
    <row r="210" spans="135:179" x14ac:dyDescent="0.35">
      <c r="EE210" s="451">
        <v>42668</v>
      </c>
      <c r="EF210" s="62">
        <v>194.56</v>
      </c>
      <c r="EG210" s="62">
        <v>2143.1599120000001</v>
      </c>
      <c r="EH210" s="92">
        <f t="shared" si="27"/>
        <v>1.1654972232627392</v>
      </c>
      <c r="EI210" s="92">
        <f t="shared" si="28"/>
        <v>1.1596476459699738</v>
      </c>
      <c r="FU210" s="451">
        <v>42683</v>
      </c>
      <c r="FV210" s="457">
        <v>196.62</v>
      </c>
      <c r="FW210" s="457"/>
    </row>
    <row r="211" spans="135:179" x14ac:dyDescent="0.35">
      <c r="EE211" s="451">
        <v>42667</v>
      </c>
      <c r="EF211" s="62">
        <v>198.62</v>
      </c>
      <c r="EG211" s="62">
        <v>2151.330078</v>
      </c>
      <c r="EH211" s="92">
        <f t="shared" si="27"/>
        <v>1.1859382664608058</v>
      </c>
      <c r="EI211" s="92">
        <f t="shared" si="28"/>
        <v>1.1634453737494299</v>
      </c>
      <c r="FU211" s="451">
        <v>42682</v>
      </c>
      <c r="FV211" s="457">
        <v>188.28</v>
      </c>
      <c r="FW211" s="457"/>
    </row>
    <row r="212" spans="135:179" x14ac:dyDescent="0.35">
      <c r="EE212" s="451">
        <v>42664</v>
      </c>
      <c r="EF212" s="62">
        <v>196.86</v>
      </c>
      <c r="EG212" s="62">
        <v>2141.1599120000001</v>
      </c>
      <c r="EH212" s="92">
        <f t="shared" si="27"/>
        <v>1.1769979027505548</v>
      </c>
      <c r="EI212" s="92">
        <f t="shared" si="28"/>
        <v>1.1586955342147918</v>
      </c>
      <c r="FU212" s="451">
        <v>42681</v>
      </c>
      <c r="FV212" s="457">
        <v>190.03</v>
      </c>
      <c r="FW212" s="457"/>
    </row>
    <row r="213" spans="135:179" x14ac:dyDescent="0.35">
      <c r="EE213" s="451">
        <v>42663</v>
      </c>
      <c r="EF213" s="62">
        <v>195.32</v>
      </c>
      <c r="EG213" s="62">
        <v>2141.3400879999999</v>
      </c>
      <c r="EH213" s="92">
        <f t="shared" si="27"/>
        <v>1.1691134055152486</v>
      </c>
      <c r="EI213" s="92">
        <f t="shared" si="28"/>
        <v>1.1587796759169948</v>
      </c>
      <c r="FU213" s="451">
        <v>42678</v>
      </c>
      <c r="FV213" s="457">
        <v>186.74</v>
      </c>
      <c r="FW213" s="457"/>
    </row>
    <row r="214" spans="135:179" x14ac:dyDescent="0.35">
      <c r="EE214" s="451">
        <v>42662</v>
      </c>
      <c r="EF214" s="62">
        <v>196.34</v>
      </c>
      <c r="EG214" s="62">
        <v>2144.290039</v>
      </c>
      <c r="EH214" s="92">
        <f t="shared" si="27"/>
        <v>1.1743084752921662</v>
      </c>
      <c r="EI214" s="92">
        <f t="shared" si="28"/>
        <v>1.1601553997912595</v>
      </c>
      <c r="FU214" s="451">
        <v>42677</v>
      </c>
      <c r="FV214" s="457">
        <v>190.91</v>
      </c>
      <c r="FW214" s="457"/>
    </row>
    <row r="215" spans="135:179" x14ac:dyDescent="0.35">
      <c r="EE215" s="451">
        <v>42661</v>
      </c>
      <c r="EF215" s="62">
        <v>192.21</v>
      </c>
      <c r="EG215" s="62">
        <v>2139.6000979999999</v>
      </c>
      <c r="EH215" s="92">
        <f t="shared" si="27"/>
        <v>1.1528215599391669</v>
      </c>
      <c r="EI215" s="92">
        <f t="shared" si="28"/>
        <v>1.1579634289625125</v>
      </c>
      <c r="FU215" s="451">
        <v>42676</v>
      </c>
      <c r="FV215" s="457">
        <v>192.69</v>
      </c>
      <c r="FW215" s="457"/>
    </row>
    <row r="216" spans="135:179" x14ac:dyDescent="0.35">
      <c r="EE216" s="451">
        <v>42660</v>
      </c>
      <c r="EF216" s="62">
        <v>191.19</v>
      </c>
      <c r="EG216" s="62">
        <v>2126.5</v>
      </c>
      <c r="EH216" s="92">
        <f t="shared" si="27"/>
        <v>1.1474865528781282</v>
      </c>
      <c r="EI216" s="92">
        <f t="shared" si="28"/>
        <v>1.1518030254826159</v>
      </c>
      <c r="FU216" s="451">
        <v>42675</v>
      </c>
      <c r="FV216" s="457">
        <v>192.42</v>
      </c>
      <c r="FW216" s="457"/>
    </row>
    <row r="217" spans="135:179" x14ac:dyDescent="0.35">
      <c r="EE217" s="451">
        <v>42657</v>
      </c>
      <c r="EF217" s="62">
        <v>191.31</v>
      </c>
      <c r="EG217" s="62">
        <v>2132.9799800000001</v>
      </c>
      <c r="EH217" s="92">
        <f t="shared" si="27"/>
        <v>1.1481138070728907</v>
      </c>
      <c r="EI217" s="92">
        <f t="shared" si="28"/>
        <v>1.1548410193038239</v>
      </c>
      <c r="FU217" s="451">
        <v>42674</v>
      </c>
      <c r="FV217" s="457">
        <v>190.76</v>
      </c>
      <c r="FW217" s="457"/>
    </row>
    <row r="218" spans="135:179" x14ac:dyDescent="0.35">
      <c r="EE218" s="451">
        <v>42656</v>
      </c>
      <c r="EF218" s="62">
        <v>190.82</v>
      </c>
      <c r="EG218" s="62">
        <v>2132.5500489999999</v>
      </c>
      <c r="EH218" s="92">
        <f t="shared" si="27"/>
        <v>1.1455459420692222</v>
      </c>
      <c r="EI218" s="92">
        <f t="shared" si="28"/>
        <v>1.1546394151256703</v>
      </c>
      <c r="FU218" s="451">
        <v>42671</v>
      </c>
      <c r="FV218" s="457">
        <v>194.26</v>
      </c>
      <c r="FW218" s="457"/>
    </row>
    <row r="219" spans="135:179" x14ac:dyDescent="0.35">
      <c r="EE219" s="451">
        <v>42655</v>
      </c>
      <c r="EF219" s="62">
        <v>190.43</v>
      </c>
      <c r="EG219" s="62">
        <v>2139.179932</v>
      </c>
      <c r="EH219" s="92">
        <f t="shared" si="27"/>
        <v>1.1434979454300374</v>
      </c>
      <c r="EI219" s="92">
        <f t="shared" si="28"/>
        <v>1.1577386789607613</v>
      </c>
      <c r="FU219" s="451">
        <v>42670</v>
      </c>
      <c r="FV219" s="457">
        <v>189.42</v>
      </c>
      <c r="FW219" s="457"/>
    </row>
    <row r="220" spans="135:179" x14ac:dyDescent="0.35">
      <c r="EE220" s="451">
        <v>42654</v>
      </c>
      <c r="EF220" s="62">
        <v>188.79</v>
      </c>
      <c r="EG220" s="62">
        <v>2136.7299800000001</v>
      </c>
      <c r="EH220" s="92">
        <f t="shared" si="27"/>
        <v>1.1348110446408006</v>
      </c>
      <c r="EI220" s="92">
        <f t="shared" si="28"/>
        <v>1.1565920895353627</v>
      </c>
      <c r="FU220" s="451">
        <v>42669</v>
      </c>
      <c r="FV220" s="457">
        <v>191.11</v>
      </c>
      <c r="FW220" s="457"/>
    </row>
    <row r="221" spans="135:179" x14ac:dyDescent="0.35">
      <c r="EE221" s="451">
        <v>42653</v>
      </c>
      <c r="EF221" s="62">
        <v>192.73</v>
      </c>
      <c r="EG221" s="62">
        <v>2163.6599120000001</v>
      </c>
      <c r="EH221" s="92">
        <f t="shared" ref="EH221:EH284" si="29">EH222+(EF221-EF222)/EF222</f>
        <v>1.1552541515779666</v>
      </c>
      <c r="EI221" s="92">
        <f t="shared" ref="EI221:EI284" si="30">EI222+(EG221-EG222)/EG222</f>
        <v>1.16903856129862</v>
      </c>
      <c r="FU221" s="451">
        <v>42668</v>
      </c>
      <c r="FV221" s="457">
        <v>194.56</v>
      </c>
      <c r="FW221" s="457"/>
    </row>
    <row r="222" spans="135:179" x14ac:dyDescent="0.35">
      <c r="EE222" s="451">
        <v>42650</v>
      </c>
      <c r="EF222" s="62">
        <v>189.28</v>
      </c>
      <c r="EG222" s="62">
        <v>2153.73999</v>
      </c>
      <c r="EH222" s="92">
        <f t="shared" si="29"/>
        <v>1.1370271862356167</v>
      </c>
      <c r="EI222" s="92">
        <f t="shared" si="30"/>
        <v>1.1644326562004843</v>
      </c>
      <c r="FU222" s="451">
        <v>42667</v>
      </c>
      <c r="FV222" s="457">
        <v>198.62</v>
      </c>
      <c r="FW222" s="457"/>
    </row>
    <row r="223" spans="135:179" x14ac:dyDescent="0.35">
      <c r="EE223" s="451">
        <v>42649</v>
      </c>
      <c r="EF223" s="62">
        <v>190.13</v>
      </c>
      <c r="EG223" s="62">
        <v>2160.7700199999999</v>
      </c>
      <c r="EH223" s="92">
        <f t="shared" si="29"/>
        <v>1.1414978115972114</v>
      </c>
      <c r="EI223" s="92">
        <f t="shared" si="30"/>
        <v>1.1676861398821952</v>
      </c>
      <c r="FU223" s="451">
        <v>42664</v>
      </c>
      <c r="FV223" s="457">
        <v>196.86</v>
      </c>
      <c r="FW223" s="457"/>
    </row>
    <row r="224" spans="135:179" x14ac:dyDescent="0.35">
      <c r="EE224" s="451">
        <v>42648</v>
      </c>
      <c r="EF224" s="62">
        <v>192.2</v>
      </c>
      <c r="EG224" s="62">
        <v>2159.7299800000001</v>
      </c>
      <c r="EH224" s="92">
        <f t="shared" si="29"/>
        <v>1.1522678428146931</v>
      </c>
      <c r="EI224" s="92">
        <f t="shared" si="30"/>
        <v>1.1672045796827113</v>
      </c>
      <c r="FU224" s="451">
        <v>42663</v>
      </c>
      <c r="FV224" s="457">
        <v>195.32</v>
      </c>
      <c r="FW224" s="457"/>
    </row>
    <row r="225" spans="135:179" x14ac:dyDescent="0.35">
      <c r="EE225" s="451">
        <v>42647</v>
      </c>
      <c r="EF225" s="62">
        <v>192.67</v>
      </c>
      <c r="EG225" s="62">
        <v>2150.48999</v>
      </c>
      <c r="EH225" s="92">
        <f t="shared" si="29"/>
        <v>1.1547072469772508</v>
      </c>
      <c r="EI225" s="92">
        <f t="shared" si="30"/>
        <v>1.1629078891410363</v>
      </c>
      <c r="FU225" s="451">
        <v>42662</v>
      </c>
      <c r="FV225" s="457">
        <v>196.34</v>
      </c>
      <c r="FW225" s="457"/>
    </row>
    <row r="226" spans="135:179" x14ac:dyDescent="0.35">
      <c r="EE226" s="451">
        <v>42646</v>
      </c>
      <c r="EF226" s="62">
        <v>191.85</v>
      </c>
      <c r="EG226" s="62">
        <v>2161.1999510000001</v>
      </c>
      <c r="EH226" s="92">
        <f t="shared" si="29"/>
        <v>1.150433074446628</v>
      </c>
      <c r="EI226" s="92">
        <f t="shared" si="30"/>
        <v>1.1678634514410653</v>
      </c>
      <c r="FU226" s="451">
        <v>42661</v>
      </c>
      <c r="FV226" s="457">
        <v>192.21</v>
      </c>
      <c r="FW226" s="457"/>
    </row>
    <row r="227" spans="135:179" x14ac:dyDescent="0.35">
      <c r="EE227" s="451">
        <v>42643</v>
      </c>
      <c r="EF227" s="62">
        <v>194.72</v>
      </c>
      <c r="EG227" s="62">
        <v>2168.2700199999999</v>
      </c>
      <c r="EH227" s="92">
        <f t="shared" si="29"/>
        <v>1.1651721870185261</v>
      </c>
      <c r="EI227" s="92">
        <f t="shared" si="30"/>
        <v>1.1711241472652874</v>
      </c>
      <c r="FU227" s="451">
        <v>42660</v>
      </c>
      <c r="FV227" s="457">
        <v>191.19</v>
      </c>
      <c r="FW227" s="457"/>
    </row>
    <row r="228" spans="135:179" x14ac:dyDescent="0.35">
      <c r="EE228" s="451">
        <v>42642</v>
      </c>
      <c r="EF228" s="62">
        <v>192.3</v>
      </c>
      <c r="EG228" s="62">
        <v>2151.1298830000001</v>
      </c>
      <c r="EH228" s="92">
        <f t="shared" si="29"/>
        <v>1.152587683638391</v>
      </c>
      <c r="EI228" s="92">
        <f t="shared" si="30"/>
        <v>1.1631561779039505</v>
      </c>
      <c r="FU228" s="451">
        <v>42657</v>
      </c>
      <c r="FV228" s="457">
        <v>191.31</v>
      </c>
      <c r="FW228" s="457"/>
    </row>
    <row r="229" spans="135:179" x14ac:dyDescent="0.35">
      <c r="EE229" s="451">
        <v>42641</v>
      </c>
      <c r="EF229" s="62">
        <v>192.18</v>
      </c>
      <c r="EG229" s="62">
        <v>2171.3701169999999</v>
      </c>
      <c r="EH229" s="92">
        <f t="shared" si="29"/>
        <v>1.1519632690270891</v>
      </c>
      <c r="EI229" s="92">
        <f t="shared" si="30"/>
        <v>1.1724775892292405</v>
      </c>
      <c r="FU229" s="451">
        <v>42656</v>
      </c>
      <c r="FV229" s="457">
        <v>190.82</v>
      </c>
      <c r="FW229" s="457"/>
    </row>
    <row r="230" spans="135:179" x14ac:dyDescent="0.35">
      <c r="EE230" s="451">
        <v>42640</v>
      </c>
      <c r="EF230" s="62">
        <v>193.51</v>
      </c>
      <c r="EG230" s="62">
        <v>2159.929932</v>
      </c>
      <c r="EH230" s="92">
        <f t="shared" si="29"/>
        <v>1.1588362988446694</v>
      </c>
      <c r="EI230" s="92">
        <f t="shared" si="30"/>
        <v>1.1671810354704772</v>
      </c>
      <c r="FU230" s="451">
        <v>42655</v>
      </c>
      <c r="FV230" s="457">
        <v>190.43</v>
      </c>
      <c r="FW230" s="457"/>
    </row>
    <row r="231" spans="135:179" x14ac:dyDescent="0.35">
      <c r="EE231" s="451">
        <v>42639</v>
      </c>
      <c r="EF231" s="62">
        <v>195.39</v>
      </c>
      <c r="EG231" s="62">
        <v>2146.1000979999999</v>
      </c>
      <c r="EH231" s="92">
        <f t="shared" si="29"/>
        <v>1.1684580809215412</v>
      </c>
      <c r="EI231" s="92">
        <f t="shared" si="30"/>
        <v>1.1607368654092165</v>
      </c>
      <c r="FU231" s="451">
        <v>42654</v>
      </c>
      <c r="FV231" s="457">
        <v>188.79</v>
      </c>
      <c r="FW231" s="457"/>
    </row>
    <row r="232" spans="135:179" x14ac:dyDescent="0.35">
      <c r="EE232" s="451">
        <v>42636</v>
      </c>
      <c r="EF232" s="62">
        <v>199.02</v>
      </c>
      <c r="EG232" s="62">
        <v>2164.6899410000001</v>
      </c>
      <c r="EH232" s="92">
        <f t="shared" si="29"/>
        <v>1.1866974538488853</v>
      </c>
      <c r="EI232" s="92">
        <f t="shared" si="30"/>
        <v>1.1693246278632761</v>
      </c>
      <c r="FU232" s="451">
        <v>42653</v>
      </c>
      <c r="FV232" s="457">
        <v>192.73</v>
      </c>
      <c r="FW232" s="457"/>
    </row>
    <row r="233" spans="135:179" x14ac:dyDescent="0.35">
      <c r="EE233" s="451">
        <v>42635</v>
      </c>
      <c r="EF233" s="62">
        <v>198.34</v>
      </c>
      <c r="EG233" s="62">
        <v>2177.179932</v>
      </c>
      <c r="EH233" s="92">
        <f t="shared" si="29"/>
        <v>1.1832689976625386</v>
      </c>
      <c r="EI233" s="92">
        <f t="shared" si="30"/>
        <v>1.1750614026775315</v>
      </c>
      <c r="FU233" s="451">
        <v>42650</v>
      </c>
      <c r="FV233" s="457">
        <v>189.28</v>
      </c>
      <c r="FW233" s="457"/>
    </row>
    <row r="234" spans="135:179" x14ac:dyDescent="0.35">
      <c r="EE234" s="451">
        <v>42634</v>
      </c>
      <c r="EF234" s="62">
        <v>197.68</v>
      </c>
      <c r="EG234" s="62">
        <v>2163.1201169999999</v>
      </c>
      <c r="EH234" s="92">
        <f t="shared" si="29"/>
        <v>1.1799302684031294</v>
      </c>
      <c r="EI234" s="92">
        <f t="shared" si="30"/>
        <v>1.1685616179963647</v>
      </c>
      <c r="EJ234" s="92"/>
      <c r="EK234" s="452"/>
      <c r="FU234" s="451">
        <v>42649</v>
      </c>
      <c r="FV234" s="457">
        <v>190.13</v>
      </c>
      <c r="FW234" s="457"/>
    </row>
    <row r="235" spans="135:179" x14ac:dyDescent="0.35">
      <c r="EE235" s="451">
        <v>42633</v>
      </c>
      <c r="EF235" s="62">
        <v>197.58</v>
      </c>
      <c r="EG235" s="62">
        <v>2139.76001</v>
      </c>
      <c r="EH235" s="92">
        <f t="shared" si="29"/>
        <v>1.1794241443014997</v>
      </c>
      <c r="EI235" s="92">
        <f t="shared" si="30"/>
        <v>1.157644455842278</v>
      </c>
      <c r="FU235" s="451">
        <v>42648</v>
      </c>
      <c r="FV235" s="457">
        <v>192.2</v>
      </c>
      <c r="FW235" s="457"/>
    </row>
    <row r="236" spans="135:179" x14ac:dyDescent="0.35">
      <c r="EE236" s="451">
        <v>42632</v>
      </c>
      <c r="EF236" s="62">
        <v>201.08</v>
      </c>
      <c r="EG236" s="62">
        <v>2139.1201169999999</v>
      </c>
      <c r="EH236" s="92">
        <f t="shared" si="29"/>
        <v>1.1968301518606801</v>
      </c>
      <c r="EI236" s="92">
        <f t="shared" si="30"/>
        <v>1.1573453174278829</v>
      </c>
      <c r="FU236" s="451">
        <v>42647</v>
      </c>
      <c r="FV236" s="457">
        <v>192.67</v>
      </c>
      <c r="FW236" s="457"/>
    </row>
    <row r="237" spans="135:179" x14ac:dyDescent="0.35">
      <c r="EE237" s="451">
        <v>42629</v>
      </c>
      <c r="EF237" s="62">
        <v>200.12</v>
      </c>
      <c r="EG237" s="62">
        <v>2139.1599120000001</v>
      </c>
      <c r="EH237" s="92">
        <f t="shared" si="29"/>
        <v>1.1920330301337163</v>
      </c>
      <c r="EI237" s="92">
        <f t="shared" si="30"/>
        <v>1.1573639205251909</v>
      </c>
      <c r="FU237" s="451">
        <v>42646</v>
      </c>
      <c r="FV237" s="457">
        <v>191.85</v>
      </c>
      <c r="FW237" s="457">
        <f>FX19</f>
        <v>231.5</v>
      </c>
    </row>
    <row r="238" spans="135:179" x14ac:dyDescent="0.35">
      <c r="EE238" s="451">
        <v>42628</v>
      </c>
      <c r="EF238" s="62">
        <v>204.36</v>
      </c>
      <c r="EG238" s="62">
        <v>2147.26001</v>
      </c>
      <c r="EH238" s="92">
        <f t="shared" si="29"/>
        <v>1.2127807302707294</v>
      </c>
      <c r="EI238" s="92">
        <f t="shared" si="30"/>
        <v>1.1611362154323177</v>
      </c>
      <c r="FU238" s="451">
        <v>42643</v>
      </c>
      <c r="FV238" s="457">
        <v>194.72</v>
      </c>
      <c r="FW238" s="457"/>
    </row>
    <row r="239" spans="135:179" x14ac:dyDescent="0.35">
      <c r="EE239" s="451">
        <v>42627</v>
      </c>
      <c r="EF239" s="62">
        <v>203.33</v>
      </c>
      <c r="EG239" s="62">
        <v>2125.7700199999999</v>
      </c>
      <c r="EH239" s="92">
        <f t="shared" si="29"/>
        <v>1.2077150734566833</v>
      </c>
      <c r="EI239" s="92">
        <f t="shared" si="30"/>
        <v>1.1510269421817712</v>
      </c>
      <c r="FU239" s="451">
        <v>42642</v>
      </c>
      <c r="FV239" s="457">
        <v>192.3</v>
      </c>
      <c r="FW239" s="457"/>
    </row>
    <row r="240" spans="135:179" x14ac:dyDescent="0.35">
      <c r="EE240" s="451">
        <v>42626</v>
      </c>
      <c r="EF240" s="62">
        <v>207.92</v>
      </c>
      <c r="EG240" s="62">
        <v>2127.0200199999999</v>
      </c>
      <c r="EH240" s="92">
        <f t="shared" si="29"/>
        <v>1.2297908718406769</v>
      </c>
      <c r="EI240" s="92">
        <f t="shared" si="30"/>
        <v>1.1516146188318479</v>
      </c>
      <c r="FU240" s="451">
        <v>42641</v>
      </c>
      <c r="FV240" s="457">
        <v>192.18</v>
      </c>
      <c r="FW240" s="457"/>
    </row>
    <row r="241" spans="135:179" x14ac:dyDescent="0.35">
      <c r="EE241" s="451">
        <v>42625</v>
      </c>
      <c r="EF241" s="62">
        <v>210.26</v>
      </c>
      <c r="EG241" s="62">
        <v>2159.040039</v>
      </c>
      <c r="EH241" s="92">
        <f t="shared" si="29"/>
        <v>1.2409199501247064</v>
      </c>
      <c r="EI241" s="92">
        <f t="shared" si="30"/>
        <v>1.1664452928451148</v>
      </c>
      <c r="FU241" s="451">
        <v>42640</v>
      </c>
      <c r="FV241" s="457">
        <v>193.51</v>
      </c>
      <c r="FW241" s="457"/>
    </row>
    <row r="242" spans="135:179" x14ac:dyDescent="0.35">
      <c r="EE242" s="451">
        <v>42622</v>
      </c>
      <c r="EF242" s="62">
        <v>207.92</v>
      </c>
      <c r="EG242" s="62">
        <v>2127.8100589999999</v>
      </c>
      <c r="EH242" s="92">
        <f t="shared" si="29"/>
        <v>1.2296656215367878</v>
      </c>
      <c r="EI242" s="92">
        <f t="shared" si="30"/>
        <v>1.1517682403197229</v>
      </c>
      <c r="EJ242" s="92"/>
      <c r="FU242" s="451">
        <v>42639</v>
      </c>
      <c r="FV242" s="457">
        <v>195.39</v>
      </c>
      <c r="FW242" s="457"/>
    </row>
    <row r="243" spans="135:179" x14ac:dyDescent="0.35">
      <c r="EE243" s="451">
        <v>42621</v>
      </c>
      <c r="EF243" s="62">
        <v>211.02</v>
      </c>
      <c r="EG243" s="62">
        <v>2181.3000489999999</v>
      </c>
      <c r="EH243" s="92">
        <f t="shared" si="29"/>
        <v>1.2443561721954932</v>
      </c>
      <c r="EI243" s="92">
        <f t="shared" si="30"/>
        <v>1.1762903091770185</v>
      </c>
      <c r="EJ243" s="92"/>
      <c r="FU243" s="451">
        <v>42636</v>
      </c>
      <c r="FV243" s="457">
        <v>199.02</v>
      </c>
      <c r="FW243" s="457"/>
    </row>
    <row r="244" spans="135:179" x14ac:dyDescent="0.35">
      <c r="EE244" s="451">
        <v>42620</v>
      </c>
      <c r="EF244" s="62">
        <v>216.39</v>
      </c>
      <c r="EG244" s="62">
        <v>2186.1599120000001</v>
      </c>
      <c r="EH244" s="92">
        <f t="shared" si="29"/>
        <v>1.2691724760912368</v>
      </c>
      <c r="EI244" s="92">
        <f t="shared" si="30"/>
        <v>1.1785133226781461</v>
      </c>
      <c r="EJ244" s="92">
        <f>EH244</f>
        <v>1.2691724760912368</v>
      </c>
      <c r="EK244" s="62" t="s">
        <v>566</v>
      </c>
      <c r="FU244" s="451">
        <v>42635</v>
      </c>
      <c r="FV244" s="457">
        <v>198.34</v>
      </c>
      <c r="FW244" s="457"/>
    </row>
    <row r="245" spans="135:179" x14ac:dyDescent="0.35">
      <c r="EE245" s="451">
        <v>42619</v>
      </c>
      <c r="EF245" s="62">
        <v>216.28</v>
      </c>
      <c r="EG245" s="62">
        <v>2186.4799800000001</v>
      </c>
      <c r="EH245" s="92">
        <f t="shared" si="29"/>
        <v>1.2686638761282261</v>
      </c>
      <c r="EI245" s="92">
        <f t="shared" si="30"/>
        <v>1.178659707736746</v>
      </c>
      <c r="FU245" s="451">
        <v>42634</v>
      </c>
      <c r="FV245" s="457">
        <v>197.68</v>
      </c>
      <c r="FW245" s="457"/>
    </row>
    <row r="246" spans="135:179" x14ac:dyDescent="0.35">
      <c r="EE246" s="451">
        <v>42615</v>
      </c>
      <c r="EF246" s="62">
        <v>217.26</v>
      </c>
      <c r="EG246" s="62">
        <v>2179.9799800000001</v>
      </c>
      <c r="EH246" s="92">
        <f t="shared" si="29"/>
        <v>1.2731746006058104</v>
      </c>
      <c r="EI246" s="92">
        <f t="shared" si="30"/>
        <v>1.1756780289783935</v>
      </c>
      <c r="FU246" s="451">
        <v>42633</v>
      </c>
      <c r="FV246" s="457">
        <v>197.58</v>
      </c>
      <c r="FW246" s="457"/>
    </row>
    <row r="247" spans="135:179" x14ac:dyDescent="0.35">
      <c r="EE247" s="451">
        <v>42614</v>
      </c>
      <c r="EF247" s="62">
        <v>215.59</v>
      </c>
      <c r="EG247" s="62">
        <v>2170.860107</v>
      </c>
      <c r="EH247" s="92">
        <f t="shared" si="29"/>
        <v>1.2654284157178286</v>
      </c>
      <c r="EI247" s="92">
        <f t="shared" si="30"/>
        <v>1.1714769876627449</v>
      </c>
      <c r="FU247" s="451">
        <v>42632</v>
      </c>
      <c r="FV247" s="457">
        <v>201.08</v>
      </c>
      <c r="FW247" s="457"/>
    </row>
    <row r="248" spans="135:179" x14ac:dyDescent="0.35">
      <c r="EE248" s="451">
        <v>42613</v>
      </c>
      <c r="EF248" s="62">
        <v>217.15</v>
      </c>
      <c r="EG248" s="62">
        <v>2170.9499510000001</v>
      </c>
      <c r="EH248" s="92">
        <f t="shared" si="29"/>
        <v>1.2726123899292032</v>
      </c>
      <c r="EI248" s="92">
        <f t="shared" si="30"/>
        <v>1.1715183723109532</v>
      </c>
      <c r="FU248" s="451">
        <v>42629</v>
      </c>
      <c r="FV248" s="457">
        <v>200.12</v>
      </c>
      <c r="FW248" s="457"/>
    </row>
    <row r="249" spans="135:179" x14ac:dyDescent="0.35">
      <c r="EE249" s="451">
        <v>42612</v>
      </c>
      <c r="EF249" s="62">
        <v>217.71</v>
      </c>
      <c r="EG249" s="62">
        <v>2176.1201169999999</v>
      </c>
      <c r="EH249" s="92">
        <f t="shared" si="29"/>
        <v>1.275184619041325</v>
      </c>
      <c r="EI249" s="92">
        <f t="shared" si="30"/>
        <v>1.1738942365656928</v>
      </c>
      <c r="FU249" s="451">
        <v>42628</v>
      </c>
      <c r="FV249" s="457">
        <v>204.36</v>
      </c>
      <c r="FW249" s="457"/>
    </row>
    <row r="250" spans="135:179" x14ac:dyDescent="0.35">
      <c r="EE250" s="451">
        <v>42611</v>
      </c>
      <c r="EF250" s="62">
        <v>220.28</v>
      </c>
      <c r="EG250" s="62">
        <v>2180.3798830000001</v>
      </c>
      <c r="EH250" s="92">
        <f t="shared" si="29"/>
        <v>1.28685158835311</v>
      </c>
      <c r="EI250" s="92">
        <f t="shared" si="30"/>
        <v>1.1758479172216247</v>
      </c>
      <c r="FU250" s="451">
        <v>42627</v>
      </c>
      <c r="FV250" s="457">
        <v>203.33</v>
      </c>
      <c r="FW250" s="457"/>
    </row>
    <row r="251" spans="135:179" x14ac:dyDescent="0.35">
      <c r="EE251" s="451">
        <v>42608</v>
      </c>
      <c r="EF251" s="62">
        <v>217.44</v>
      </c>
      <c r="EG251" s="62">
        <v>2169.040039</v>
      </c>
      <c r="EH251" s="92">
        <f t="shared" si="29"/>
        <v>1.2737905140337575</v>
      </c>
      <c r="EI251" s="92">
        <f t="shared" si="30"/>
        <v>1.1706198698845049</v>
      </c>
      <c r="FU251" s="451">
        <v>42626</v>
      </c>
      <c r="FV251" s="457">
        <v>207.92</v>
      </c>
      <c r="FW251" s="457"/>
    </row>
    <row r="252" spans="135:179" x14ac:dyDescent="0.35">
      <c r="EE252" s="451">
        <v>42607</v>
      </c>
      <c r="EF252" s="62">
        <v>218.42</v>
      </c>
      <c r="EG252" s="62">
        <v>2172.469971</v>
      </c>
      <c r="EH252" s="92">
        <f t="shared" si="29"/>
        <v>1.2782772826446906</v>
      </c>
      <c r="EI252" s="92">
        <f t="shared" si="30"/>
        <v>1.1721986866441314</v>
      </c>
      <c r="EJ252" s="92"/>
      <c r="FU252" s="451">
        <v>42625</v>
      </c>
      <c r="FV252" s="457">
        <v>210.26</v>
      </c>
      <c r="FW252" s="457"/>
    </row>
    <row r="253" spans="135:179" x14ac:dyDescent="0.35">
      <c r="EE253" s="451">
        <v>42606</v>
      </c>
      <c r="EF253" s="62">
        <v>215.9</v>
      </c>
      <c r="EG253" s="62">
        <v>2175.4399410000001</v>
      </c>
      <c r="EH253" s="92">
        <f t="shared" si="29"/>
        <v>1.2666052122417264</v>
      </c>
      <c r="EI253" s="92">
        <f t="shared" si="30"/>
        <v>1.1735639139455272</v>
      </c>
      <c r="FU253" s="451">
        <v>42622</v>
      </c>
      <c r="FV253" s="457">
        <v>207.92</v>
      </c>
      <c r="FW253" s="457"/>
    </row>
    <row r="254" spans="135:179" x14ac:dyDescent="0.35">
      <c r="EE254" s="451">
        <v>42605</v>
      </c>
      <c r="EF254" s="62">
        <v>217.99</v>
      </c>
      <c r="EG254" s="62">
        <v>2186.8999020000001</v>
      </c>
      <c r="EH254" s="92">
        <f t="shared" si="29"/>
        <v>1.2761928080029998</v>
      </c>
      <c r="EI254" s="92">
        <f t="shared" si="30"/>
        <v>1.178804190827665</v>
      </c>
      <c r="EJ254" s="92"/>
      <c r="FU254" s="451">
        <v>42621</v>
      </c>
      <c r="FV254" s="457">
        <v>211.02</v>
      </c>
      <c r="FW254" s="457"/>
    </row>
    <row r="255" spans="135:179" x14ac:dyDescent="0.35">
      <c r="EE255" s="451">
        <v>42604</v>
      </c>
      <c r="EF255" s="62">
        <v>218.41</v>
      </c>
      <c r="EG255" s="62">
        <v>2182.639893</v>
      </c>
      <c r="EH255" s="92">
        <f t="shared" si="29"/>
        <v>1.2781157968771355</v>
      </c>
      <c r="EI255" s="92">
        <f t="shared" si="30"/>
        <v>1.1768524217732907</v>
      </c>
      <c r="FU255" s="451">
        <v>42620</v>
      </c>
      <c r="FV255" s="457">
        <v>216.39</v>
      </c>
      <c r="FW255" s="457"/>
    </row>
    <row r="256" spans="135:179" x14ac:dyDescent="0.35">
      <c r="EE256" s="451">
        <v>42601</v>
      </c>
      <c r="EF256" s="62">
        <v>216.07</v>
      </c>
      <c r="EG256" s="62">
        <v>2183.8701169999999</v>
      </c>
      <c r="EH256" s="92">
        <f t="shared" si="29"/>
        <v>1.2672859732088799</v>
      </c>
      <c r="EI256" s="92">
        <f t="shared" si="30"/>
        <v>1.1774157446515259</v>
      </c>
      <c r="FU256" s="451">
        <v>42619</v>
      </c>
      <c r="FV256" s="457">
        <v>216.28</v>
      </c>
      <c r="FW256" s="457"/>
    </row>
    <row r="257" spans="135:179" x14ac:dyDescent="0.35">
      <c r="EE257" s="451">
        <v>42600</v>
      </c>
      <c r="EF257" s="62">
        <v>218.57</v>
      </c>
      <c r="EG257" s="62">
        <v>2187.0200199999999</v>
      </c>
      <c r="EH257" s="92">
        <f t="shared" si="29"/>
        <v>1.2787239564636725</v>
      </c>
      <c r="EI257" s="92">
        <f t="shared" si="30"/>
        <v>1.1788560163322579</v>
      </c>
      <c r="FU257" s="451">
        <v>42615</v>
      </c>
      <c r="FV257" s="457">
        <v>217.26</v>
      </c>
      <c r="FW257" s="457"/>
    </row>
    <row r="258" spans="135:179" x14ac:dyDescent="0.35">
      <c r="EE258" s="451">
        <v>42599</v>
      </c>
      <c r="EF258" s="62">
        <v>216.24</v>
      </c>
      <c r="EG258" s="62">
        <v>2182.219971</v>
      </c>
      <c r="EH258" s="92">
        <f t="shared" si="29"/>
        <v>1.2679488917207944</v>
      </c>
      <c r="EI258" s="92">
        <f t="shared" si="30"/>
        <v>1.1766563989408909</v>
      </c>
      <c r="FU258" s="451">
        <v>42614</v>
      </c>
      <c r="FV258" s="457">
        <v>215.59</v>
      </c>
      <c r="FW258" s="457"/>
    </row>
    <row r="259" spans="135:179" x14ac:dyDescent="0.35">
      <c r="EE259" s="451">
        <v>42598</v>
      </c>
      <c r="EF259" s="62">
        <v>218.73</v>
      </c>
      <c r="EG259" s="62">
        <v>2178.1499020000001</v>
      </c>
      <c r="EH259" s="92">
        <f t="shared" si="29"/>
        <v>1.2793327896771789</v>
      </c>
      <c r="EI259" s="92">
        <f t="shared" si="30"/>
        <v>1.1747878089984527</v>
      </c>
      <c r="FU259" s="451">
        <v>42613</v>
      </c>
      <c r="FV259" s="457">
        <v>217.15</v>
      </c>
      <c r="FW259" s="457"/>
    </row>
    <row r="260" spans="135:179" x14ac:dyDescent="0.35">
      <c r="EE260" s="451">
        <v>42597</v>
      </c>
      <c r="EF260" s="62">
        <v>220.79</v>
      </c>
      <c r="EG260" s="62">
        <v>2190.1499020000001</v>
      </c>
      <c r="EH260" s="92">
        <f t="shared" si="29"/>
        <v>1.2886629223824644</v>
      </c>
      <c r="EI260" s="92">
        <f t="shared" si="30"/>
        <v>1.1802668860191816</v>
      </c>
      <c r="FU260" s="451">
        <v>42612</v>
      </c>
      <c r="FV260" s="457">
        <v>217.71</v>
      </c>
      <c r="FW260" s="457"/>
    </row>
    <row r="261" spans="135:179" x14ac:dyDescent="0.35">
      <c r="EE261" s="451">
        <v>42594</v>
      </c>
      <c r="EF261" s="62">
        <v>221.24</v>
      </c>
      <c r="EG261" s="62">
        <v>2184.0500489999999</v>
      </c>
      <c r="EH261" s="92">
        <f t="shared" si="29"/>
        <v>1.2906969126193113</v>
      </c>
      <c r="EI261" s="92">
        <f t="shared" si="30"/>
        <v>1.1774739770367189</v>
      </c>
      <c r="FU261" s="451">
        <v>42611</v>
      </c>
      <c r="FV261" s="457">
        <v>220.28</v>
      </c>
      <c r="FW261" s="457"/>
    </row>
    <row r="262" spans="135:179" x14ac:dyDescent="0.35">
      <c r="EE262" s="451">
        <v>42593</v>
      </c>
      <c r="EF262" s="62">
        <v>221.7</v>
      </c>
      <c r="EG262" s="62">
        <v>2185.790039</v>
      </c>
      <c r="EH262" s="92">
        <f t="shared" si="29"/>
        <v>1.2927717885778136</v>
      </c>
      <c r="EI262" s="92">
        <f t="shared" si="30"/>
        <v>1.1782700233032652</v>
      </c>
      <c r="FU262" s="451">
        <v>42608</v>
      </c>
      <c r="FV262" s="457">
        <v>217.44</v>
      </c>
      <c r="FW262" s="457"/>
    </row>
    <row r="263" spans="135:179" x14ac:dyDescent="0.35">
      <c r="EE263" s="451">
        <v>42592</v>
      </c>
      <c r="EF263" s="62">
        <v>219</v>
      </c>
      <c r="EG263" s="62">
        <v>2175.48999</v>
      </c>
      <c r="EH263" s="92">
        <f t="shared" si="29"/>
        <v>1.2804430214545259</v>
      </c>
      <c r="EI263" s="92">
        <f t="shared" si="30"/>
        <v>1.1735354352116878</v>
      </c>
      <c r="FU263" s="451">
        <v>42607</v>
      </c>
      <c r="FV263" s="457">
        <v>218.42</v>
      </c>
      <c r="FW263" s="457"/>
    </row>
    <row r="264" spans="135:179" x14ac:dyDescent="0.35">
      <c r="EE264" s="451">
        <v>42591</v>
      </c>
      <c r="EF264" s="62">
        <v>219.2</v>
      </c>
      <c r="EG264" s="62">
        <v>2181.73999</v>
      </c>
      <c r="EH264" s="92">
        <f t="shared" si="29"/>
        <v>1.2813554302136501</v>
      </c>
      <c r="EI264" s="92">
        <f t="shared" si="30"/>
        <v>1.1764001212093993</v>
      </c>
      <c r="FU264" s="451">
        <v>42606</v>
      </c>
      <c r="FV264" s="457">
        <v>215.9</v>
      </c>
      <c r="FW264" s="457"/>
    </row>
    <row r="265" spans="135:179" x14ac:dyDescent="0.35">
      <c r="EE265" s="451">
        <v>42590</v>
      </c>
      <c r="EF265" s="62">
        <v>218.23</v>
      </c>
      <c r="EG265" s="62">
        <v>2180.889893</v>
      </c>
      <c r="EH265" s="92">
        <f t="shared" si="29"/>
        <v>1.2769105784517474</v>
      </c>
      <c r="EI265" s="92">
        <f t="shared" si="30"/>
        <v>1.1760103275739073</v>
      </c>
      <c r="FU265" s="451">
        <v>42605</v>
      </c>
      <c r="FV265" s="457">
        <v>217.99</v>
      </c>
      <c r="FW265" s="457"/>
    </row>
    <row r="266" spans="135:179" x14ac:dyDescent="0.35">
      <c r="EE266" s="451">
        <v>42587</v>
      </c>
      <c r="EF266" s="62">
        <v>219.07</v>
      </c>
      <c r="EG266" s="62">
        <v>2182.8701169999999</v>
      </c>
      <c r="EH266" s="92">
        <f t="shared" si="29"/>
        <v>1.2807449692857273</v>
      </c>
      <c r="EI266" s="92">
        <f t="shared" si="30"/>
        <v>1.1769174928626609</v>
      </c>
      <c r="FU266" s="451">
        <v>42604</v>
      </c>
      <c r="FV266" s="457">
        <v>218.41</v>
      </c>
      <c r="FW266" s="457"/>
    </row>
    <row r="267" spans="135:179" x14ac:dyDescent="0.35">
      <c r="EE267" s="451">
        <v>42586</v>
      </c>
      <c r="EF267" s="62">
        <v>214.68</v>
      </c>
      <c r="EG267" s="62">
        <v>2164.25</v>
      </c>
      <c r="EH267" s="92">
        <f t="shared" si="29"/>
        <v>1.2602959288534561</v>
      </c>
      <c r="EI267" s="92">
        <f t="shared" si="30"/>
        <v>1.1683139965013349</v>
      </c>
      <c r="FU267" s="451">
        <v>42601</v>
      </c>
      <c r="FV267" s="457">
        <v>216.07</v>
      </c>
      <c r="FW267" s="457"/>
    </row>
    <row r="268" spans="135:179" x14ac:dyDescent="0.35">
      <c r="EE268" s="451">
        <v>42585</v>
      </c>
      <c r="EF268" s="62">
        <v>214.83</v>
      </c>
      <c r="EG268" s="62">
        <v>2163.790039</v>
      </c>
      <c r="EH268" s="92">
        <f t="shared" si="29"/>
        <v>1.2609941553581343</v>
      </c>
      <c r="EI268" s="92">
        <f t="shared" si="30"/>
        <v>1.1681014245827523</v>
      </c>
      <c r="FU268" s="451">
        <v>42600</v>
      </c>
      <c r="FV268" s="457">
        <v>218.57</v>
      </c>
      <c r="FW268" s="457"/>
    </row>
    <row r="269" spans="135:179" x14ac:dyDescent="0.35">
      <c r="EE269" s="451">
        <v>42584</v>
      </c>
      <c r="EF269" s="62">
        <v>215.78</v>
      </c>
      <c r="EG269" s="62">
        <v>2157.030029</v>
      </c>
      <c r="EH269" s="92">
        <f t="shared" si="29"/>
        <v>1.265396787668821</v>
      </c>
      <c r="EI269" s="92">
        <f t="shared" si="30"/>
        <v>1.1649674811934088</v>
      </c>
      <c r="FU269" s="451">
        <v>42599</v>
      </c>
      <c r="FV269" s="457">
        <v>216.24</v>
      </c>
      <c r="FW269" s="457"/>
    </row>
    <row r="270" spans="135:179" x14ac:dyDescent="0.35">
      <c r="EE270" s="451">
        <v>42583</v>
      </c>
      <c r="EF270" s="62">
        <v>221.38</v>
      </c>
      <c r="EG270" s="62">
        <v>2170.8400879999999</v>
      </c>
      <c r="EH270" s="92">
        <f t="shared" si="29"/>
        <v>1.2906926590212466</v>
      </c>
      <c r="EI270" s="92">
        <f t="shared" si="30"/>
        <v>1.171329100861453</v>
      </c>
      <c r="FU270" s="451">
        <v>42598</v>
      </c>
      <c r="FV270" s="457">
        <v>218.73</v>
      </c>
      <c r="FW270" s="457"/>
    </row>
    <row r="271" spans="135:179" x14ac:dyDescent="0.35">
      <c r="EE271" s="451">
        <v>42580</v>
      </c>
      <c r="EF271" s="62">
        <v>219.32</v>
      </c>
      <c r="EG271" s="62">
        <v>2173.6000979999999</v>
      </c>
      <c r="EH271" s="92">
        <f t="shared" si="29"/>
        <v>1.2812999907739369</v>
      </c>
      <c r="EI271" s="92">
        <f t="shared" si="30"/>
        <v>1.1725988882535954</v>
      </c>
      <c r="FU271" s="451">
        <v>42597</v>
      </c>
      <c r="FV271" s="457">
        <v>220.79</v>
      </c>
      <c r="FW271" s="457"/>
    </row>
    <row r="272" spans="135:179" x14ac:dyDescent="0.35">
      <c r="EE272" s="451">
        <v>42579</v>
      </c>
      <c r="EF272" s="62">
        <v>221.63</v>
      </c>
      <c r="EG272" s="62">
        <v>2170.0600589999999</v>
      </c>
      <c r="EH272" s="92">
        <f t="shared" si="29"/>
        <v>1.2917227674738421</v>
      </c>
      <c r="EI272" s="92">
        <f t="shared" si="30"/>
        <v>1.1709675790253931</v>
      </c>
      <c r="FU272" s="451">
        <v>42594</v>
      </c>
      <c r="FV272" s="457">
        <v>221.24</v>
      </c>
      <c r="FW272" s="457"/>
    </row>
    <row r="273" spans="135:179" x14ac:dyDescent="0.35">
      <c r="EE273" s="451">
        <v>42578</v>
      </c>
      <c r="EF273" s="62">
        <v>214.54</v>
      </c>
      <c r="EG273" s="62">
        <v>2166.580078</v>
      </c>
      <c r="EH273" s="92">
        <f t="shared" si="29"/>
        <v>1.2586753171149345</v>
      </c>
      <c r="EI273" s="92">
        <f t="shared" si="30"/>
        <v>1.1693613697579228</v>
      </c>
      <c r="FU273" s="451">
        <v>42593</v>
      </c>
      <c r="FV273" s="457">
        <v>221.7</v>
      </c>
      <c r="FW273" s="457"/>
    </row>
    <row r="274" spans="135:179" x14ac:dyDescent="0.35">
      <c r="EE274" s="451">
        <v>42577</v>
      </c>
      <c r="EF274" s="62">
        <v>207.61</v>
      </c>
      <c r="EG274" s="62">
        <v>2169.179932</v>
      </c>
      <c r="EH274" s="92">
        <f t="shared" si="29"/>
        <v>1.2252954221195105</v>
      </c>
      <c r="EI274" s="92">
        <f t="shared" si="30"/>
        <v>1.1705599121018044</v>
      </c>
      <c r="FU274" s="451">
        <v>42592</v>
      </c>
      <c r="FV274" s="457">
        <v>219</v>
      </c>
      <c r="FW274" s="457"/>
    </row>
    <row r="275" spans="135:179" x14ac:dyDescent="0.35">
      <c r="EE275" s="451">
        <v>42576</v>
      </c>
      <c r="EF275" s="62">
        <v>216.99</v>
      </c>
      <c r="EG275" s="62">
        <v>2168.4799800000001</v>
      </c>
      <c r="EH275" s="92">
        <f t="shared" si="29"/>
        <v>1.268523220635571</v>
      </c>
      <c r="EI275" s="92">
        <f t="shared" si="30"/>
        <v>1.1702371274754968</v>
      </c>
      <c r="FU275" s="451">
        <v>42591</v>
      </c>
      <c r="FV275" s="457">
        <v>219.2</v>
      </c>
      <c r="FW275" s="457"/>
    </row>
    <row r="276" spans="135:179" x14ac:dyDescent="0.35">
      <c r="EE276" s="451">
        <v>42573</v>
      </c>
      <c r="EF276" s="62">
        <v>215.54</v>
      </c>
      <c r="EG276" s="62">
        <v>2175.030029</v>
      </c>
      <c r="EH276" s="92">
        <f t="shared" si="29"/>
        <v>1.2617959310373525</v>
      </c>
      <c r="EI276" s="92">
        <f t="shared" si="30"/>
        <v>1.173248602679364</v>
      </c>
      <c r="FU276" s="451">
        <v>42590</v>
      </c>
      <c r="FV276" s="457">
        <v>218.23</v>
      </c>
      <c r="FW276" s="457"/>
    </row>
    <row r="277" spans="135:179" x14ac:dyDescent="0.35">
      <c r="EE277" s="451">
        <v>42572</v>
      </c>
      <c r="EF277" s="62">
        <v>209.95</v>
      </c>
      <c r="EG277" s="62">
        <v>2165.169922</v>
      </c>
      <c r="EH277" s="92">
        <f t="shared" si="29"/>
        <v>1.2351705440404486</v>
      </c>
      <c r="EI277" s="92">
        <f t="shared" si="30"/>
        <v>1.1686946381614698</v>
      </c>
      <c r="FU277" s="451">
        <v>42587</v>
      </c>
      <c r="FV277" s="457">
        <v>219.07</v>
      </c>
      <c r="FW277" s="457"/>
    </row>
    <row r="278" spans="135:179" x14ac:dyDescent="0.35">
      <c r="EE278" s="451">
        <v>42571</v>
      </c>
      <c r="EF278" s="62">
        <v>210.04</v>
      </c>
      <c r="EG278" s="62">
        <v>2173.0200199999999</v>
      </c>
      <c r="EH278" s="92">
        <f t="shared" si="29"/>
        <v>1.2355990338519132</v>
      </c>
      <c r="EI278" s="92">
        <f t="shared" si="30"/>
        <v>1.1723071672351779</v>
      </c>
      <c r="FU278" s="451">
        <v>42586</v>
      </c>
      <c r="FV278" s="457">
        <v>214.68</v>
      </c>
      <c r="FW278" s="457"/>
    </row>
    <row r="279" spans="135:179" x14ac:dyDescent="0.35">
      <c r="EE279" s="451">
        <v>42570</v>
      </c>
      <c r="EF279" s="62">
        <v>206.7</v>
      </c>
      <c r="EG279" s="62">
        <v>2163.780029</v>
      </c>
      <c r="EH279" s="92">
        <f t="shared" si="29"/>
        <v>1.2194403497687007</v>
      </c>
      <c r="EI279" s="92">
        <f t="shared" si="30"/>
        <v>1.1680368667073233</v>
      </c>
      <c r="FU279" s="451">
        <v>42585</v>
      </c>
      <c r="FV279" s="457">
        <v>214.83</v>
      </c>
      <c r="FW279" s="457"/>
    </row>
    <row r="280" spans="135:179" x14ac:dyDescent="0.35">
      <c r="EE280" s="451">
        <v>42569</v>
      </c>
      <c r="EF280" s="62">
        <v>208.71</v>
      </c>
      <c r="EG280" s="62">
        <v>2166.889893</v>
      </c>
      <c r="EH280" s="92">
        <f t="shared" si="29"/>
        <v>1.2290709376657829</v>
      </c>
      <c r="EI280" s="92">
        <f t="shared" si="30"/>
        <v>1.1694720406910344</v>
      </c>
      <c r="FU280" s="451">
        <v>42584</v>
      </c>
      <c r="FV280" s="457">
        <v>215.78</v>
      </c>
      <c r="FW280" s="457"/>
    </row>
    <row r="281" spans="135:179" x14ac:dyDescent="0.35">
      <c r="EE281" s="451">
        <v>42566</v>
      </c>
      <c r="EF281" s="62">
        <v>208.59</v>
      </c>
      <c r="EG281" s="62">
        <v>2161.73999</v>
      </c>
      <c r="EH281" s="92">
        <f t="shared" si="29"/>
        <v>1.228495646424592</v>
      </c>
      <c r="EI281" s="92">
        <f t="shared" si="30"/>
        <v>1.1670897453993605</v>
      </c>
      <c r="FU281" s="451">
        <v>42583</v>
      </c>
      <c r="FV281" s="457">
        <v>221.38</v>
      </c>
      <c r="FW281" s="457"/>
    </row>
    <row r="282" spans="135:179" x14ac:dyDescent="0.35">
      <c r="EE282" s="451">
        <v>42565</v>
      </c>
      <c r="EF282" s="62">
        <v>215.32</v>
      </c>
      <c r="EG282" s="62">
        <v>2163.75</v>
      </c>
      <c r="EH282" s="92">
        <f t="shared" si="29"/>
        <v>1.2597514517376145</v>
      </c>
      <c r="EI282" s="92">
        <f t="shared" si="30"/>
        <v>1.1680186928285921</v>
      </c>
      <c r="FU282" s="451">
        <v>42580</v>
      </c>
      <c r="FV282" s="457">
        <v>219.32</v>
      </c>
      <c r="FW282" s="457"/>
    </row>
    <row r="283" spans="135:179" x14ac:dyDescent="0.35">
      <c r="EE283" s="451">
        <v>42564</v>
      </c>
      <c r="EF283" s="62">
        <v>211</v>
      </c>
      <c r="EG283" s="62">
        <v>2152.429932</v>
      </c>
      <c r="EH283" s="92">
        <f t="shared" si="29"/>
        <v>1.2392775180883253</v>
      </c>
      <c r="EI283" s="92">
        <f t="shared" si="30"/>
        <v>1.1627594888788115</v>
      </c>
      <c r="FU283" s="451">
        <v>42579</v>
      </c>
      <c r="FV283" s="457">
        <v>221.63</v>
      </c>
      <c r="FW283" s="457"/>
    </row>
    <row r="284" spans="135:179" x14ac:dyDescent="0.35">
      <c r="EE284" s="451">
        <v>42563</v>
      </c>
      <c r="EF284" s="62">
        <v>212.88</v>
      </c>
      <c r="EG284" s="62">
        <v>2152.139893</v>
      </c>
      <c r="EH284" s="92">
        <f t="shared" si="29"/>
        <v>1.2481087845295129</v>
      </c>
      <c r="EI284" s="92">
        <f t="shared" si="30"/>
        <v>1.1626247211525391</v>
      </c>
      <c r="FU284" s="451">
        <v>42578</v>
      </c>
      <c r="FV284" s="457">
        <v>214.54</v>
      </c>
      <c r="FW284" s="457"/>
    </row>
    <row r="285" spans="135:179" x14ac:dyDescent="0.35">
      <c r="EE285" s="451">
        <v>42562</v>
      </c>
      <c r="EF285" s="62">
        <v>212.33</v>
      </c>
      <c r="EG285" s="62">
        <v>2137.1599120000001</v>
      </c>
      <c r="EH285" s="92">
        <f t="shared" ref="EH285:EH348" si="31">EH286+(EF285-EF286)/EF286</f>
        <v>1.2455184769893632</v>
      </c>
      <c r="EI285" s="92">
        <f t="shared" ref="EI285:EI348" si="32">EI286+(EG285-EG286)/EG286</f>
        <v>1.1556154276898045</v>
      </c>
      <c r="FU285" s="451">
        <v>42577</v>
      </c>
      <c r="FV285" s="457">
        <v>207.61</v>
      </c>
      <c r="FW285" s="457"/>
    </row>
    <row r="286" spans="135:179" x14ac:dyDescent="0.35">
      <c r="EE286" s="451">
        <v>42559</v>
      </c>
      <c r="EF286" s="62">
        <v>210.26</v>
      </c>
      <c r="EG286" s="62">
        <v>2129.8999020000001</v>
      </c>
      <c r="EH286" s="92">
        <f t="shared" si="31"/>
        <v>1.2356735231227218</v>
      </c>
      <c r="EI286" s="92">
        <f t="shared" si="32"/>
        <v>1.1522068121050144</v>
      </c>
      <c r="FU286" s="451">
        <v>42576</v>
      </c>
      <c r="FV286" s="457">
        <v>216.99</v>
      </c>
      <c r="FW286" s="457"/>
    </row>
    <row r="287" spans="135:179" x14ac:dyDescent="0.35">
      <c r="EE287" s="451">
        <v>42558</v>
      </c>
      <c r="EF287" s="62">
        <v>207.42</v>
      </c>
      <c r="EG287" s="62">
        <v>2097.8999020000001</v>
      </c>
      <c r="EH287" s="92">
        <f t="shared" si="31"/>
        <v>1.2219814972814336</v>
      </c>
      <c r="EI287" s="92">
        <f t="shared" si="32"/>
        <v>1.1369534628057969</v>
      </c>
      <c r="FU287" s="451">
        <v>42573</v>
      </c>
      <c r="FV287" s="457">
        <v>215.54</v>
      </c>
      <c r="FW287" s="457"/>
    </row>
    <row r="288" spans="135:179" x14ac:dyDescent="0.35">
      <c r="EE288" s="451">
        <v>42557</v>
      </c>
      <c r="EF288" s="62">
        <v>210.22</v>
      </c>
      <c r="EG288" s="62">
        <v>2099.7299800000001</v>
      </c>
      <c r="EH288" s="92">
        <f t="shared" si="31"/>
        <v>1.2353008769788933</v>
      </c>
      <c r="EI288" s="92">
        <f t="shared" si="32"/>
        <v>1.1378250405883839</v>
      </c>
      <c r="FU288" s="451">
        <v>42572</v>
      </c>
      <c r="FV288" s="457">
        <v>209.95</v>
      </c>
      <c r="FW288" s="457"/>
    </row>
    <row r="289" spans="135:179" x14ac:dyDescent="0.35">
      <c r="EE289" s="451">
        <v>42556</v>
      </c>
      <c r="EF289" s="62">
        <v>208.26</v>
      </c>
      <c r="EG289" s="62">
        <v>2088.5500489999999</v>
      </c>
      <c r="EH289" s="92">
        <f t="shared" si="31"/>
        <v>1.225889564196794</v>
      </c>
      <c r="EI289" s="92">
        <f t="shared" si="32"/>
        <v>1.1324720776534745</v>
      </c>
      <c r="FU289" s="451">
        <v>42571</v>
      </c>
      <c r="FV289" s="457">
        <v>210.04</v>
      </c>
      <c r="FW289" s="457"/>
    </row>
    <row r="290" spans="135:179" x14ac:dyDescent="0.35">
      <c r="EE290" s="451">
        <v>42552</v>
      </c>
      <c r="EF290" s="62">
        <v>207.85</v>
      </c>
      <c r="EG290" s="62">
        <v>2102.9499510000001</v>
      </c>
      <c r="EH290" s="92">
        <f t="shared" si="31"/>
        <v>1.2239169878195988</v>
      </c>
      <c r="EI290" s="92">
        <f t="shared" si="32"/>
        <v>1.1393195549285056</v>
      </c>
      <c r="FU290" s="451">
        <v>42570</v>
      </c>
      <c r="FV290" s="457">
        <v>206.7</v>
      </c>
      <c r="FW290" s="457"/>
    </row>
    <row r="291" spans="135:179" x14ac:dyDescent="0.35">
      <c r="EE291" s="451">
        <v>42551</v>
      </c>
      <c r="EF291" s="62">
        <v>211.94</v>
      </c>
      <c r="EG291" s="62">
        <v>2098.860107</v>
      </c>
      <c r="EH291" s="92">
        <f t="shared" si="31"/>
        <v>1.2432149023237038</v>
      </c>
      <c r="EI291" s="92">
        <f t="shared" si="32"/>
        <v>1.1373709524531144</v>
      </c>
      <c r="FU291" s="451">
        <v>42569</v>
      </c>
      <c r="FV291" s="457">
        <v>208.71</v>
      </c>
      <c r="FW291" s="457"/>
    </row>
    <row r="292" spans="135:179" x14ac:dyDescent="0.35">
      <c r="EE292" s="451">
        <v>42550</v>
      </c>
      <c r="EF292" s="62">
        <v>212.47</v>
      </c>
      <c r="EG292" s="62">
        <v>2070.7700199999999</v>
      </c>
      <c r="EH292" s="92">
        <f t="shared" si="31"/>
        <v>1.245709372131206</v>
      </c>
      <c r="EI292" s="92">
        <f t="shared" si="32"/>
        <v>1.1238059081803564</v>
      </c>
      <c r="FU292" s="451">
        <v>42566</v>
      </c>
      <c r="FV292" s="457">
        <v>208.59</v>
      </c>
      <c r="FW292" s="457"/>
    </row>
    <row r="293" spans="135:179" x14ac:dyDescent="0.35">
      <c r="EE293" s="451">
        <v>42549</v>
      </c>
      <c r="EF293" s="62">
        <v>209.53</v>
      </c>
      <c r="EG293" s="62">
        <v>2036.089966</v>
      </c>
      <c r="EH293" s="92">
        <f t="shared" si="31"/>
        <v>1.2316779685135857</v>
      </c>
      <c r="EI293" s="92">
        <f t="shared" si="32"/>
        <v>1.1067732354698618</v>
      </c>
      <c r="FU293" s="451">
        <v>42565</v>
      </c>
      <c r="FV293" s="457">
        <v>215.32</v>
      </c>
      <c r="FW293" s="457"/>
    </row>
    <row r="294" spans="135:179" x14ac:dyDescent="0.35">
      <c r="EE294" s="451">
        <v>42548</v>
      </c>
      <c r="EF294" s="62">
        <v>207.46</v>
      </c>
      <c r="EG294" s="62">
        <v>2000.540039</v>
      </c>
      <c r="EH294" s="92">
        <f t="shared" si="31"/>
        <v>1.2217001414625879</v>
      </c>
      <c r="EI294" s="92">
        <f t="shared" si="32"/>
        <v>1.0890030702609865</v>
      </c>
      <c r="FU294" s="451">
        <v>42564</v>
      </c>
      <c r="FV294" s="457">
        <v>211</v>
      </c>
      <c r="FW294" s="457"/>
    </row>
    <row r="295" spans="135:179" x14ac:dyDescent="0.35">
      <c r="EE295" s="451">
        <v>42545</v>
      </c>
      <c r="EF295" s="62">
        <v>211.64</v>
      </c>
      <c r="EG295" s="62">
        <v>2037.410034</v>
      </c>
      <c r="EH295" s="92">
        <f t="shared" si="31"/>
        <v>1.2414506612131075</v>
      </c>
      <c r="EI295" s="92">
        <f t="shared" si="32"/>
        <v>1.1070995723811876</v>
      </c>
      <c r="FU295" s="451">
        <v>42563</v>
      </c>
      <c r="FV295" s="457">
        <v>212.88</v>
      </c>
      <c r="FW295" s="457"/>
    </row>
    <row r="296" spans="135:179" x14ac:dyDescent="0.35">
      <c r="EE296" s="451">
        <v>42544</v>
      </c>
      <c r="EF296" s="62">
        <v>213.17</v>
      </c>
      <c r="EG296" s="62">
        <v>2113.320068</v>
      </c>
      <c r="EH296" s="92">
        <f t="shared" si="31"/>
        <v>1.248628031387147</v>
      </c>
      <c r="EI296" s="92">
        <f t="shared" si="32"/>
        <v>1.1430193722967015</v>
      </c>
      <c r="FU296" s="451">
        <v>42562</v>
      </c>
      <c r="FV296" s="457">
        <v>212.33</v>
      </c>
      <c r="FW296" s="457"/>
    </row>
    <row r="297" spans="135:179" x14ac:dyDescent="0.35">
      <c r="EE297" s="451">
        <v>42543</v>
      </c>
      <c r="EF297" s="62">
        <v>212.22</v>
      </c>
      <c r="EG297" s="62">
        <v>2085.4499510000001</v>
      </c>
      <c r="EH297" s="92">
        <f t="shared" si="31"/>
        <v>1.2441515447223652</v>
      </c>
      <c r="EI297" s="92">
        <f t="shared" si="32"/>
        <v>1.1296552937262061</v>
      </c>
      <c r="FU297" s="451">
        <v>42559</v>
      </c>
      <c r="FV297" s="457">
        <v>210.26</v>
      </c>
      <c r="FW297" s="457"/>
    </row>
    <row r="298" spans="135:179" x14ac:dyDescent="0.35">
      <c r="EE298" s="451">
        <v>42542</v>
      </c>
      <c r="EF298" s="62">
        <v>213.56</v>
      </c>
      <c r="EG298" s="62">
        <v>2088.8999020000001</v>
      </c>
      <c r="EH298" s="92">
        <f t="shared" si="31"/>
        <v>1.2504261279776565</v>
      </c>
      <c r="EI298" s="92">
        <f t="shared" si="32"/>
        <v>1.1313068573060105</v>
      </c>
      <c r="FU298" s="451">
        <v>42558</v>
      </c>
      <c r="FV298" s="457">
        <v>207.42</v>
      </c>
      <c r="FW298" s="457"/>
    </row>
    <row r="299" spans="135:179" x14ac:dyDescent="0.35">
      <c r="EE299" s="451">
        <v>42541</v>
      </c>
      <c r="EF299" s="62">
        <v>214.81</v>
      </c>
      <c r="EG299" s="62">
        <v>2083.25</v>
      </c>
      <c r="EH299" s="92">
        <f t="shared" si="31"/>
        <v>1.2562452239229105</v>
      </c>
      <c r="EI299" s="92">
        <f t="shared" si="32"/>
        <v>1.1285947958635527</v>
      </c>
      <c r="FU299" s="451">
        <v>42557</v>
      </c>
      <c r="FV299" s="457">
        <v>210.22</v>
      </c>
      <c r="FW299" s="457"/>
    </row>
    <row r="300" spans="135:179" x14ac:dyDescent="0.35">
      <c r="EE300" s="451">
        <v>42538</v>
      </c>
      <c r="EF300" s="62">
        <v>211.87</v>
      </c>
      <c r="EG300" s="62">
        <v>2071.219971</v>
      </c>
      <c r="EH300" s="92">
        <f t="shared" si="31"/>
        <v>1.2423687902607592</v>
      </c>
      <c r="EI300" s="92">
        <f t="shared" si="32"/>
        <v>1.1227866107511855</v>
      </c>
      <c r="FU300" s="451">
        <v>42556</v>
      </c>
      <c r="FV300" s="457">
        <v>208.26</v>
      </c>
      <c r="FW300" s="457"/>
    </row>
    <row r="301" spans="135:179" x14ac:dyDescent="0.35">
      <c r="EE301" s="451">
        <v>42537</v>
      </c>
      <c r="EF301" s="62">
        <v>212.91</v>
      </c>
      <c r="EG301" s="62">
        <v>2077.98999</v>
      </c>
      <c r="EH301" s="92">
        <f t="shared" si="31"/>
        <v>1.2472534833235556</v>
      </c>
      <c r="EI301" s="92">
        <f t="shared" si="32"/>
        <v>1.1260445759158781</v>
      </c>
      <c r="FU301" s="451">
        <v>42552</v>
      </c>
      <c r="FV301" s="457">
        <v>207.85</v>
      </c>
      <c r="FW301" s="457">
        <f>FX18</f>
        <v>248.33333333333334</v>
      </c>
    </row>
    <row r="302" spans="135:179" x14ac:dyDescent="0.35">
      <c r="EE302" s="451">
        <v>42536</v>
      </c>
      <c r="EF302" s="62">
        <v>214.37</v>
      </c>
      <c r="EG302" s="62">
        <v>2071.5</v>
      </c>
      <c r="EH302" s="92">
        <f t="shared" si="31"/>
        <v>1.2540641377994617</v>
      </c>
      <c r="EI302" s="92">
        <f t="shared" si="32"/>
        <v>1.1229115853293465</v>
      </c>
      <c r="FU302" s="451">
        <v>42551</v>
      </c>
      <c r="FV302" s="457">
        <v>211.94</v>
      </c>
      <c r="FW302" s="457"/>
    </row>
    <row r="303" spans="135:179" x14ac:dyDescent="0.35">
      <c r="EE303" s="451">
        <v>42535</v>
      </c>
      <c r="EF303" s="62">
        <v>215.32</v>
      </c>
      <c r="EG303" s="62">
        <v>2075.320068</v>
      </c>
      <c r="EH303" s="92">
        <f t="shared" si="31"/>
        <v>1.258476175696545</v>
      </c>
      <c r="EI303" s="92">
        <f t="shared" si="32"/>
        <v>1.1247522980265843</v>
      </c>
      <c r="FU303" s="451">
        <v>42550</v>
      </c>
      <c r="FV303" s="457">
        <v>212.47</v>
      </c>
      <c r="FW303" s="457"/>
    </row>
    <row r="304" spans="135:179" x14ac:dyDescent="0.35">
      <c r="EE304" s="451">
        <v>42534</v>
      </c>
      <c r="EF304" s="62">
        <v>211.92</v>
      </c>
      <c r="EG304" s="62">
        <v>2079.0600589999999</v>
      </c>
      <c r="EH304" s="92">
        <f t="shared" si="31"/>
        <v>1.2424323855870698</v>
      </c>
      <c r="EI304" s="92">
        <f t="shared" si="32"/>
        <v>1.1265511835295836</v>
      </c>
      <c r="FU304" s="451">
        <v>42549</v>
      </c>
      <c r="FV304" s="457">
        <v>209.53</v>
      </c>
      <c r="FW304" s="457"/>
    </row>
    <row r="305" spans="135:179" x14ac:dyDescent="0.35">
      <c r="EE305" s="451">
        <v>42531</v>
      </c>
      <c r="EF305" s="62">
        <v>213.23</v>
      </c>
      <c r="EG305" s="62">
        <v>2096.070068</v>
      </c>
      <c r="EH305" s="92">
        <f t="shared" si="31"/>
        <v>1.2485759863937105</v>
      </c>
      <c r="EI305" s="92">
        <f t="shared" si="32"/>
        <v>1.1346663745528638</v>
      </c>
      <c r="FU305" s="451">
        <v>42548</v>
      </c>
      <c r="FV305" s="457">
        <v>207.46</v>
      </c>
      <c r="FW305" s="457"/>
    </row>
    <row r="306" spans="135:179" x14ac:dyDescent="0.35">
      <c r="EE306" s="451">
        <v>42530</v>
      </c>
      <c r="EF306" s="62">
        <v>218.69</v>
      </c>
      <c r="EG306" s="62">
        <v>2115.4799800000001</v>
      </c>
      <c r="EH306" s="92">
        <f t="shared" si="31"/>
        <v>1.2735428344434614</v>
      </c>
      <c r="EI306" s="92">
        <f t="shared" si="32"/>
        <v>1.1438415556859889</v>
      </c>
      <c r="FU306" s="451">
        <v>42545</v>
      </c>
      <c r="FV306" s="457">
        <v>211.64</v>
      </c>
      <c r="FW306" s="457"/>
    </row>
    <row r="307" spans="135:179" x14ac:dyDescent="0.35">
      <c r="EE307" s="451">
        <v>42529</v>
      </c>
      <c r="EF307" s="62">
        <v>218.82</v>
      </c>
      <c r="EG307" s="62">
        <v>2119.1201169999999</v>
      </c>
      <c r="EH307" s="92">
        <f t="shared" si="31"/>
        <v>1.2741369300471539</v>
      </c>
      <c r="EI307" s="92">
        <f t="shared" si="32"/>
        <v>1.1455593143778149</v>
      </c>
      <c r="FU307" s="451">
        <v>42544</v>
      </c>
      <c r="FV307" s="457">
        <v>213.17</v>
      </c>
      <c r="FW307" s="457"/>
    </row>
    <row r="308" spans="135:179" x14ac:dyDescent="0.35">
      <c r="EE308" s="451">
        <v>42528</v>
      </c>
      <c r="EF308" s="62">
        <v>216.49</v>
      </c>
      <c r="EG308" s="62">
        <v>2112.1298830000001</v>
      </c>
      <c r="EH308" s="92">
        <f t="shared" si="31"/>
        <v>1.2633743082170463</v>
      </c>
      <c r="EI308" s="92">
        <f t="shared" si="32"/>
        <v>1.1422497480219471</v>
      </c>
      <c r="FU308" s="451">
        <v>42543</v>
      </c>
      <c r="FV308" s="457">
        <v>212.22</v>
      </c>
      <c r="FW308" s="457"/>
    </row>
    <row r="309" spans="135:179" x14ac:dyDescent="0.35">
      <c r="EE309" s="451">
        <v>42527</v>
      </c>
      <c r="EF309" s="62">
        <v>218.7</v>
      </c>
      <c r="EG309" s="62">
        <v>2109.4099120000001</v>
      </c>
      <c r="EH309" s="92">
        <f t="shared" si="31"/>
        <v>1.2734794751123366</v>
      </c>
      <c r="EI309" s="92">
        <f t="shared" si="32"/>
        <v>1.1409603016300787</v>
      </c>
      <c r="FU309" s="451">
        <v>42542</v>
      </c>
      <c r="FV309" s="457">
        <v>213.56</v>
      </c>
      <c r="FW309" s="457"/>
    </row>
    <row r="310" spans="135:179" x14ac:dyDescent="0.35">
      <c r="EE310" s="451">
        <v>42524</v>
      </c>
      <c r="EF310" s="62">
        <v>218.83</v>
      </c>
      <c r="EG310" s="62">
        <v>2099.1298830000001</v>
      </c>
      <c r="EH310" s="92">
        <f t="shared" si="31"/>
        <v>1.2740735435673018</v>
      </c>
      <c r="EI310" s="92">
        <f t="shared" si="32"/>
        <v>1.13606302057889</v>
      </c>
      <c r="FU310" s="451">
        <v>42541</v>
      </c>
      <c r="FV310" s="457">
        <v>214.81</v>
      </c>
      <c r="FW310" s="457"/>
    </row>
    <row r="311" spans="135:179" x14ac:dyDescent="0.35">
      <c r="EE311" s="451">
        <v>42523</v>
      </c>
      <c r="EF311" s="62">
        <v>221.25</v>
      </c>
      <c r="EG311" s="62">
        <v>2105.26001</v>
      </c>
      <c r="EH311" s="92">
        <f t="shared" si="31"/>
        <v>1.2850113966746464</v>
      </c>
      <c r="EI311" s="92">
        <f t="shared" si="32"/>
        <v>1.1389748352577809</v>
      </c>
      <c r="FU311" s="451">
        <v>42538</v>
      </c>
      <c r="FV311" s="457">
        <v>211.87</v>
      </c>
      <c r="FW311" s="457"/>
    </row>
    <row r="312" spans="135:179" x14ac:dyDescent="0.35">
      <c r="EE312" s="451">
        <v>42522</v>
      </c>
      <c r="EF312" s="62">
        <v>219.43</v>
      </c>
      <c r="EG312" s="62">
        <v>2099.330078</v>
      </c>
      <c r="EH312" s="92">
        <f t="shared" si="31"/>
        <v>1.2767171798401207</v>
      </c>
      <c r="EI312" s="92">
        <f t="shared" si="32"/>
        <v>1.1361501570129717</v>
      </c>
      <c r="FU312" s="451">
        <v>42537</v>
      </c>
      <c r="FV312" s="457">
        <v>212.91</v>
      </c>
      <c r="FW312" s="457"/>
    </row>
    <row r="313" spans="135:179" x14ac:dyDescent="0.35">
      <c r="EE313" s="451">
        <v>42521</v>
      </c>
      <c r="EF313" s="62">
        <v>219.15</v>
      </c>
      <c r="EG313" s="62">
        <v>2096.9499510000001</v>
      </c>
      <c r="EH313" s="92">
        <f t="shared" si="31"/>
        <v>1.2754395161394589</v>
      </c>
      <c r="EI313" s="92">
        <f t="shared" si="32"/>
        <v>1.1350151146630745</v>
      </c>
      <c r="FU313" s="451">
        <v>42536</v>
      </c>
      <c r="FV313" s="457">
        <v>214.37</v>
      </c>
      <c r="FW313" s="457"/>
    </row>
    <row r="314" spans="135:179" x14ac:dyDescent="0.35">
      <c r="EE314" s="451">
        <v>42517</v>
      </c>
      <c r="EF314" s="62">
        <v>218.52</v>
      </c>
      <c r="EG314" s="62">
        <v>2099.0600589999999</v>
      </c>
      <c r="EH314" s="92">
        <f t="shared" si="31"/>
        <v>1.2725564848379762</v>
      </c>
      <c r="EI314" s="92">
        <f t="shared" si="32"/>
        <v>1.1360203779431566</v>
      </c>
      <c r="FU314" s="451">
        <v>42535</v>
      </c>
      <c r="FV314" s="457">
        <v>215.32</v>
      </c>
      <c r="FW314" s="457"/>
    </row>
    <row r="315" spans="135:179" x14ac:dyDescent="0.35">
      <c r="EE315" s="451">
        <v>42516</v>
      </c>
      <c r="EF315" s="62">
        <v>217.49</v>
      </c>
      <c r="EG315" s="62">
        <v>2090.1000979999999</v>
      </c>
      <c r="EH315" s="92">
        <f t="shared" si="31"/>
        <v>1.2678206349138419</v>
      </c>
      <c r="EI315" s="92">
        <f t="shared" si="32"/>
        <v>1.1317335205775338</v>
      </c>
      <c r="FU315" s="451">
        <v>42534</v>
      </c>
      <c r="FV315" s="457">
        <v>211.92</v>
      </c>
      <c r="FW315" s="457"/>
    </row>
    <row r="316" spans="135:179" x14ac:dyDescent="0.35">
      <c r="EE316" s="451">
        <v>42515</v>
      </c>
      <c r="EF316" s="62">
        <v>215.19</v>
      </c>
      <c r="EG316" s="62">
        <v>2090.540039</v>
      </c>
      <c r="EH316" s="92">
        <f t="shared" si="31"/>
        <v>1.2571324059069178</v>
      </c>
      <c r="EI316" s="92">
        <f t="shared" si="32"/>
        <v>1.1319439642867155</v>
      </c>
      <c r="FU316" s="451">
        <v>42531</v>
      </c>
      <c r="FV316" s="457">
        <v>213.23</v>
      </c>
      <c r="FW316" s="457"/>
    </row>
    <row r="317" spans="135:179" x14ac:dyDescent="0.35">
      <c r="EE317" s="451">
        <v>42514</v>
      </c>
      <c r="EF317" s="62">
        <v>214.49</v>
      </c>
      <c r="EG317" s="62">
        <v>2076.0600589999999</v>
      </c>
      <c r="EH317" s="92">
        <f t="shared" si="31"/>
        <v>1.2538688504964093</v>
      </c>
      <c r="EI317" s="92">
        <f t="shared" si="32"/>
        <v>1.1249692238704991</v>
      </c>
      <c r="FU317" s="451">
        <v>42530</v>
      </c>
      <c r="FV317" s="457">
        <v>218.69</v>
      </c>
      <c r="FW317" s="457"/>
    </row>
    <row r="318" spans="135:179" x14ac:dyDescent="0.35">
      <c r="EE318" s="451">
        <v>42513</v>
      </c>
      <c r="EF318" s="62">
        <v>212.13</v>
      </c>
      <c r="EG318" s="62">
        <v>2048.040039</v>
      </c>
      <c r="EH318" s="92">
        <f t="shared" si="31"/>
        <v>1.2427435971140492</v>
      </c>
      <c r="EI318" s="92">
        <f t="shared" si="32"/>
        <v>1.1112878409549183</v>
      </c>
      <c r="FU318" s="451">
        <v>42529</v>
      </c>
      <c r="FV318" s="457">
        <v>218.82</v>
      </c>
      <c r="FW318" s="457"/>
    </row>
    <row r="319" spans="135:179" x14ac:dyDescent="0.35">
      <c r="EE319" s="451">
        <v>42510</v>
      </c>
      <c r="EF319" s="62">
        <v>211.13</v>
      </c>
      <c r="EG319" s="62">
        <v>2052.320068</v>
      </c>
      <c r="EH319" s="92">
        <f t="shared" si="31"/>
        <v>1.2380071787935831</v>
      </c>
      <c r="EI319" s="92">
        <f t="shared" si="32"/>
        <v>1.1133732997811192</v>
      </c>
      <c r="FU319" s="451">
        <v>42528</v>
      </c>
      <c r="FV319" s="457">
        <v>216.49</v>
      </c>
      <c r="FW319" s="457"/>
    </row>
    <row r="320" spans="135:179" x14ac:dyDescent="0.35">
      <c r="EE320" s="451">
        <v>42509</v>
      </c>
      <c r="EF320" s="62">
        <v>207.18</v>
      </c>
      <c r="EG320" s="62">
        <v>2040.040039</v>
      </c>
      <c r="EH320" s="92">
        <f t="shared" si="31"/>
        <v>1.218941631926125</v>
      </c>
      <c r="EI320" s="92">
        <f t="shared" si="32"/>
        <v>1.1073537958668629</v>
      </c>
      <c r="FU320" s="451">
        <v>42527</v>
      </c>
      <c r="FV320" s="457">
        <v>218.7</v>
      </c>
      <c r="FW320" s="457"/>
    </row>
    <row r="321" spans="135:179" x14ac:dyDescent="0.35">
      <c r="EE321" s="451">
        <v>42508</v>
      </c>
      <c r="EF321" s="62">
        <v>206.65</v>
      </c>
      <c r="EG321" s="62">
        <v>2047.630005</v>
      </c>
      <c r="EH321" s="92">
        <f t="shared" si="31"/>
        <v>1.2163769089645959</v>
      </c>
      <c r="EI321" s="92">
        <f t="shared" si="32"/>
        <v>1.1110605036126306</v>
      </c>
      <c r="FU321" s="451">
        <v>42524</v>
      </c>
      <c r="FV321" s="457">
        <v>218.83</v>
      </c>
      <c r="FW321" s="457"/>
    </row>
    <row r="322" spans="135:179" x14ac:dyDescent="0.35">
      <c r="EE322" s="451">
        <v>42507</v>
      </c>
      <c r="EF322" s="62">
        <v>207.67</v>
      </c>
      <c r="EG322" s="62">
        <v>2047.209961</v>
      </c>
      <c r="EH322" s="92">
        <f t="shared" si="31"/>
        <v>1.2212885476220814</v>
      </c>
      <c r="EI322" s="92">
        <f t="shared" si="32"/>
        <v>1.1108553248532449</v>
      </c>
      <c r="FU322" s="451">
        <v>42523</v>
      </c>
      <c r="FV322" s="457">
        <v>221.25</v>
      </c>
      <c r="FW322" s="457"/>
    </row>
    <row r="323" spans="135:179" x14ac:dyDescent="0.35">
      <c r="EE323" s="451">
        <v>42506</v>
      </c>
      <c r="EF323" s="62">
        <v>212.01</v>
      </c>
      <c r="EG323" s="62">
        <v>2066.6599120000001</v>
      </c>
      <c r="EH323" s="92">
        <f t="shared" si="31"/>
        <v>1.2417592801346988</v>
      </c>
      <c r="EI323" s="92">
        <f t="shared" si="32"/>
        <v>1.120266622225911</v>
      </c>
      <c r="FU323" s="451">
        <v>42522</v>
      </c>
      <c r="FV323" s="457">
        <v>219.43</v>
      </c>
      <c r="FW323" s="457"/>
    </row>
    <row r="324" spans="135:179" x14ac:dyDescent="0.35">
      <c r="EE324" s="451">
        <v>42503</v>
      </c>
      <c r="EF324" s="62">
        <v>210.13</v>
      </c>
      <c r="EG324" s="62">
        <v>2046.6099850000001</v>
      </c>
      <c r="EH324" s="92">
        <f t="shared" si="31"/>
        <v>1.2328124377038228</v>
      </c>
      <c r="EI324" s="92">
        <f t="shared" si="32"/>
        <v>1.110469969640929</v>
      </c>
      <c r="FU324" s="451">
        <v>42521</v>
      </c>
      <c r="FV324" s="457">
        <v>219.15</v>
      </c>
      <c r="FW324" s="457"/>
    </row>
    <row r="325" spans="135:179" x14ac:dyDescent="0.35">
      <c r="EE325" s="451">
        <v>42502</v>
      </c>
      <c r="EF325" s="62">
        <v>210.74</v>
      </c>
      <c r="EG325" s="62">
        <v>2064.110107</v>
      </c>
      <c r="EH325" s="92">
        <f t="shared" si="31"/>
        <v>1.2357069997233729</v>
      </c>
      <c r="EI325" s="92">
        <f t="shared" si="32"/>
        <v>1.1189482586336779</v>
      </c>
      <c r="FU325" s="451">
        <v>42517</v>
      </c>
      <c r="FV325" s="457">
        <v>218.52</v>
      </c>
      <c r="FW325" s="457"/>
    </row>
    <row r="326" spans="135:179" x14ac:dyDescent="0.35">
      <c r="EE326" s="451">
        <v>42501</v>
      </c>
      <c r="EF326" s="62">
        <v>210.66</v>
      </c>
      <c r="EG326" s="62">
        <v>2064.459961</v>
      </c>
      <c r="EH326" s="92">
        <f t="shared" si="31"/>
        <v>1.2353272408702447</v>
      </c>
      <c r="EI326" s="92">
        <f t="shared" si="32"/>
        <v>1.1191177237754628</v>
      </c>
      <c r="FU326" s="451">
        <v>42516</v>
      </c>
      <c r="FV326" s="457">
        <v>217.49</v>
      </c>
      <c r="FW326" s="457"/>
    </row>
    <row r="327" spans="135:179" x14ac:dyDescent="0.35">
      <c r="EE327" s="451">
        <v>42500</v>
      </c>
      <c r="EF327" s="62">
        <v>215.02</v>
      </c>
      <c r="EG327" s="62">
        <v>2084.389893</v>
      </c>
      <c r="EH327" s="92">
        <f t="shared" si="31"/>
        <v>1.2556044243880571</v>
      </c>
      <c r="EI327" s="92">
        <f t="shared" si="32"/>
        <v>1.1286792420244864</v>
      </c>
      <c r="FU327" s="451">
        <v>42515</v>
      </c>
      <c r="FV327" s="457">
        <v>215.19</v>
      </c>
      <c r="FW327" s="457"/>
    </row>
    <row r="328" spans="135:179" x14ac:dyDescent="0.35">
      <c r="EE328" s="451">
        <v>42499</v>
      </c>
      <c r="EF328" s="62">
        <v>217.33</v>
      </c>
      <c r="EG328" s="62">
        <v>2058.6899410000001</v>
      </c>
      <c r="EH328" s="92">
        <f t="shared" si="31"/>
        <v>1.2662334217653175</v>
      </c>
      <c r="EI328" s="92">
        <f t="shared" si="32"/>
        <v>1.1161955981846976</v>
      </c>
      <c r="FU328" s="451">
        <v>42514</v>
      </c>
      <c r="FV328" s="457">
        <v>214.49</v>
      </c>
      <c r="FW328" s="457"/>
    </row>
    <row r="329" spans="135:179" x14ac:dyDescent="0.35">
      <c r="EE329" s="451">
        <v>42496</v>
      </c>
      <c r="EF329" s="62">
        <v>210.63</v>
      </c>
      <c r="EG329" s="62">
        <v>2057.139893</v>
      </c>
      <c r="EH329" s="92">
        <f t="shared" si="31"/>
        <v>1.2344240878622648</v>
      </c>
      <c r="EI329" s="92">
        <f t="shared" si="32"/>
        <v>1.1154421015434266</v>
      </c>
      <c r="FU329" s="451">
        <v>42513</v>
      </c>
      <c r="FV329" s="457">
        <v>212.13</v>
      </c>
      <c r="FW329" s="457"/>
    </row>
    <row r="330" spans="135:179" x14ac:dyDescent="0.35">
      <c r="EE330" s="451">
        <v>42495</v>
      </c>
      <c r="EF330" s="62">
        <v>213.46</v>
      </c>
      <c r="EG330" s="62">
        <v>2050.6298830000001</v>
      </c>
      <c r="EH330" s="92">
        <f t="shared" si="31"/>
        <v>1.2476818410712969</v>
      </c>
      <c r="EI330" s="92">
        <f t="shared" si="32"/>
        <v>1.1122674623489193</v>
      </c>
      <c r="FU330" s="451">
        <v>42510</v>
      </c>
      <c r="FV330" s="457">
        <v>211.13</v>
      </c>
      <c r="FW330" s="457"/>
    </row>
    <row r="331" spans="135:179" x14ac:dyDescent="0.35">
      <c r="EE331" s="451">
        <v>42494</v>
      </c>
      <c r="EF331" s="62">
        <v>214.13</v>
      </c>
      <c r="EG331" s="62">
        <v>2051.1201169999999</v>
      </c>
      <c r="EH331" s="92">
        <f t="shared" si="31"/>
        <v>1.2508107814346274</v>
      </c>
      <c r="EI331" s="92">
        <f t="shared" si="32"/>
        <v>1.1125064702919143</v>
      </c>
      <c r="FU331" s="451">
        <v>42509</v>
      </c>
      <c r="FV331" s="457">
        <v>207.18</v>
      </c>
      <c r="FW331" s="457"/>
    </row>
    <row r="332" spans="135:179" x14ac:dyDescent="0.35">
      <c r="EE332" s="451">
        <v>42493</v>
      </c>
      <c r="EF332" s="62">
        <v>211.81</v>
      </c>
      <c r="EG332" s="62">
        <v>2063.3701169999999</v>
      </c>
      <c r="EH332" s="92">
        <f t="shared" si="31"/>
        <v>1.2398575686495843</v>
      </c>
      <c r="EI332" s="92">
        <f t="shared" si="32"/>
        <v>1.1184433596066683</v>
      </c>
      <c r="FU332" s="451">
        <v>42508</v>
      </c>
      <c r="FV332" s="457">
        <v>206.65</v>
      </c>
      <c r="FW332" s="457"/>
    </row>
    <row r="333" spans="135:179" x14ac:dyDescent="0.35">
      <c r="EE333" s="451">
        <v>42492</v>
      </c>
      <c r="EF333" s="62">
        <v>214.58</v>
      </c>
      <c r="EG333" s="62">
        <v>2081.429932</v>
      </c>
      <c r="EH333" s="92">
        <f t="shared" si="31"/>
        <v>1.2527665070408602</v>
      </c>
      <c r="EI333" s="92">
        <f t="shared" si="32"/>
        <v>1.127119998066771</v>
      </c>
      <c r="FU333" s="451">
        <v>42507</v>
      </c>
      <c r="FV333" s="457">
        <v>207.67</v>
      </c>
      <c r="FW333" s="457"/>
    </row>
    <row r="334" spans="135:179" x14ac:dyDescent="0.35">
      <c r="EE334" s="451">
        <v>42489</v>
      </c>
      <c r="EF334" s="62">
        <v>214.49</v>
      </c>
      <c r="EG334" s="62">
        <v>2065.3000489999999</v>
      </c>
      <c r="EH334" s="92">
        <f t="shared" si="31"/>
        <v>1.252346907059509</v>
      </c>
      <c r="EI334" s="92">
        <f t="shared" si="32"/>
        <v>1.1193100515130923</v>
      </c>
      <c r="FU334" s="451">
        <v>42506</v>
      </c>
      <c r="FV334" s="457">
        <v>212.01</v>
      </c>
      <c r="FW334" s="457"/>
    </row>
    <row r="335" spans="135:179" x14ac:dyDescent="0.35">
      <c r="EE335" s="451">
        <v>42488</v>
      </c>
      <c r="EF335" s="62">
        <v>212.58</v>
      </c>
      <c r="EG335" s="62">
        <v>2075.8100589999999</v>
      </c>
      <c r="EH335" s="92">
        <f t="shared" si="31"/>
        <v>1.2433620542981956</v>
      </c>
      <c r="EI335" s="92">
        <f t="shared" si="32"/>
        <v>1.1243731399948309</v>
      </c>
      <c r="FU335" s="451">
        <v>42503</v>
      </c>
      <c r="FV335" s="457">
        <v>210.13</v>
      </c>
      <c r="FW335" s="457"/>
    </row>
    <row r="336" spans="135:179" x14ac:dyDescent="0.35">
      <c r="EE336" s="451">
        <v>42487</v>
      </c>
      <c r="EF336" s="62">
        <v>213.27</v>
      </c>
      <c r="EG336" s="62">
        <v>2095.1499020000001</v>
      </c>
      <c r="EH336" s="92">
        <f t="shared" si="31"/>
        <v>1.2465973897884193</v>
      </c>
      <c r="EI336" s="92">
        <f t="shared" si="32"/>
        <v>1.1336039081520586</v>
      </c>
      <c r="FU336" s="451">
        <v>42502</v>
      </c>
      <c r="FV336" s="457">
        <v>210.74</v>
      </c>
      <c r="FW336" s="457"/>
    </row>
    <row r="337" spans="135:179" x14ac:dyDescent="0.35">
      <c r="EE337" s="451">
        <v>42486</v>
      </c>
      <c r="EF337" s="62">
        <v>212.47</v>
      </c>
      <c r="EG337" s="62">
        <v>2091.6999510000001</v>
      </c>
      <c r="EH337" s="92">
        <f t="shared" si="31"/>
        <v>1.2428321523431329</v>
      </c>
      <c r="EI337" s="92">
        <f t="shared" si="32"/>
        <v>1.1319545554337824</v>
      </c>
      <c r="FU337" s="451">
        <v>42501</v>
      </c>
      <c r="FV337" s="457">
        <v>210.66</v>
      </c>
      <c r="FW337" s="457"/>
    </row>
    <row r="338" spans="135:179" x14ac:dyDescent="0.35">
      <c r="EE338" s="451">
        <v>42485</v>
      </c>
      <c r="EF338" s="62">
        <v>215.7</v>
      </c>
      <c r="EG338" s="62">
        <v>2087.790039</v>
      </c>
      <c r="EH338" s="92">
        <f t="shared" si="31"/>
        <v>1.2578066539657569</v>
      </c>
      <c r="EI338" s="92">
        <f t="shared" si="32"/>
        <v>1.1300818038989238</v>
      </c>
      <c r="FU338" s="451">
        <v>42500</v>
      </c>
      <c r="FV338" s="457">
        <v>215.02</v>
      </c>
      <c r="FW338" s="457"/>
    </row>
    <row r="339" spans="135:179" x14ac:dyDescent="0.35">
      <c r="EE339" s="451">
        <v>42482</v>
      </c>
      <c r="EF339" s="62">
        <v>215</v>
      </c>
      <c r="EG339" s="62">
        <v>2091.580078</v>
      </c>
      <c r="EH339" s="92">
        <f t="shared" si="31"/>
        <v>1.2545508400122685</v>
      </c>
      <c r="EI339" s="92">
        <f t="shared" si="32"/>
        <v>1.1318938497487887</v>
      </c>
      <c r="FU339" s="451">
        <v>42499</v>
      </c>
      <c r="FV339" s="457">
        <v>217.33</v>
      </c>
      <c r="FW339" s="457"/>
    </row>
    <row r="340" spans="135:179" x14ac:dyDescent="0.35">
      <c r="EE340" s="451">
        <v>42481</v>
      </c>
      <c r="EF340" s="62">
        <v>216.65</v>
      </c>
      <c r="EG340" s="62">
        <v>2091.4799800000001</v>
      </c>
      <c r="EH340" s="92">
        <f t="shared" si="31"/>
        <v>1.2621668104715347</v>
      </c>
      <c r="EI340" s="92">
        <f t="shared" si="32"/>
        <v>1.1318459898596398</v>
      </c>
      <c r="FU340" s="451">
        <v>42496</v>
      </c>
      <c r="FV340" s="457">
        <v>210.63</v>
      </c>
      <c r="FW340" s="457"/>
    </row>
    <row r="341" spans="135:179" x14ac:dyDescent="0.35">
      <c r="EE341" s="451">
        <v>42480</v>
      </c>
      <c r="EF341" s="62">
        <v>216.62</v>
      </c>
      <c r="EG341" s="62">
        <v>2102.3999020000001</v>
      </c>
      <c r="EH341" s="92">
        <f t="shared" si="31"/>
        <v>1.2620283191041632</v>
      </c>
      <c r="EI341" s="92">
        <f t="shared" si="32"/>
        <v>1.1370400169282351</v>
      </c>
      <c r="FU341" s="451">
        <v>42495</v>
      </c>
      <c r="FV341" s="457">
        <v>213.46</v>
      </c>
      <c r="FW341" s="457"/>
    </row>
    <row r="342" spans="135:179" x14ac:dyDescent="0.35">
      <c r="EE342" s="451">
        <v>42479</v>
      </c>
      <c r="EF342" s="62">
        <v>217.25</v>
      </c>
      <c r="EG342" s="62">
        <v>2100.8000489999999</v>
      </c>
      <c r="EH342" s="92">
        <f t="shared" si="31"/>
        <v>1.2649282040293646</v>
      </c>
      <c r="EI342" s="92">
        <f t="shared" si="32"/>
        <v>1.1362784722963404</v>
      </c>
      <c r="FU342" s="451">
        <v>42494</v>
      </c>
      <c r="FV342" s="457">
        <v>214.13</v>
      </c>
      <c r="FW342" s="457"/>
    </row>
    <row r="343" spans="135:179" x14ac:dyDescent="0.35">
      <c r="EE343" s="451">
        <v>42478</v>
      </c>
      <c r="EF343" s="62">
        <v>211.36</v>
      </c>
      <c r="EG343" s="62">
        <v>2094.3400879999999</v>
      </c>
      <c r="EH343" s="92">
        <f t="shared" si="31"/>
        <v>1.2370610579279264</v>
      </c>
      <c r="EI343" s="92">
        <f t="shared" si="32"/>
        <v>1.1331939870988246</v>
      </c>
      <c r="FU343" s="451">
        <v>42493</v>
      </c>
      <c r="FV343" s="457">
        <v>211.81</v>
      </c>
      <c r="FW343" s="457"/>
    </row>
    <row r="344" spans="135:179" x14ac:dyDescent="0.35">
      <c r="EE344" s="451">
        <v>42475</v>
      </c>
      <c r="EF344" s="62">
        <v>210.11</v>
      </c>
      <c r="EG344" s="62">
        <v>2080.7299800000001</v>
      </c>
      <c r="EH344" s="92">
        <f t="shared" si="31"/>
        <v>1.2311117932570397</v>
      </c>
      <c r="EI344" s="92">
        <f t="shared" si="32"/>
        <v>1.1266529615304806</v>
      </c>
      <c r="FU344" s="451">
        <v>42492</v>
      </c>
      <c r="FV344" s="457">
        <v>214.58</v>
      </c>
      <c r="FW344" s="457"/>
    </row>
    <row r="345" spans="135:179" x14ac:dyDescent="0.35">
      <c r="EE345" s="451">
        <v>42474</v>
      </c>
      <c r="EF345" s="62">
        <v>206</v>
      </c>
      <c r="EG345" s="62">
        <v>2082.780029</v>
      </c>
      <c r="EH345" s="92">
        <f t="shared" si="31"/>
        <v>1.2111603369463599</v>
      </c>
      <c r="EI345" s="92">
        <f t="shared" si="32"/>
        <v>1.1276372464628572</v>
      </c>
      <c r="FU345" s="451">
        <v>42489</v>
      </c>
      <c r="FV345" s="457">
        <v>214.49</v>
      </c>
      <c r="FW345" s="457"/>
    </row>
    <row r="346" spans="135:179" x14ac:dyDescent="0.35">
      <c r="EE346" s="451">
        <v>42473</v>
      </c>
      <c r="EF346" s="62">
        <v>208.62</v>
      </c>
      <c r="EG346" s="62">
        <v>2082.419922</v>
      </c>
      <c r="EH346" s="92">
        <f t="shared" si="31"/>
        <v>1.2237190561487374</v>
      </c>
      <c r="EI346" s="92">
        <f t="shared" si="32"/>
        <v>1.1274643192851082</v>
      </c>
      <c r="FU346" s="451">
        <v>42488</v>
      </c>
      <c r="FV346" s="457">
        <v>212.58</v>
      </c>
      <c r="FW346" s="457"/>
    </row>
    <row r="347" spans="135:179" x14ac:dyDescent="0.35">
      <c r="EE347" s="451">
        <v>42472</v>
      </c>
      <c r="EF347" s="62">
        <v>206.27</v>
      </c>
      <c r="EG347" s="62">
        <v>2061.719971</v>
      </c>
      <c r="EH347" s="92">
        <f t="shared" si="31"/>
        <v>1.2123262215145201</v>
      </c>
      <c r="EI347" s="92">
        <f t="shared" si="32"/>
        <v>1.1174241822678779</v>
      </c>
      <c r="FU347" s="451">
        <v>42487</v>
      </c>
      <c r="FV347" s="457">
        <v>213.27</v>
      </c>
      <c r="FW347" s="457"/>
    </row>
    <row r="348" spans="135:179" x14ac:dyDescent="0.35">
      <c r="EE348" s="451">
        <v>42471</v>
      </c>
      <c r="EF348" s="62">
        <v>207.39</v>
      </c>
      <c r="EG348" s="62">
        <v>2041.98999</v>
      </c>
      <c r="EH348" s="92">
        <f t="shared" si="31"/>
        <v>1.2177266747668465</v>
      </c>
      <c r="EI348" s="92">
        <f t="shared" si="32"/>
        <v>1.1077620482238222</v>
      </c>
      <c r="FU348" s="451">
        <v>42486</v>
      </c>
      <c r="FV348" s="457">
        <v>212.47</v>
      </c>
      <c r="FW348" s="457"/>
    </row>
    <row r="349" spans="135:179" x14ac:dyDescent="0.35">
      <c r="EE349" s="451">
        <v>42468</v>
      </c>
      <c r="EF349" s="62">
        <v>209.64</v>
      </c>
      <c r="EG349" s="62">
        <v>2047.599976</v>
      </c>
      <c r="EH349" s="92">
        <f t="shared" ref="EH349:EH412" si="33">EH350+(EF349-EF350)/EF350</f>
        <v>1.2284593593690216</v>
      </c>
      <c r="EI349" s="92">
        <f t="shared" ref="EI349:EI412" si="34">EI350+(EG349-EG350)/EG350</f>
        <v>1.1105018343469686</v>
      </c>
      <c r="FU349" s="451">
        <v>42485</v>
      </c>
      <c r="FV349" s="457">
        <v>215.7</v>
      </c>
      <c r="FW349" s="457"/>
    </row>
    <row r="350" spans="135:179" x14ac:dyDescent="0.35">
      <c r="EE350" s="451">
        <v>42467</v>
      </c>
      <c r="EF350" s="62">
        <v>210.3</v>
      </c>
      <c r="EG350" s="62">
        <v>2041.910034</v>
      </c>
      <c r="EH350" s="92">
        <f t="shared" si="33"/>
        <v>1.231597733120805</v>
      </c>
      <c r="EI350" s="92">
        <f t="shared" si="34"/>
        <v>1.1077152561406538</v>
      </c>
      <c r="FU350" s="451">
        <v>42482</v>
      </c>
      <c r="FV350" s="457">
        <v>215</v>
      </c>
      <c r="FW350" s="457"/>
    </row>
    <row r="351" spans="135:179" x14ac:dyDescent="0.35">
      <c r="EE351" s="451">
        <v>42466</v>
      </c>
      <c r="EF351" s="62">
        <v>211.11</v>
      </c>
      <c r="EG351" s="62">
        <v>2066.6599120000001</v>
      </c>
      <c r="EH351" s="92">
        <f t="shared" si="33"/>
        <v>1.2354345954200803</v>
      </c>
      <c r="EI351" s="92">
        <f t="shared" si="34"/>
        <v>1.119691042701515</v>
      </c>
      <c r="FU351" s="451">
        <v>42481</v>
      </c>
      <c r="FV351" s="457">
        <v>216.65</v>
      </c>
      <c r="FW351" s="457"/>
    </row>
    <row r="352" spans="135:179" x14ac:dyDescent="0.35">
      <c r="EE352" s="451">
        <v>42465</v>
      </c>
      <c r="EF352" s="62">
        <v>208.08</v>
      </c>
      <c r="EG352" s="62">
        <v>2045.170044</v>
      </c>
      <c r="EH352" s="92">
        <f t="shared" si="33"/>
        <v>1.2208728883843247</v>
      </c>
      <c r="EI352" s="92">
        <f t="shared" si="34"/>
        <v>1.1091834235120761</v>
      </c>
      <c r="FU352" s="451">
        <v>42480</v>
      </c>
      <c r="FV352" s="457">
        <v>216.62</v>
      </c>
      <c r="FW352" s="457"/>
    </row>
    <row r="353" spans="135:179" x14ac:dyDescent="0.35">
      <c r="EE353" s="451">
        <v>42464</v>
      </c>
      <c r="EF353" s="62">
        <v>211.02</v>
      </c>
      <c r="EG353" s="62">
        <v>2066.1298830000001</v>
      </c>
      <c r="EH353" s="92">
        <f t="shared" si="33"/>
        <v>1.2348052170735484</v>
      </c>
      <c r="EI353" s="92">
        <f t="shared" si="34"/>
        <v>1.1193279159626508</v>
      </c>
      <c r="FU353" s="451">
        <v>42479</v>
      </c>
      <c r="FV353" s="457">
        <v>217.25</v>
      </c>
      <c r="FW353" s="457"/>
    </row>
    <row r="354" spans="135:179" x14ac:dyDescent="0.35">
      <c r="EE354" s="451">
        <v>42461</v>
      </c>
      <c r="EF354" s="62">
        <v>212.93</v>
      </c>
      <c r="EG354" s="62">
        <v>2072.780029</v>
      </c>
      <c r="EH354" s="92">
        <f t="shared" si="33"/>
        <v>1.243775301138734</v>
      </c>
      <c r="EI354" s="92">
        <f t="shared" si="34"/>
        <v>1.1225362380744806</v>
      </c>
      <c r="FU354" s="451">
        <v>42478</v>
      </c>
      <c r="FV354" s="457">
        <v>211.36</v>
      </c>
      <c r="FW354" s="457"/>
    </row>
    <row r="355" spans="135:179" x14ac:dyDescent="0.35">
      <c r="EE355" s="451">
        <v>42460</v>
      </c>
      <c r="EF355" s="62">
        <v>204.83</v>
      </c>
      <c r="EG355" s="62">
        <v>2059.73999</v>
      </c>
      <c r="EH355" s="92">
        <f t="shared" si="33"/>
        <v>1.2042303126116629</v>
      </c>
      <c r="EI355" s="92">
        <f t="shared" si="34"/>
        <v>1.1162053229767939</v>
      </c>
      <c r="FU355" s="451">
        <v>42475</v>
      </c>
      <c r="FV355" s="457">
        <v>210.11</v>
      </c>
      <c r="FW355" s="457"/>
    </row>
    <row r="356" spans="135:179" x14ac:dyDescent="0.35">
      <c r="EE356" s="451">
        <v>42459</v>
      </c>
      <c r="EF356" s="62">
        <v>207.13</v>
      </c>
      <c r="EG356" s="62">
        <v>2063.9499510000001</v>
      </c>
      <c r="EH356" s="92">
        <f t="shared" si="33"/>
        <v>1.2153344501098524</v>
      </c>
      <c r="EI356" s="92">
        <f t="shared" si="34"/>
        <v>1.1182450822248127</v>
      </c>
      <c r="FU356" s="451">
        <v>42474</v>
      </c>
      <c r="FV356" s="457">
        <v>206</v>
      </c>
      <c r="FW356" s="457"/>
    </row>
    <row r="357" spans="135:179" x14ac:dyDescent="0.35">
      <c r="EE357" s="451">
        <v>42458</v>
      </c>
      <c r="EF357" s="62">
        <v>207.73</v>
      </c>
      <c r="EG357" s="62">
        <v>2055.01001</v>
      </c>
      <c r="EH357" s="92">
        <f t="shared" si="33"/>
        <v>1.2182228148140357</v>
      </c>
      <c r="EI357" s="92">
        <f t="shared" si="34"/>
        <v>1.1138947671623571</v>
      </c>
      <c r="FU357" s="451">
        <v>42473</v>
      </c>
      <c r="FV357" s="457">
        <v>208.62</v>
      </c>
      <c r="FW357" s="457"/>
    </row>
    <row r="358" spans="135:179" x14ac:dyDescent="0.35">
      <c r="EE358" s="451">
        <v>42457</v>
      </c>
      <c r="EF358" s="62">
        <v>205.79</v>
      </c>
      <c r="EG358" s="62">
        <v>2037.0500489999999</v>
      </c>
      <c r="EH358" s="92">
        <f t="shared" si="33"/>
        <v>1.2087957289498052</v>
      </c>
      <c r="EI358" s="92">
        <f t="shared" si="34"/>
        <v>1.1050781153531311</v>
      </c>
      <c r="FU358" s="451">
        <v>42472</v>
      </c>
      <c r="FV358" s="457">
        <v>206.27</v>
      </c>
      <c r="FW358" s="457"/>
    </row>
    <row r="359" spans="135:179" x14ac:dyDescent="0.35">
      <c r="EE359" s="451">
        <v>42453</v>
      </c>
      <c r="EF359" s="62">
        <v>204.6</v>
      </c>
      <c r="EG359" s="62">
        <v>2035.9399410000001</v>
      </c>
      <c r="EH359" s="92">
        <f t="shared" si="33"/>
        <v>1.2029795021658365</v>
      </c>
      <c r="EI359" s="92">
        <f t="shared" si="34"/>
        <v>1.1045328595832311</v>
      </c>
      <c r="FU359" s="451">
        <v>42471</v>
      </c>
      <c r="FV359" s="457">
        <v>207.39</v>
      </c>
      <c r="FW359" s="457"/>
    </row>
    <row r="360" spans="135:179" x14ac:dyDescent="0.35">
      <c r="EE360" s="451">
        <v>42452</v>
      </c>
      <c r="EF360" s="62">
        <v>206.16</v>
      </c>
      <c r="EG360" s="62">
        <v>2036.709961</v>
      </c>
      <c r="EH360" s="92">
        <f t="shared" si="33"/>
        <v>1.2105464404661856</v>
      </c>
      <c r="EI360" s="92">
        <f t="shared" si="34"/>
        <v>1.1049109301061553</v>
      </c>
      <c r="FU360" s="451">
        <v>42468</v>
      </c>
      <c r="FV360" s="457">
        <v>209.64</v>
      </c>
      <c r="FW360" s="457"/>
    </row>
    <row r="361" spans="135:179" x14ac:dyDescent="0.35">
      <c r="EE361" s="451">
        <v>42451</v>
      </c>
      <c r="EF361" s="62">
        <v>204.43</v>
      </c>
      <c r="EG361" s="62">
        <v>2049.8000489999999</v>
      </c>
      <c r="EH361" s="92">
        <f t="shared" si="33"/>
        <v>1.2020838860465799</v>
      </c>
      <c r="EI361" s="92">
        <f t="shared" si="34"/>
        <v>1.1112969617614799</v>
      </c>
      <c r="FU361" s="451">
        <v>42467</v>
      </c>
      <c r="FV361" s="457">
        <v>210.3</v>
      </c>
      <c r="FW361" s="457"/>
    </row>
    <row r="362" spans="135:179" x14ac:dyDescent="0.35">
      <c r="EE362" s="451">
        <v>42450</v>
      </c>
      <c r="EF362" s="62">
        <v>208.32</v>
      </c>
      <c r="EG362" s="62">
        <v>2051.6000979999999</v>
      </c>
      <c r="EH362" s="92">
        <f t="shared" si="33"/>
        <v>1.2207570811310653</v>
      </c>
      <c r="EI362" s="92">
        <f t="shared" si="34"/>
        <v>1.1121743496119458</v>
      </c>
      <c r="FU362" s="451">
        <v>42466</v>
      </c>
      <c r="FV362" s="457">
        <v>211.11</v>
      </c>
      <c r="FW362" s="457"/>
    </row>
    <row r="363" spans="135:179" x14ac:dyDescent="0.35">
      <c r="EE363" s="451">
        <v>42447</v>
      </c>
      <c r="EF363" s="62">
        <v>209.94</v>
      </c>
      <c r="EG363" s="62">
        <v>2049.580078</v>
      </c>
      <c r="EH363" s="92">
        <f t="shared" si="33"/>
        <v>1.2284735715569013</v>
      </c>
      <c r="EI363" s="92">
        <f t="shared" si="34"/>
        <v>1.1111887721164957</v>
      </c>
      <c r="FU363" s="451">
        <v>42465</v>
      </c>
      <c r="FV363" s="457">
        <v>208.08</v>
      </c>
      <c r="FW363" s="457"/>
    </row>
    <row r="364" spans="135:179" x14ac:dyDescent="0.35">
      <c r="EE364" s="451">
        <v>42446</v>
      </c>
      <c r="EF364" s="62">
        <v>209.71</v>
      </c>
      <c r="EG364" s="62">
        <v>2040.589966</v>
      </c>
      <c r="EH364" s="92">
        <f t="shared" si="33"/>
        <v>1.2273768188984682</v>
      </c>
      <c r="EI364" s="92">
        <f t="shared" si="34"/>
        <v>1.1067831285772292</v>
      </c>
      <c r="FU364" s="451">
        <v>42464</v>
      </c>
      <c r="FV364" s="457">
        <v>211.02</v>
      </c>
      <c r="FW364" s="457"/>
    </row>
    <row r="365" spans="135:179" x14ac:dyDescent="0.35">
      <c r="EE365" s="451">
        <v>42445</v>
      </c>
      <c r="EF365" s="62">
        <v>212.16</v>
      </c>
      <c r="EG365" s="62">
        <v>2027.219971</v>
      </c>
      <c r="EH365" s="92">
        <f t="shared" si="33"/>
        <v>1.2389247072845917</v>
      </c>
      <c r="EI365" s="92">
        <f t="shared" si="34"/>
        <v>1.1001878921493813</v>
      </c>
      <c r="FU365" s="451">
        <v>42461</v>
      </c>
      <c r="FV365" s="457">
        <v>212.93</v>
      </c>
      <c r="FW365" s="457">
        <f>FX17</f>
        <v>227</v>
      </c>
    </row>
    <row r="366" spans="135:179" x14ac:dyDescent="0.35">
      <c r="EE366" s="451">
        <v>42444</v>
      </c>
      <c r="EF366" s="62">
        <v>210</v>
      </c>
      <c r="EG366" s="62">
        <v>2015.9300539999999</v>
      </c>
      <c r="EH366" s="92">
        <f t="shared" si="33"/>
        <v>1.2286389929988775</v>
      </c>
      <c r="EI366" s="92">
        <f t="shared" si="34"/>
        <v>1.0945875406006762</v>
      </c>
      <c r="FU366" s="451">
        <v>42460</v>
      </c>
      <c r="FV366" s="457">
        <v>204.83</v>
      </c>
      <c r="FW366" s="457"/>
    </row>
    <row r="367" spans="135:179" x14ac:dyDescent="0.35">
      <c r="EE367" s="451">
        <v>42443</v>
      </c>
      <c r="EF367" s="62">
        <v>210.95</v>
      </c>
      <c r="EG367" s="62">
        <v>2019.6400149999999</v>
      </c>
      <c r="EH367" s="92">
        <f t="shared" si="33"/>
        <v>1.2331424298322502</v>
      </c>
      <c r="EI367" s="92">
        <f t="shared" si="34"/>
        <v>1.0964244823192231</v>
      </c>
      <c r="FU367" s="451">
        <v>42459</v>
      </c>
      <c r="FV367" s="457">
        <v>207.13</v>
      </c>
      <c r="FW367" s="457"/>
    </row>
    <row r="368" spans="135:179" x14ac:dyDescent="0.35">
      <c r="EE368" s="451">
        <v>42440</v>
      </c>
      <c r="EF368" s="62">
        <v>208.83</v>
      </c>
      <c r="EG368" s="62">
        <v>2022.1899410000001</v>
      </c>
      <c r="EH368" s="92">
        <f t="shared" si="33"/>
        <v>1.2229906317189525</v>
      </c>
      <c r="EI368" s="92">
        <f t="shared" si="34"/>
        <v>1.0976854548660151</v>
      </c>
      <c r="FU368" s="451">
        <v>42458</v>
      </c>
      <c r="FV368" s="457">
        <v>207.73</v>
      </c>
      <c r="FW368" s="457"/>
    </row>
    <row r="369" spans="135:179" x14ac:dyDescent="0.35">
      <c r="EE369" s="451">
        <v>42439</v>
      </c>
      <c r="EF369" s="62">
        <v>207.14</v>
      </c>
      <c r="EG369" s="62">
        <v>1989.5699460000001</v>
      </c>
      <c r="EH369" s="92">
        <f t="shared" si="33"/>
        <v>1.2148318984950459</v>
      </c>
      <c r="EI369" s="92">
        <f t="shared" si="34"/>
        <v>1.0812899543883456</v>
      </c>
      <c r="FU369" s="451">
        <v>42457</v>
      </c>
      <c r="FV369" s="457">
        <v>205.79</v>
      </c>
      <c r="FW369" s="457"/>
    </row>
    <row r="370" spans="135:179" x14ac:dyDescent="0.35">
      <c r="EE370" s="451">
        <v>42438</v>
      </c>
      <c r="EF370" s="62">
        <v>209.52</v>
      </c>
      <c r="EG370" s="62">
        <v>1989.26001</v>
      </c>
      <c r="EH370" s="92">
        <f t="shared" si="33"/>
        <v>1.2261911959368177</v>
      </c>
      <c r="EI370" s="92">
        <f t="shared" si="34"/>
        <v>1.0811341497180451</v>
      </c>
      <c r="FU370" s="451">
        <v>42453</v>
      </c>
      <c r="FV370" s="457">
        <v>204.6</v>
      </c>
      <c r="FW370" s="457"/>
    </row>
    <row r="371" spans="135:179" x14ac:dyDescent="0.35">
      <c r="EE371" s="451">
        <v>42437</v>
      </c>
      <c r="EF371" s="62">
        <v>210.93</v>
      </c>
      <c r="EG371" s="62">
        <v>1979.26001</v>
      </c>
      <c r="EH371" s="92">
        <f t="shared" si="33"/>
        <v>1.2328758780588487</v>
      </c>
      <c r="EI371" s="92">
        <f t="shared" si="34"/>
        <v>1.0760817564248568</v>
      </c>
      <c r="FU371" s="451">
        <v>42452</v>
      </c>
      <c r="FV371" s="457">
        <v>206.16</v>
      </c>
      <c r="FW371" s="457"/>
    </row>
    <row r="372" spans="135:179" x14ac:dyDescent="0.35">
      <c r="EE372" s="451">
        <v>42436</v>
      </c>
      <c r="EF372" s="62">
        <v>215.32</v>
      </c>
      <c r="EG372" s="62">
        <v>2001.76001</v>
      </c>
      <c r="EH372" s="92">
        <f t="shared" si="33"/>
        <v>1.2532641373937921</v>
      </c>
      <c r="EI372" s="92">
        <f t="shared" si="34"/>
        <v>1.0873218650730458</v>
      </c>
      <c r="FU372" s="451">
        <v>42451</v>
      </c>
      <c r="FV372" s="457">
        <v>204.43</v>
      </c>
      <c r="FW372" s="457"/>
    </row>
    <row r="373" spans="135:179" x14ac:dyDescent="0.35">
      <c r="EE373" s="451">
        <v>42433</v>
      </c>
      <c r="EF373" s="62">
        <v>214.69</v>
      </c>
      <c r="EG373" s="62">
        <v>1999.98999</v>
      </c>
      <c r="EH373" s="92">
        <f t="shared" si="33"/>
        <v>1.2503296737485361</v>
      </c>
      <c r="EI373" s="92">
        <f t="shared" si="34"/>
        <v>1.0864368506435487</v>
      </c>
      <c r="FU373" s="451">
        <v>42450</v>
      </c>
      <c r="FV373" s="457">
        <v>208.32</v>
      </c>
      <c r="FW373" s="457"/>
    </row>
    <row r="374" spans="135:179" x14ac:dyDescent="0.35">
      <c r="EE374" s="451">
        <v>42432</v>
      </c>
      <c r="EF374" s="62">
        <v>215.12</v>
      </c>
      <c r="EG374" s="62">
        <v>1993.400024</v>
      </c>
      <c r="EH374" s="92">
        <f t="shared" si="33"/>
        <v>1.2523285580921584</v>
      </c>
      <c r="EI374" s="92">
        <f t="shared" si="34"/>
        <v>1.083130958238282</v>
      </c>
      <c r="FU374" s="451">
        <v>42447</v>
      </c>
      <c r="FV374" s="457">
        <v>209.94</v>
      </c>
      <c r="FW374" s="457"/>
    </row>
    <row r="375" spans="135:179" x14ac:dyDescent="0.35">
      <c r="EE375" s="451">
        <v>42431</v>
      </c>
      <c r="EF375" s="62">
        <v>210.65</v>
      </c>
      <c r="EG375" s="62">
        <v>1986.4499510000001</v>
      </c>
      <c r="EH375" s="92">
        <f t="shared" si="33"/>
        <v>1.2311085248616813</v>
      </c>
      <c r="EI375" s="92">
        <f t="shared" si="34"/>
        <v>1.0796322176853166</v>
      </c>
      <c r="FU375" s="451">
        <v>42446</v>
      </c>
      <c r="FV375" s="457">
        <v>209.71</v>
      </c>
      <c r="FW375" s="457"/>
    </row>
    <row r="376" spans="135:179" x14ac:dyDescent="0.35">
      <c r="EE376" s="451">
        <v>42430</v>
      </c>
      <c r="EF376" s="62">
        <v>210.74</v>
      </c>
      <c r="EG376" s="62">
        <v>1978.349976</v>
      </c>
      <c r="EH376" s="92">
        <f t="shared" si="33"/>
        <v>1.2315355913891559</v>
      </c>
      <c r="EI376" s="92">
        <f t="shared" si="34"/>
        <v>1.0755379092473438</v>
      </c>
      <c r="FU376" s="451">
        <v>42445</v>
      </c>
      <c r="FV376" s="457">
        <v>212.16</v>
      </c>
      <c r="FW376" s="457"/>
    </row>
    <row r="377" spans="135:179" x14ac:dyDescent="0.35">
      <c r="EE377" s="451">
        <v>42429</v>
      </c>
      <c r="EF377" s="62">
        <v>207.2</v>
      </c>
      <c r="EG377" s="62">
        <v>1932.2299800000001</v>
      </c>
      <c r="EH377" s="92">
        <f t="shared" si="33"/>
        <v>1.2144506493042138</v>
      </c>
      <c r="EI377" s="92">
        <f t="shared" si="34"/>
        <v>1.051669116982771</v>
      </c>
      <c r="FU377" s="451">
        <v>42444</v>
      </c>
      <c r="FV377" s="457">
        <v>210</v>
      </c>
      <c r="FW377" s="457"/>
    </row>
    <row r="378" spans="135:179" x14ac:dyDescent="0.35">
      <c r="EE378" s="451">
        <v>42426</v>
      </c>
      <c r="EF378" s="62">
        <v>205.99</v>
      </c>
      <c r="EG378" s="62">
        <v>1948.0500489999999</v>
      </c>
      <c r="EH378" s="92">
        <f t="shared" si="33"/>
        <v>1.2085765777473421</v>
      </c>
      <c r="EI378" s="92">
        <f t="shared" si="34"/>
        <v>1.0597900936528113</v>
      </c>
      <c r="FU378" s="451">
        <v>42443</v>
      </c>
      <c r="FV378" s="457">
        <v>210.95</v>
      </c>
      <c r="FW378" s="457"/>
    </row>
    <row r="379" spans="135:179" x14ac:dyDescent="0.35">
      <c r="EE379" s="451">
        <v>42425</v>
      </c>
      <c r="EF379" s="62">
        <v>205.02</v>
      </c>
      <c r="EG379" s="62">
        <v>1951.6999510000001</v>
      </c>
      <c r="EH379" s="92">
        <f t="shared" si="33"/>
        <v>1.2038453320152185</v>
      </c>
      <c r="EI379" s="92">
        <f t="shared" si="34"/>
        <v>1.0616602079591266</v>
      </c>
      <c r="FU379" s="451">
        <v>42440</v>
      </c>
      <c r="FV379" s="457">
        <v>208.83</v>
      </c>
      <c r="FW379" s="457"/>
    </row>
    <row r="380" spans="135:179" x14ac:dyDescent="0.35">
      <c r="EE380" s="451">
        <v>42424</v>
      </c>
      <c r="EF380" s="62">
        <v>205.64</v>
      </c>
      <c r="EG380" s="62">
        <v>1929.8000489999999</v>
      </c>
      <c r="EH380" s="92">
        <f t="shared" si="33"/>
        <v>1.2068603096460295</v>
      </c>
      <c r="EI380" s="92">
        <f t="shared" si="34"/>
        <v>1.0503119327783128</v>
      </c>
      <c r="FU380" s="451">
        <v>42439</v>
      </c>
      <c r="FV380" s="457">
        <v>207.14</v>
      </c>
      <c r="FW380" s="457"/>
    </row>
    <row r="381" spans="135:179" x14ac:dyDescent="0.35">
      <c r="EE381" s="451">
        <v>42423</v>
      </c>
      <c r="EF381" s="62">
        <v>204.46</v>
      </c>
      <c r="EG381" s="62">
        <v>1921.2700199999999</v>
      </c>
      <c r="EH381" s="92">
        <f t="shared" si="33"/>
        <v>1.2010890096362479</v>
      </c>
      <c r="EI381" s="92">
        <f t="shared" si="34"/>
        <v>1.0458721461209433</v>
      </c>
      <c r="FU381" s="451">
        <v>42438</v>
      </c>
      <c r="FV381" s="457">
        <v>209.52</v>
      </c>
      <c r="FW381" s="457"/>
    </row>
    <row r="382" spans="135:179" x14ac:dyDescent="0.35">
      <c r="EE382" s="451">
        <v>42422</v>
      </c>
      <c r="EF382" s="62">
        <v>205.71</v>
      </c>
      <c r="EG382" s="62">
        <v>1945.5</v>
      </c>
      <c r="EH382" s="92">
        <f t="shared" si="33"/>
        <v>1.2071655251192093</v>
      </c>
      <c r="EI382" s="92">
        <f t="shared" si="34"/>
        <v>1.0583265177477745</v>
      </c>
      <c r="FU382" s="451">
        <v>42437</v>
      </c>
      <c r="FV382" s="457">
        <v>210.93</v>
      </c>
      <c r="FW382" s="457"/>
    </row>
    <row r="383" spans="135:179" x14ac:dyDescent="0.35">
      <c r="EE383" s="451">
        <v>42419</v>
      </c>
      <c r="EF383" s="62">
        <v>203.51</v>
      </c>
      <c r="EG383" s="62">
        <v>1917.780029</v>
      </c>
      <c r="EH383" s="92">
        <f t="shared" si="33"/>
        <v>1.1963552455260689</v>
      </c>
      <c r="EI383" s="92">
        <f t="shared" si="34"/>
        <v>1.0438723204045817</v>
      </c>
      <c r="FU383" s="451">
        <v>42436</v>
      </c>
      <c r="FV383" s="457">
        <v>215.32</v>
      </c>
      <c r="FW383" s="457"/>
    </row>
    <row r="384" spans="135:179" x14ac:dyDescent="0.35">
      <c r="EE384" s="451">
        <v>42418</v>
      </c>
      <c r="EF384" s="62">
        <v>201.06</v>
      </c>
      <c r="EG384" s="62">
        <v>1917.829956</v>
      </c>
      <c r="EH384" s="92">
        <f t="shared" si="33"/>
        <v>1.1841698282376973</v>
      </c>
      <c r="EI384" s="92">
        <f t="shared" si="34"/>
        <v>1.0438983534738033</v>
      </c>
      <c r="FU384" s="451">
        <v>42433</v>
      </c>
      <c r="FV384" s="457">
        <v>214.69</v>
      </c>
      <c r="FW384" s="457"/>
    </row>
    <row r="385" spans="135:179" x14ac:dyDescent="0.35">
      <c r="EE385" s="451">
        <v>42417</v>
      </c>
      <c r="EF385" s="62">
        <v>207.03</v>
      </c>
      <c r="EG385" s="62">
        <v>1926.8199460000001</v>
      </c>
      <c r="EH385" s="92">
        <f t="shared" si="33"/>
        <v>1.2130062287593608</v>
      </c>
      <c r="EI385" s="92">
        <f t="shared" si="34"/>
        <v>1.0485640670598926</v>
      </c>
      <c r="FU385" s="451">
        <v>42432</v>
      </c>
      <c r="FV385" s="457">
        <v>215.12</v>
      </c>
      <c r="FW385" s="457"/>
    </row>
    <row r="386" spans="135:179" x14ac:dyDescent="0.35">
      <c r="EE386" s="451">
        <v>42416</v>
      </c>
      <c r="EF386" s="62">
        <v>203.42</v>
      </c>
      <c r="EG386" s="62">
        <v>1895.579956</v>
      </c>
      <c r="EH386" s="92">
        <f t="shared" si="33"/>
        <v>1.1952596944952767</v>
      </c>
      <c r="EI386" s="92">
        <f t="shared" si="34"/>
        <v>1.032083627972574</v>
      </c>
      <c r="FU386" s="451">
        <v>42431</v>
      </c>
      <c r="FV386" s="457">
        <v>210.65</v>
      </c>
      <c r="FW386" s="457"/>
    </row>
    <row r="387" spans="135:179" x14ac:dyDescent="0.35">
      <c r="EE387" s="451">
        <v>42412</v>
      </c>
      <c r="EF387" s="62">
        <v>199.36</v>
      </c>
      <c r="EG387" s="62">
        <v>1864.780029</v>
      </c>
      <c r="EH387" s="92">
        <f t="shared" si="33"/>
        <v>1.1748945259559509</v>
      </c>
      <c r="EI387" s="92">
        <f t="shared" si="34"/>
        <v>1.0155669737179074</v>
      </c>
      <c r="FU387" s="451">
        <v>42430</v>
      </c>
      <c r="FV387" s="457">
        <v>210.74</v>
      </c>
      <c r="FW387" s="457"/>
    </row>
    <row r="388" spans="135:179" x14ac:dyDescent="0.35">
      <c r="EE388" s="451">
        <v>42411</v>
      </c>
      <c r="EF388" s="62">
        <v>191.22</v>
      </c>
      <c r="EG388" s="62">
        <v>1829.079956</v>
      </c>
      <c r="EH388" s="92">
        <f t="shared" si="33"/>
        <v>1.1323257569987288</v>
      </c>
      <c r="EI388" s="92">
        <f t="shared" si="34"/>
        <v>0.99604892428387826</v>
      </c>
      <c r="FU388" s="451">
        <v>42429</v>
      </c>
      <c r="FV388" s="457">
        <v>207.2</v>
      </c>
      <c r="FW388" s="457"/>
    </row>
    <row r="389" spans="135:179" x14ac:dyDescent="0.35">
      <c r="EE389" s="451">
        <v>42410</v>
      </c>
      <c r="EF389" s="62">
        <v>193.86</v>
      </c>
      <c r="EG389" s="62">
        <v>1851.8599850000001</v>
      </c>
      <c r="EH389" s="92">
        <f t="shared" si="33"/>
        <v>1.1459438318981408</v>
      </c>
      <c r="EI389" s="92">
        <f t="shared" si="34"/>
        <v>1.0083500859184065</v>
      </c>
      <c r="FU389" s="451">
        <v>42426</v>
      </c>
      <c r="FV389" s="457">
        <v>205.99</v>
      </c>
      <c r="FW389" s="457"/>
    </row>
    <row r="390" spans="135:179" x14ac:dyDescent="0.35">
      <c r="EE390" s="451">
        <v>42409</v>
      </c>
      <c r="EF390" s="62">
        <v>184.72</v>
      </c>
      <c r="EG390" s="62">
        <v>1852.209961</v>
      </c>
      <c r="EH390" s="92">
        <f t="shared" si="33"/>
        <v>1.0964635373983571</v>
      </c>
      <c r="EI390" s="92">
        <f t="shared" si="34"/>
        <v>1.0085390364193589</v>
      </c>
      <c r="FU390" s="451">
        <v>42425</v>
      </c>
      <c r="FV390" s="457">
        <v>205.02</v>
      </c>
      <c r="FW390" s="457"/>
    </row>
    <row r="391" spans="135:179" x14ac:dyDescent="0.35">
      <c r="EE391" s="451">
        <v>42408</v>
      </c>
      <c r="EF391" s="62">
        <v>186.67</v>
      </c>
      <c r="EG391" s="62">
        <v>1853.4399410000001</v>
      </c>
      <c r="EH391" s="92">
        <f t="shared" si="33"/>
        <v>1.1069097794297493</v>
      </c>
      <c r="EI391" s="92">
        <f t="shared" si="34"/>
        <v>1.0092026565199037</v>
      </c>
      <c r="FU391" s="451">
        <v>42424</v>
      </c>
      <c r="FV391" s="457">
        <v>205.64</v>
      </c>
      <c r="FW391" s="457"/>
    </row>
    <row r="392" spans="135:179" x14ac:dyDescent="0.35">
      <c r="EE392" s="451">
        <v>42405</v>
      </c>
      <c r="EF392" s="62">
        <v>191.53</v>
      </c>
      <c r="EG392" s="62">
        <v>1880.0500489999999</v>
      </c>
      <c r="EH392" s="92">
        <f t="shared" si="33"/>
        <v>1.1322843943725782</v>
      </c>
      <c r="EI392" s="92">
        <f t="shared" si="34"/>
        <v>1.0233565924824881</v>
      </c>
      <c r="EJ392" s="92">
        <f>EH392</f>
        <v>1.1322843943725782</v>
      </c>
      <c r="EK392" s="62" t="s">
        <v>551</v>
      </c>
      <c r="FU392" s="451">
        <v>42423</v>
      </c>
      <c r="FV392" s="457">
        <v>204.46</v>
      </c>
      <c r="FW392" s="457"/>
    </row>
    <row r="393" spans="135:179" x14ac:dyDescent="0.35">
      <c r="EE393" s="451">
        <v>42404</v>
      </c>
      <c r="EF393" s="62">
        <v>198.19</v>
      </c>
      <c r="EG393" s="62">
        <v>1915.4499510000001</v>
      </c>
      <c r="EH393" s="92">
        <f t="shared" si="33"/>
        <v>1.1658885116337923</v>
      </c>
      <c r="EI393" s="92">
        <f t="shared" si="34"/>
        <v>1.041837838615554</v>
      </c>
      <c r="FU393" s="451">
        <v>42422</v>
      </c>
      <c r="FV393" s="457">
        <v>205.71</v>
      </c>
      <c r="FW393" s="457"/>
    </row>
    <row r="394" spans="135:179" x14ac:dyDescent="0.35">
      <c r="EE394" s="451">
        <v>42403</v>
      </c>
      <c r="EF394" s="62">
        <v>193.35</v>
      </c>
      <c r="EG394" s="62">
        <v>1912.530029</v>
      </c>
      <c r="EH394" s="92">
        <f t="shared" si="33"/>
        <v>1.140856186834206</v>
      </c>
      <c r="EI394" s="92">
        <f t="shared" si="34"/>
        <v>1.0403111059861443</v>
      </c>
      <c r="FU394" s="451">
        <v>42419</v>
      </c>
      <c r="FV394" s="457">
        <v>203.51</v>
      </c>
      <c r="FW394" s="457"/>
    </row>
    <row r="395" spans="135:179" x14ac:dyDescent="0.35">
      <c r="EE395" s="451">
        <v>42402</v>
      </c>
      <c r="EF395" s="62">
        <v>195.09</v>
      </c>
      <c r="EG395" s="62">
        <v>1903.030029</v>
      </c>
      <c r="EH395" s="92">
        <f t="shared" si="33"/>
        <v>1.1497751473139846</v>
      </c>
      <c r="EI395" s="92">
        <f t="shared" si="34"/>
        <v>1.0353190670507462</v>
      </c>
      <c r="FU395" s="451">
        <v>42418</v>
      </c>
      <c r="FV395" s="457">
        <v>201.06</v>
      </c>
      <c r="FW395" s="457"/>
    </row>
    <row r="396" spans="135:179" x14ac:dyDescent="0.35">
      <c r="EE396" s="451">
        <v>42401</v>
      </c>
      <c r="EF396" s="62">
        <v>194.31</v>
      </c>
      <c r="EG396" s="62">
        <v>1939.380005</v>
      </c>
      <c r="EH396" s="92">
        <f t="shared" si="33"/>
        <v>1.1457609432071449</v>
      </c>
      <c r="EI396" s="92">
        <f t="shared" si="34"/>
        <v>1.0540621580933911</v>
      </c>
      <c r="FU396" s="451">
        <v>42417</v>
      </c>
      <c r="FV396" s="457">
        <v>207.03</v>
      </c>
      <c r="FW396" s="457"/>
    </row>
    <row r="397" spans="135:179" x14ac:dyDescent="0.35">
      <c r="EE397" s="451">
        <v>42398</v>
      </c>
      <c r="EF397" s="62">
        <v>194</v>
      </c>
      <c r="EG397" s="62">
        <v>1940.23999</v>
      </c>
      <c r="EH397" s="92">
        <f t="shared" si="33"/>
        <v>1.1441630050628151</v>
      </c>
      <c r="EI397" s="92">
        <f t="shared" si="34"/>
        <v>1.0545053944994194</v>
      </c>
      <c r="FU397" s="451">
        <v>42416</v>
      </c>
      <c r="FV397" s="457">
        <v>203.42</v>
      </c>
      <c r="FW397" s="457"/>
    </row>
    <row r="398" spans="135:179" x14ac:dyDescent="0.35">
      <c r="EE398" s="451">
        <v>42397</v>
      </c>
      <c r="EF398" s="62">
        <v>190.5</v>
      </c>
      <c r="EG398" s="62">
        <v>1893.3599850000001</v>
      </c>
      <c r="EH398" s="92">
        <f t="shared" si="33"/>
        <v>1.1257903016507416</v>
      </c>
      <c r="EI398" s="92">
        <f t="shared" si="34"/>
        <v>1.0297451770175865</v>
      </c>
      <c r="FU398" s="451">
        <v>42412</v>
      </c>
      <c r="FV398" s="457">
        <v>199.36</v>
      </c>
      <c r="FW398" s="457"/>
    </row>
    <row r="399" spans="135:179" x14ac:dyDescent="0.35">
      <c r="EE399" s="451">
        <v>42396</v>
      </c>
      <c r="EF399" s="62">
        <v>189.16</v>
      </c>
      <c r="EG399" s="62">
        <v>1882.9499510000001</v>
      </c>
      <c r="EH399" s="92">
        <f t="shared" si="33"/>
        <v>1.118706351555584</v>
      </c>
      <c r="EI399" s="92">
        <f t="shared" si="34"/>
        <v>1.024216599906723</v>
      </c>
      <c r="FU399" s="451">
        <v>42411</v>
      </c>
      <c r="FV399" s="457">
        <v>191.22</v>
      </c>
      <c r="FW399" s="457"/>
    </row>
    <row r="400" spans="135:179" x14ac:dyDescent="0.35">
      <c r="EE400" s="451">
        <v>42395</v>
      </c>
      <c r="EF400" s="62">
        <v>187.29</v>
      </c>
      <c r="EG400" s="62">
        <v>1903.630005</v>
      </c>
      <c r="EH400" s="92">
        <f t="shared" si="33"/>
        <v>1.1087218355643405</v>
      </c>
      <c r="EI400" s="92">
        <f t="shared" si="34"/>
        <v>1.0350800838535417</v>
      </c>
      <c r="FU400" s="451">
        <v>42410</v>
      </c>
      <c r="FV400" s="457">
        <v>193.86</v>
      </c>
      <c r="FW400" s="457"/>
    </row>
    <row r="401" spans="135:179" x14ac:dyDescent="0.35">
      <c r="EE401" s="451">
        <v>42394</v>
      </c>
      <c r="EF401" s="62">
        <v>184.38</v>
      </c>
      <c r="EG401" s="62">
        <v>1877.079956</v>
      </c>
      <c r="EH401" s="92">
        <f t="shared" si="33"/>
        <v>1.0929392127202142</v>
      </c>
      <c r="EI401" s="92">
        <f t="shared" si="34"/>
        <v>1.0209357481713381</v>
      </c>
      <c r="FU401" s="451">
        <v>42409</v>
      </c>
      <c r="FV401" s="457">
        <v>184.72</v>
      </c>
      <c r="FW401" s="457"/>
    </row>
    <row r="402" spans="135:179" x14ac:dyDescent="0.35">
      <c r="EE402" s="451">
        <v>42391</v>
      </c>
      <c r="EF402" s="62">
        <v>183.76</v>
      </c>
      <c r="EG402" s="62">
        <v>1906.900024</v>
      </c>
      <c r="EH402" s="92">
        <f t="shared" si="33"/>
        <v>1.0895652466775498</v>
      </c>
      <c r="EI402" s="92">
        <f t="shared" si="34"/>
        <v>1.0365737300396525</v>
      </c>
      <c r="FU402" s="451">
        <v>42408</v>
      </c>
      <c r="FV402" s="457">
        <v>186.67</v>
      </c>
      <c r="FW402" s="457"/>
    </row>
    <row r="403" spans="135:179" x14ac:dyDescent="0.35">
      <c r="EE403" s="451">
        <v>42390</v>
      </c>
      <c r="EF403" s="62">
        <v>179.07</v>
      </c>
      <c r="EG403" s="62">
        <v>1868.98999</v>
      </c>
      <c r="EH403" s="92">
        <f t="shared" si="33"/>
        <v>1.0633743716007642</v>
      </c>
      <c r="EI403" s="92">
        <f t="shared" si="34"/>
        <v>1.0162900291087555</v>
      </c>
      <c r="FU403" s="451">
        <v>42405</v>
      </c>
      <c r="FV403" s="457">
        <v>191.53</v>
      </c>
      <c r="FW403" s="457"/>
    </row>
    <row r="404" spans="135:179" x14ac:dyDescent="0.35">
      <c r="EE404" s="451">
        <v>42389</v>
      </c>
      <c r="EF404" s="62">
        <v>180.25</v>
      </c>
      <c r="EG404" s="62">
        <v>1859.329956</v>
      </c>
      <c r="EH404" s="92">
        <f t="shared" si="33"/>
        <v>1.0699208348462566</v>
      </c>
      <c r="EI404" s="92">
        <f t="shared" si="34"/>
        <v>1.0110945908441122</v>
      </c>
      <c r="FU404" s="451">
        <v>42404</v>
      </c>
      <c r="FV404" s="457">
        <v>198.19</v>
      </c>
      <c r="FW404" s="457"/>
    </row>
    <row r="405" spans="135:179" x14ac:dyDescent="0.35">
      <c r="EE405" s="451">
        <v>42388</v>
      </c>
      <c r="EF405" s="62">
        <v>189.27</v>
      </c>
      <c r="EG405" s="62">
        <v>1881.329956</v>
      </c>
      <c r="EH405" s="92">
        <f t="shared" si="33"/>
        <v>1.1175776214474085</v>
      </c>
      <c r="EI405" s="92">
        <f t="shared" si="34"/>
        <v>1.0227884459968657</v>
      </c>
      <c r="FU405" s="451">
        <v>42403</v>
      </c>
      <c r="FV405" s="457">
        <v>193.35</v>
      </c>
      <c r="FW405" s="457"/>
    </row>
    <row r="406" spans="135:179" x14ac:dyDescent="0.35">
      <c r="EE406" s="451">
        <v>42384</v>
      </c>
      <c r="EF406" s="62">
        <v>188.54</v>
      </c>
      <c r="EG406" s="62">
        <v>1880.329956</v>
      </c>
      <c r="EH406" s="92">
        <f t="shared" si="33"/>
        <v>1.1137057640166244</v>
      </c>
      <c r="EI406" s="92">
        <f t="shared" si="34"/>
        <v>1.0222566244424576</v>
      </c>
      <c r="FU406" s="451">
        <v>42402</v>
      </c>
      <c r="FV406" s="457">
        <v>195.09</v>
      </c>
      <c r="FW406" s="457"/>
    </row>
    <row r="407" spans="135:179" x14ac:dyDescent="0.35">
      <c r="EE407" s="451">
        <v>42383</v>
      </c>
      <c r="EF407" s="62">
        <v>192.15</v>
      </c>
      <c r="EG407" s="62">
        <v>1921.839966</v>
      </c>
      <c r="EH407" s="92">
        <f t="shared" si="33"/>
        <v>1.1324931696892759</v>
      </c>
      <c r="EI407" s="92">
        <f t="shared" si="34"/>
        <v>1.0438557225642415</v>
      </c>
      <c r="FU407" s="451">
        <v>42401</v>
      </c>
      <c r="FV407" s="457">
        <v>194.31</v>
      </c>
      <c r="FW407" s="457"/>
    </row>
    <row r="408" spans="135:179" x14ac:dyDescent="0.35">
      <c r="EE408" s="451">
        <v>42382</v>
      </c>
      <c r="EF408" s="62">
        <v>189.36</v>
      </c>
      <c r="EG408" s="62">
        <v>1890.280029</v>
      </c>
      <c r="EH408" s="92">
        <f t="shared" si="33"/>
        <v>1.1177593293850934</v>
      </c>
      <c r="EI408" s="92">
        <f t="shared" si="34"/>
        <v>1.0271598169228451</v>
      </c>
      <c r="FU408" s="451">
        <v>42398</v>
      </c>
      <c r="FV408" s="457">
        <v>194</v>
      </c>
      <c r="FW408" s="457"/>
    </row>
    <row r="409" spans="135:179" x14ac:dyDescent="0.35">
      <c r="EE409" s="451">
        <v>42381</v>
      </c>
      <c r="EF409" s="62">
        <v>190.49</v>
      </c>
      <c r="EG409" s="62">
        <v>1938.6800539999999</v>
      </c>
      <c r="EH409" s="92">
        <f t="shared" si="33"/>
        <v>1.1236913993100237</v>
      </c>
      <c r="EI409" s="92">
        <f t="shared" si="34"/>
        <v>1.0521252695255776</v>
      </c>
      <c r="FU409" s="451">
        <v>42397</v>
      </c>
      <c r="FV409" s="457">
        <v>190.5</v>
      </c>
      <c r="FW409" s="457"/>
    </row>
    <row r="410" spans="135:179" x14ac:dyDescent="0.35">
      <c r="EE410" s="451">
        <v>42380</v>
      </c>
      <c r="EF410" s="62">
        <v>186.76</v>
      </c>
      <c r="EG410" s="62">
        <v>1923.670044</v>
      </c>
      <c r="EH410" s="92">
        <f t="shared" si="33"/>
        <v>1.1037192425312701</v>
      </c>
      <c r="EI410" s="92">
        <f t="shared" si="34"/>
        <v>1.0443224708872056</v>
      </c>
      <c r="FU410" s="451">
        <v>42396</v>
      </c>
      <c r="FV410" s="457">
        <v>189.16</v>
      </c>
      <c r="FW410" s="457"/>
    </row>
    <row r="411" spans="135:179" x14ac:dyDescent="0.35">
      <c r="EE411" s="451">
        <v>42377</v>
      </c>
      <c r="EF411" s="62">
        <v>187.5</v>
      </c>
      <c r="EG411" s="62">
        <v>1922.030029</v>
      </c>
      <c r="EH411" s="92">
        <f t="shared" si="33"/>
        <v>1.1076659091979368</v>
      </c>
      <c r="EI411" s="92">
        <f t="shared" si="34"/>
        <v>1.0434691985786282</v>
      </c>
      <c r="FU411" s="451">
        <v>42395</v>
      </c>
      <c r="FV411" s="457">
        <v>187.29</v>
      </c>
      <c r="FW411" s="457"/>
    </row>
    <row r="412" spans="135:179" x14ac:dyDescent="0.35">
      <c r="EE412" s="451">
        <v>42376</v>
      </c>
      <c r="EF412" s="62">
        <v>188.94</v>
      </c>
      <c r="EG412" s="62">
        <v>1943.089966</v>
      </c>
      <c r="EH412" s="92">
        <f t="shared" si="33"/>
        <v>1.1152873763303599</v>
      </c>
      <c r="EI412" s="92">
        <f t="shared" si="34"/>
        <v>1.0543075732131046</v>
      </c>
      <c r="FU412" s="451">
        <v>42394</v>
      </c>
      <c r="FV412" s="457">
        <v>184.38</v>
      </c>
      <c r="FW412" s="457"/>
    </row>
    <row r="413" spans="135:179" x14ac:dyDescent="0.35">
      <c r="EE413" s="451">
        <v>42375</v>
      </c>
      <c r="EF413" s="62">
        <v>187.79</v>
      </c>
      <c r="EG413" s="62">
        <v>1990.26001</v>
      </c>
      <c r="EH413" s="92">
        <f t="shared" ref="EH413:EH476" si="35">EH414+(EF413-EF414)/EF414</f>
        <v>1.1091635145698828</v>
      </c>
      <c r="EI413" s="92">
        <f t="shared" ref="EI413:EI476" si="36">EI414+(EG413-EG414)/EG414</f>
        <v>1.0780080162522028</v>
      </c>
      <c r="EJ413" s="92"/>
      <c r="EK413" s="452"/>
      <c r="FU413" s="451">
        <v>42391</v>
      </c>
      <c r="FV413" s="457">
        <v>183.76</v>
      </c>
      <c r="FW413" s="457"/>
    </row>
    <row r="414" spans="135:179" x14ac:dyDescent="0.35">
      <c r="EE414" s="451">
        <v>42374</v>
      </c>
      <c r="EF414" s="62">
        <v>188.84</v>
      </c>
      <c r="EG414" s="62">
        <v>2016.709961</v>
      </c>
      <c r="EH414" s="92">
        <f t="shared" si="35"/>
        <v>1.1147237772260998</v>
      </c>
      <c r="EI414" s="92">
        <f t="shared" si="36"/>
        <v>1.0911234128692178</v>
      </c>
      <c r="FU414" s="451">
        <v>42390</v>
      </c>
      <c r="FV414" s="457">
        <v>179.07</v>
      </c>
      <c r="FW414" s="457"/>
    </row>
    <row r="415" spans="135:179" x14ac:dyDescent="0.35">
      <c r="EE415" s="451">
        <v>42373</v>
      </c>
      <c r="EF415" s="62">
        <v>190.88</v>
      </c>
      <c r="EG415" s="62">
        <v>2012.660034</v>
      </c>
      <c r="EH415" s="92">
        <f t="shared" si="35"/>
        <v>1.1254111200592933</v>
      </c>
      <c r="EI415" s="92">
        <f t="shared" si="36"/>
        <v>1.0891111867944787</v>
      </c>
      <c r="FU415" s="451">
        <v>42389</v>
      </c>
      <c r="FV415" s="457">
        <v>180.25</v>
      </c>
      <c r="FW415" s="457"/>
    </row>
    <row r="416" spans="135:179" x14ac:dyDescent="0.35">
      <c r="EE416" s="451">
        <v>42369</v>
      </c>
      <c r="EF416" s="62">
        <v>194.78</v>
      </c>
      <c r="EG416" s="62">
        <v>2043.9399410000001</v>
      </c>
      <c r="EH416" s="92">
        <f t="shared" si="35"/>
        <v>1.1454337096475469</v>
      </c>
      <c r="EI416" s="92">
        <f t="shared" si="36"/>
        <v>1.104414917776269</v>
      </c>
      <c r="FU416" s="451">
        <v>42388</v>
      </c>
      <c r="FV416" s="457">
        <v>189.27</v>
      </c>
      <c r="FW416" s="457"/>
    </row>
    <row r="417" spans="135:179" x14ac:dyDescent="0.35">
      <c r="EE417" s="451">
        <v>42368</v>
      </c>
      <c r="EF417" s="62">
        <v>195.19</v>
      </c>
      <c r="EG417" s="62">
        <v>2063.360107</v>
      </c>
      <c r="EH417" s="92">
        <f t="shared" si="35"/>
        <v>1.1475342270920881</v>
      </c>
      <c r="EI417" s="92">
        <f t="shared" si="36"/>
        <v>1.1138268308660475</v>
      </c>
      <c r="FU417" s="451">
        <v>42384</v>
      </c>
      <c r="FV417" s="457">
        <v>188.54</v>
      </c>
      <c r="FW417" s="457"/>
    </row>
    <row r="418" spans="135:179" x14ac:dyDescent="0.35">
      <c r="EE418" s="451">
        <v>42367</v>
      </c>
      <c r="EF418" s="62">
        <v>197.08</v>
      </c>
      <c r="EG418" s="62">
        <v>2078.360107</v>
      </c>
      <c r="EH418" s="92">
        <f t="shared" si="35"/>
        <v>1.1571242412995166</v>
      </c>
      <c r="EI418" s="92">
        <f t="shared" si="36"/>
        <v>1.1210440594634785</v>
      </c>
      <c r="FU418" s="451">
        <v>42383</v>
      </c>
      <c r="FV418" s="457">
        <v>192.15</v>
      </c>
      <c r="FW418" s="457"/>
    </row>
    <row r="419" spans="135:179" x14ac:dyDescent="0.35">
      <c r="EE419" s="451">
        <v>42366</v>
      </c>
      <c r="EF419" s="62">
        <v>196.39</v>
      </c>
      <c r="EG419" s="62">
        <v>2056.5</v>
      </c>
      <c r="EH419" s="92">
        <f t="shared" si="35"/>
        <v>1.1536108241194156</v>
      </c>
      <c r="EI419" s="92">
        <f t="shared" si="36"/>
        <v>1.1104142967598558</v>
      </c>
      <c r="FU419" s="451">
        <v>42382</v>
      </c>
      <c r="FV419" s="457">
        <v>189.36</v>
      </c>
      <c r="FW419" s="457"/>
    </row>
    <row r="420" spans="135:179" x14ac:dyDescent="0.35">
      <c r="EE420" s="451">
        <v>42362</v>
      </c>
      <c r="EF420" s="62">
        <v>194.83</v>
      </c>
      <c r="EG420" s="62">
        <v>2060.98999</v>
      </c>
      <c r="EH420" s="92">
        <f t="shared" si="35"/>
        <v>1.1456038436749256</v>
      </c>
      <c r="EI420" s="92">
        <f t="shared" si="36"/>
        <v>1.1125928565887659</v>
      </c>
      <c r="FU420" s="451">
        <v>42381</v>
      </c>
      <c r="FV420" s="457">
        <v>190.49</v>
      </c>
      <c r="FW420" s="457"/>
    </row>
    <row r="421" spans="135:179" x14ac:dyDescent="0.35">
      <c r="EE421" s="451">
        <v>42361</v>
      </c>
      <c r="EF421" s="62">
        <v>193.87</v>
      </c>
      <c r="EG421" s="62">
        <v>2064.290039</v>
      </c>
      <c r="EH421" s="92">
        <f t="shared" si="35"/>
        <v>1.1406520718690762</v>
      </c>
      <c r="EI421" s="92">
        <f t="shared" si="36"/>
        <v>1.1141914928935743</v>
      </c>
      <c r="FU421" s="451">
        <v>42380</v>
      </c>
      <c r="FV421" s="457">
        <v>186.76</v>
      </c>
      <c r="FW421" s="457"/>
    </row>
    <row r="422" spans="135:179" x14ac:dyDescent="0.35">
      <c r="EE422" s="451">
        <v>42360</v>
      </c>
      <c r="EF422" s="62">
        <v>194.37</v>
      </c>
      <c r="EG422" s="62">
        <v>2038.969971</v>
      </c>
      <c r="EH422" s="92">
        <f t="shared" si="35"/>
        <v>1.1432244853073641</v>
      </c>
      <c r="EI422" s="92">
        <f t="shared" si="36"/>
        <v>1.101773424770883</v>
      </c>
      <c r="FU422" s="451">
        <v>42377</v>
      </c>
      <c r="FV422" s="457">
        <v>187.5</v>
      </c>
      <c r="FW422" s="457"/>
    </row>
    <row r="423" spans="135:179" x14ac:dyDescent="0.35">
      <c r="EE423" s="451">
        <v>42359</v>
      </c>
      <c r="EF423" s="62">
        <v>191.43</v>
      </c>
      <c r="EG423" s="62">
        <v>2021.150024</v>
      </c>
      <c r="EH423" s="92">
        <f t="shared" si="35"/>
        <v>1.1278663909647846</v>
      </c>
      <c r="EI423" s="92">
        <f t="shared" si="36"/>
        <v>1.0929566883641848</v>
      </c>
      <c r="FU423" s="451">
        <v>42376</v>
      </c>
      <c r="FV423" s="457">
        <v>188.94</v>
      </c>
      <c r="FW423" s="457"/>
    </row>
    <row r="424" spans="135:179" x14ac:dyDescent="0.35">
      <c r="EE424" s="451">
        <v>42356</v>
      </c>
      <c r="EF424" s="62">
        <v>194.89</v>
      </c>
      <c r="EG424" s="62">
        <v>2005.5500489999999</v>
      </c>
      <c r="EH424" s="92">
        <f t="shared" si="35"/>
        <v>1.1456199955622497</v>
      </c>
      <c r="EI424" s="92">
        <f t="shared" si="36"/>
        <v>1.0851782861209804</v>
      </c>
      <c r="FU424" s="451">
        <v>42375</v>
      </c>
      <c r="FV424" s="457">
        <v>187.79</v>
      </c>
      <c r="FW424" s="457"/>
    </row>
    <row r="425" spans="135:179" x14ac:dyDescent="0.35">
      <c r="EE425" s="451">
        <v>42355</v>
      </c>
      <c r="EF425" s="62">
        <v>193.35</v>
      </c>
      <c r="EG425" s="62">
        <v>2041.8900149999999</v>
      </c>
      <c r="EH425" s="92">
        <f t="shared" si="35"/>
        <v>1.1376551649441995</v>
      </c>
      <c r="EI425" s="92">
        <f t="shared" si="36"/>
        <v>1.1029755062126807</v>
      </c>
      <c r="FU425" s="451">
        <v>42374</v>
      </c>
      <c r="FV425" s="457">
        <v>188.84</v>
      </c>
      <c r="FW425" s="457"/>
    </row>
    <row r="426" spans="135:179" x14ac:dyDescent="0.35">
      <c r="EE426" s="451">
        <v>42354</v>
      </c>
      <c r="EF426" s="62">
        <v>194.16</v>
      </c>
      <c r="EG426" s="62">
        <v>2073.070068</v>
      </c>
      <c r="EH426" s="92">
        <f t="shared" si="35"/>
        <v>1.1418269820022959</v>
      </c>
      <c r="EI426" s="92">
        <f t="shared" si="36"/>
        <v>1.1180160267822923</v>
      </c>
      <c r="FU426" s="451">
        <v>42373</v>
      </c>
      <c r="FV426" s="457">
        <v>190.88</v>
      </c>
      <c r="FW426" s="457">
        <f>FX16</f>
        <v>225.5</v>
      </c>
    </row>
    <row r="427" spans="135:179" x14ac:dyDescent="0.35">
      <c r="EE427" s="451">
        <v>42353</v>
      </c>
      <c r="EF427" s="62">
        <v>194.06</v>
      </c>
      <c r="EG427" s="62">
        <v>2043.410034</v>
      </c>
      <c r="EH427" s="92">
        <f t="shared" si="35"/>
        <v>1.1413116774573098</v>
      </c>
      <c r="EI427" s="92">
        <f t="shared" si="36"/>
        <v>1.1035010574386506</v>
      </c>
      <c r="FU427" s="451">
        <v>42369</v>
      </c>
      <c r="FV427" s="457">
        <v>194.78</v>
      </c>
      <c r="FW427" s="457"/>
    </row>
    <row r="428" spans="135:179" x14ac:dyDescent="0.35">
      <c r="EE428" s="451">
        <v>42352</v>
      </c>
      <c r="EF428" s="62">
        <v>191.94</v>
      </c>
      <c r="EG428" s="62">
        <v>2021.9399410000001</v>
      </c>
      <c r="EH428" s="92">
        <f t="shared" si="35"/>
        <v>1.1302665591911849</v>
      </c>
      <c r="EI428" s="92">
        <f t="shared" si="36"/>
        <v>1.0928824962417332</v>
      </c>
      <c r="FU428" s="451">
        <v>42368</v>
      </c>
      <c r="FV428" s="457">
        <v>195.19</v>
      </c>
      <c r="FW428" s="457"/>
    </row>
    <row r="429" spans="135:179" x14ac:dyDescent="0.35">
      <c r="EE429" s="451">
        <v>42349</v>
      </c>
      <c r="EF429" s="62">
        <v>190.35</v>
      </c>
      <c r="EG429" s="62">
        <v>2012.369995</v>
      </c>
      <c r="EH429" s="92">
        <f t="shared" si="35"/>
        <v>1.121913525306236</v>
      </c>
      <c r="EI429" s="92">
        <f t="shared" si="36"/>
        <v>1.0881269363676653</v>
      </c>
      <c r="FU429" s="451">
        <v>42367</v>
      </c>
      <c r="FV429" s="457">
        <v>197.08</v>
      </c>
      <c r="FW429" s="457"/>
    </row>
    <row r="430" spans="135:179" x14ac:dyDescent="0.35">
      <c r="EE430" s="451">
        <v>42348</v>
      </c>
      <c r="EF430" s="62">
        <v>189.98</v>
      </c>
      <c r="EG430" s="62">
        <v>2052.2299800000001</v>
      </c>
      <c r="EH430" s="92">
        <f t="shared" si="35"/>
        <v>1.1199659518774541</v>
      </c>
      <c r="EI430" s="92">
        <f t="shared" si="36"/>
        <v>1.1075497034982771</v>
      </c>
      <c r="FU430" s="451">
        <v>42366</v>
      </c>
      <c r="FV430" s="457">
        <v>196.39</v>
      </c>
      <c r="FW430" s="457"/>
    </row>
    <row r="431" spans="135:179" x14ac:dyDescent="0.35">
      <c r="EE431" s="451">
        <v>42347</v>
      </c>
      <c r="EF431" s="62">
        <v>190.31</v>
      </c>
      <c r="EG431" s="62">
        <v>2047.619995</v>
      </c>
      <c r="EH431" s="92">
        <f t="shared" si="35"/>
        <v>1.1216999648037322</v>
      </c>
      <c r="EI431" s="92">
        <f t="shared" si="36"/>
        <v>1.1052983165166803</v>
      </c>
      <c r="FU431" s="451">
        <v>42362</v>
      </c>
      <c r="FV431" s="457">
        <v>194.83</v>
      </c>
      <c r="FW431" s="457"/>
    </row>
    <row r="432" spans="135:179" x14ac:dyDescent="0.35">
      <c r="EE432" s="451">
        <v>42346</v>
      </c>
      <c r="EF432" s="62">
        <v>190.32</v>
      </c>
      <c r="EG432" s="62">
        <v>2063.5900879999999</v>
      </c>
      <c r="EH432" s="92">
        <f t="shared" si="35"/>
        <v>1.1217525078890622</v>
      </c>
      <c r="EI432" s="92">
        <f t="shared" si="36"/>
        <v>1.1130373016440405</v>
      </c>
      <c r="FU432" s="451">
        <v>42361</v>
      </c>
      <c r="FV432" s="457">
        <v>193.87</v>
      </c>
      <c r="FW432" s="457"/>
    </row>
    <row r="433" spans="135:179" x14ac:dyDescent="0.35">
      <c r="EE433" s="451">
        <v>42345</v>
      </c>
      <c r="EF433" s="62">
        <v>189.77</v>
      </c>
      <c r="EG433" s="62">
        <v>2077.070068</v>
      </c>
      <c r="EH433" s="92">
        <f t="shared" si="35"/>
        <v>1.1188542626448192</v>
      </c>
      <c r="EI433" s="92">
        <f t="shared" si="36"/>
        <v>1.1195272030718628</v>
      </c>
      <c r="FU433" s="451">
        <v>42360</v>
      </c>
      <c r="FV433" s="457">
        <v>194.37</v>
      </c>
      <c r="FW433" s="457"/>
    </row>
    <row r="434" spans="135:179" x14ac:dyDescent="0.35">
      <c r="EE434" s="451">
        <v>42342</v>
      </c>
      <c r="EF434" s="62">
        <v>185.68</v>
      </c>
      <c r="EG434" s="62">
        <v>2091.6899410000001</v>
      </c>
      <c r="EH434" s="92">
        <f t="shared" si="35"/>
        <v>1.0968271191721781</v>
      </c>
      <c r="EI434" s="92">
        <f t="shared" si="36"/>
        <v>1.1265167060155976</v>
      </c>
      <c r="FU434" s="451">
        <v>42359</v>
      </c>
      <c r="FV434" s="457">
        <v>191.43</v>
      </c>
      <c r="FW434" s="457"/>
    </row>
    <row r="435" spans="135:179" x14ac:dyDescent="0.35">
      <c r="EE435" s="451">
        <v>42341</v>
      </c>
      <c r="EF435" s="62">
        <v>182.7</v>
      </c>
      <c r="EG435" s="62">
        <v>2049.6201169999999</v>
      </c>
      <c r="EH435" s="92">
        <f t="shared" si="35"/>
        <v>1.0805162269992168</v>
      </c>
      <c r="EI435" s="92">
        <f t="shared" si="36"/>
        <v>1.1059910370630617</v>
      </c>
      <c r="FU435" s="451">
        <v>42356</v>
      </c>
      <c r="FV435" s="457">
        <v>194.89</v>
      </c>
      <c r="FW435" s="457"/>
    </row>
    <row r="436" spans="135:179" x14ac:dyDescent="0.35">
      <c r="EE436" s="451">
        <v>42340</v>
      </c>
      <c r="EF436" s="62">
        <v>182.12</v>
      </c>
      <c r="EG436" s="62">
        <v>2079.51001</v>
      </c>
      <c r="EH436" s="92">
        <f t="shared" si="35"/>
        <v>1.0773315136234207</v>
      </c>
      <c r="EI436" s="92">
        <f t="shared" si="36"/>
        <v>1.1203645639305759</v>
      </c>
      <c r="FU436" s="451">
        <v>42355</v>
      </c>
      <c r="FV436" s="457">
        <v>193.35</v>
      </c>
      <c r="FW436" s="457"/>
    </row>
    <row r="437" spans="135:179" x14ac:dyDescent="0.35">
      <c r="EE437" s="451">
        <v>42339</v>
      </c>
      <c r="EF437" s="62">
        <v>181.6</v>
      </c>
      <c r="EG437" s="62">
        <v>2102.6298830000001</v>
      </c>
      <c r="EH437" s="92">
        <f t="shared" si="35"/>
        <v>1.0744680775000726</v>
      </c>
      <c r="EI437" s="92">
        <f t="shared" si="36"/>
        <v>1.1313602570798682</v>
      </c>
      <c r="FU437" s="451">
        <v>42354</v>
      </c>
      <c r="FV437" s="457">
        <v>194.16</v>
      </c>
      <c r="FW437" s="457"/>
    </row>
    <row r="438" spans="135:179" x14ac:dyDescent="0.35">
      <c r="EE438" s="451">
        <v>42338</v>
      </c>
      <c r="EF438" s="62">
        <v>181.8</v>
      </c>
      <c r="EG438" s="62">
        <v>2080.4099120000001</v>
      </c>
      <c r="EH438" s="92">
        <f t="shared" si="35"/>
        <v>1.0755681875110739</v>
      </c>
      <c r="EI438" s="92">
        <f t="shared" si="36"/>
        <v>1.1206796835679689</v>
      </c>
      <c r="FU438" s="451">
        <v>42353</v>
      </c>
      <c r="FV438" s="457">
        <v>194.06</v>
      </c>
      <c r="FW438" s="457"/>
    </row>
    <row r="439" spans="135:179" x14ac:dyDescent="0.35">
      <c r="EE439" s="451">
        <v>42335</v>
      </c>
      <c r="EF439" s="62">
        <v>182.13</v>
      </c>
      <c r="EG439" s="62">
        <v>2090.110107</v>
      </c>
      <c r="EH439" s="92">
        <f t="shared" si="35"/>
        <v>1.0773800801152575</v>
      </c>
      <c r="EI439" s="92">
        <f t="shared" si="36"/>
        <v>1.1253206806941551</v>
      </c>
      <c r="FU439" s="451">
        <v>42352</v>
      </c>
      <c r="FV439" s="457">
        <v>191.94</v>
      </c>
      <c r="FW439" s="457"/>
    </row>
    <row r="440" spans="135:179" x14ac:dyDescent="0.35">
      <c r="EE440" s="451">
        <v>42333</v>
      </c>
      <c r="EF440" s="62">
        <v>182.03</v>
      </c>
      <c r="EG440" s="62">
        <v>2088.8701169999999</v>
      </c>
      <c r="EH440" s="92">
        <f t="shared" si="35"/>
        <v>1.0768307201196525</v>
      </c>
      <c r="EI440" s="92">
        <f t="shared" si="36"/>
        <v>1.124727063125543</v>
      </c>
      <c r="FU440" s="451">
        <v>42349</v>
      </c>
      <c r="FV440" s="457">
        <v>190.35</v>
      </c>
      <c r="FW440" s="457"/>
    </row>
    <row r="441" spans="135:179" x14ac:dyDescent="0.35">
      <c r="EE441" s="451">
        <v>42332</v>
      </c>
      <c r="EF441" s="62">
        <v>180.99</v>
      </c>
      <c r="EG441" s="62">
        <v>2089.139893</v>
      </c>
      <c r="EH441" s="92">
        <f t="shared" si="35"/>
        <v>1.0710845462978944</v>
      </c>
      <c r="EI441" s="92">
        <f t="shared" si="36"/>
        <v>1.124856195693881</v>
      </c>
      <c r="FU441" s="451">
        <v>42348</v>
      </c>
      <c r="FV441" s="457">
        <v>189.98</v>
      </c>
      <c r="FW441" s="457"/>
    </row>
    <row r="442" spans="135:179" x14ac:dyDescent="0.35">
      <c r="EE442" s="451">
        <v>42331</v>
      </c>
      <c r="EF442" s="62">
        <v>177.7</v>
      </c>
      <c r="EG442" s="62">
        <v>2086.5900879999999</v>
      </c>
      <c r="EH442" s="92">
        <f t="shared" si="35"/>
        <v>1.0525701962697569</v>
      </c>
      <c r="EI442" s="92">
        <f t="shared" si="36"/>
        <v>1.1236341995698391</v>
      </c>
      <c r="FU442" s="451">
        <v>42347</v>
      </c>
      <c r="FV442" s="457">
        <v>190.31</v>
      </c>
      <c r="FW442" s="457"/>
    </row>
    <row r="443" spans="135:179" x14ac:dyDescent="0.35">
      <c r="EE443" s="451">
        <v>42328</v>
      </c>
      <c r="EF443" s="62">
        <v>172.68</v>
      </c>
      <c r="EG443" s="62">
        <v>2089.169922</v>
      </c>
      <c r="EH443" s="92">
        <f t="shared" si="35"/>
        <v>1.0234990820700813</v>
      </c>
      <c r="EI443" s="92">
        <f t="shared" si="36"/>
        <v>1.1248690603501104</v>
      </c>
      <c r="FU443" s="451">
        <v>42346</v>
      </c>
      <c r="FV443" s="457">
        <v>190.32</v>
      </c>
      <c r="FW443" s="457"/>
    </row>
    <row r="444" spans="135:179" x14ac:dyDescent="0.35">
      <c r="EE444" s="451">
        <v>42327</v>
      </c>
      <c r="EF444" s="62">
        <v>172.34</v>
      </c>
      <c r="EG444" s="62">
        <v>2081.23999</v>
      </c>
      <c r="EH444" s="92">
        <f t="shared" si="35"/>
        <v>1.0215262376926877</v>
      </c>
      <c r="EI444" s="92">
        <f t="shared" si="36"/>
        <v>1.1210588644870181</v>
      </c>
      <c r="FU444" s="451">
        <v>42345</v>
      </c>
      <c r="FV444" s="457">
        <v>189.77</v>
      </c>
      <c r="FW444" s="457"/>
    </row>
    <row r="445" spans="135:179" x14ac:dyDescent="0.35">
      <c r="EE445" s="451">
        <v>42326</v>
      </c>
      <c r="EF445" s="62">
        <v>170.48</v>
      </c>
      <c r="EG445" s="62">
        <v>2083.580078</v>
      </c>
      <c r="EH445" s="92">
        <f t="shared" si="35"/>
        <v>1.0106158669747147</v>
      </c>
      <c r="EI445" s="92">
        <f t="shared" si="36"/>
        <v>1.122181973708837</v>
      </c>
      <c r="FU445" s="451">
        <v>42342</v>
      </c>
      <c r="FV445" s="457">
        <v>185.68</v>
      </c>
      <c r="FW445" s="457"/>
    </row>
    <row r="446" spans="135:179" x14ac:dyDescent="0.35">
      <c r="EE446" s="451">
        <v>42325</v>
      </c>
      <c r="EF446" s="62">
        <v>166.26</v>
      </c>
      <c r="EG446" s="62">
        <v>2050.4399410000001</v>
      </c>
      <c r="EH446" s="92">
        <f t="shared" si="35"/>
        <v>0.98523393506084478</v>
      </c>
      <c r="EI446" s="92">
        <f t="shared" si="36"/>
        <v>1.1060195217699436</v>
      </c>
      <c r="FU446" s="451">
        <v>42341</v>
      </c>
      <c r="FV446" s="457">
        <v>182.7</v>
      </c>
      <c r="FW446" s="457"/>
    </row>
    <row r="447" spans="135:179" x14ac:dyDescent="0.35">
      <c r="EE447" s="451">
        <v>42324</v>
      </c>
      <c r="EF447" s="62">
        <v>168.41</v>
      </c>
      <c r="EG447" s="62">
        <v>2053.1899410000001</v>
      </c>
      <c r="EH447" s="92">
        <f t="shared" si="35"/>
        <v>0.99800039785996597</v>
      </c>
      <c r="EI447" s="92">
        <f t="shared" si="36"/>
        <v>1.107358901018344</v>
      </c>
      <c r="FU447" s="451">
        <v>42340</v>
      </c>
      <c r="FV447" s="457">
        <v>182.12</v>
      </c>
      <c r="FW447" s="457"/>
    </row>
    <row r="448" spans="135:179" x14ac:dyDescent="0.35">
      <c r="EE448" s="451">
        <v>42321</v>
      </c>
      <c r="EF448" s="62">
        <v>168.12</v>
      </c>
      <c r="EG448" s="62">
        <v>2023.040039</v>
      </c>
      <c r="EH448" s="92">
        <f t="shared" si="35"/>
        <v>0.99627543949689201</v>
      </c>
      <c r="EI448" s="92">
        <f t="shared" si="36"/>
        <v>1.0924556359228577</v>
      </c>
      <c r="FU448" s="451">
        <v>42339</v>
      </c>
      <c r="FV448" s="457">
        <v>181.6</v>
      </c>
      <c r="FW448" s="457"/>
    </row>
    <row r="449" spans="135:179" x14ac:dyDescent="0.35">
      <c r="EE449" s="451">
        <v>42320</v>
      </c>
      <c r="EF449" s="62">
        <v>172.28</v>
      </c>
      <c r="EG449" s="62">
        <v>2045.969971</v>
      </c>
      <c r="EH449" s="92">
        <f t="shared" si="35"/>
        <v>1.020422177365478</v>
      </c>
      <c r="EI449" s="92">
        <f t="shared" si="36"/>
        <v>1.103663000803581</v>
      </c>
      <c r="FU449" s="451">
        <v>42338</v>
      </c>
      <c r="FV449" s="457">
        <v>181.8</v>
      </c>
      <c r="FW449" s="457"/>
    </row>
    <row r="450" spans="135:179" x14ac:dyDescent="0.35">
      <c r="EE450" s="451">
        <v>42319</v>
      </c>
      <c r="EF450" s="62">
        <v>174.39</v>
      </c>
      <c r="EG450" s="62">
        <v>2075</v>
      </c>
      <c r="EH450" s="92">
        <f t="shared" si="35"/>
        <v>1.0325214949869013</v>
      </c>
      <c r="EI450" s="92">
        <f t="shared" si="36"/>
        <v>1.1176533762252678</v>
      </c>
      <c r="EJ450" s="92">
        <f>EH446</f>
        <v>0.98523393506084478</v>
      </c>
      <c r="EK450" s="62" t="s">
        <v>550</v>
      </c>
      <c r="FU450" s="451">
        <v>42335</v>
      </c>
      <c r="FV450" s="457">
        <v>182.13</v>
      </c>
      <c r="FW450" s="457"/>
    </row>
    <row r="451" spans="135:179" x14ac:dyDescent="0.35">
      <c r="EE451" s="451">
        <v>42318</v>
      </c>
      <c r="EF451" s="62">
        <v>175.81</v>
      </c>
      <c r="EG451" s="62">
        <v>2081.719971</v>
      </c>
      <c r="EH451" s="92">
        <f t="shared" si="35"/>
        <v>1.0405983961870606</v>
      </c>
      <c r="EI451" s="92">
        <f t="shared" si="36"/>
        <v>1.1208814621799661</v>
      </c>
      <c r="FU451" s="451">
        <v>42333</v>
      </c>
      <c r="FV451" s="457">
        <v>182.03</v>
      </c>
      <c r="FW451" s="457"/>
    </row>
    <row r="452" spans="135:179" x14ac:dyDescent="0.35">
      <c r="EE452" s="451">
        <v>42317</v>
      </c>
      <c r="EF452" s="62">
        <v>175.24</v>
      </c>
      <c r="EG452" s="62">
        <v>2078.580078</v>
      </c>
      <c r="EH452" s="92">
        <f t="shared" si="35"/>
        <v>1.0373457141509959</v>
      </c>
      <c r="EI452" s="92">
        <f t="shared" si="36"/>
        <v>1.1193708670226117</v>
      </c>
      <c r="FU452" s="451">
        <v>42332</v>
      </c>
      <c r="FV452" s="457">
        <v>180.99</v>
      </c>
      <c r="FW452" s="457"/>
    </row>
    <row r="453" spans="135:179" x14ac:dyDescent="0.35">
      <c r="EE453" s="451">
        <v>42314</v>
      </c>
      <c r="EF453" s="62">
        <v>176.95</v>
      </c>
      <c r="EG453" s="62">
        <v>2099.1999510000001</v>
      </c>
      <c r="EH453" s="92">
        <f t="shared" si="35"/>
        <v>1.0470094609721317</v>
      </c>
      <c r="EI453" s="92">
        <f t="shared" si="36"/>
        <v>1.1291935963868047</v>
      </c>
      <c r="FU453" s="451">
        <v>42331</v>
      </c>
      <c r="FV453" s="457">
        <v>177.7</v>
      </c>
      <c r="FW453" s="457"/>
    </row>
    <row r="454" spans="135:179" x14ac:dyDescent="0.35">
      <c r="EE454" s="451">
        <v>42313</v>
      </c>
      <c r="EF454" s="62">
        <v>177.73</v>
      </c>
      <c r="EG454" s="62">
        <v>2099.929932</v>
      </c>
      <c r="EH454" s="92">
        <f t="shared" si="35"/>
        <v>1.0513981404297359</v>
      </c>
      <c r="EI454" s="92">
        <f t="shared" si="36"/>
        <v>1.1295412179854476</v>
      </c>
      <c r="EJ454" s="92"/>
      <c r="FU454" s="451">
        <v>42328</v>
      </c>
      <c r="FV454" s="457">
        <v>172.68</v>
      </c>
      <c r="FW454" s="457"/>
    </row>
    <row r="455" spans="135:179" x14ac:dyDescent="0.35">
      <c r="EE455" s="451">
        <v>42312</v>
      </c>
      <c r="EF455" s="62">
        <v>177.01</v>
      </c>
      <c r="EG455" s="62">
        <v>2102.3100589999999</v>
      </c>
      <c r="EH455" s="92">
        <f t="shared" si="35"/>
        <v>1.0473305736256004</v>
      </c>
      <c r="EI455" s="92">
        <f t="shared" si="36"/>
        <v>1.1306733663999076</v>
      </c>
      <c r="FU455" s="451">
        <v>42327</v>
      </c>
      <c r="FV455" s="457">
        <v>172.34</v>
      </c>
      <c r="FW455" s="457"/>
    </row>
    <row r="456" spans="135:179" x14ac:dyDescent="0.35">
      <c r="EE456" s="451">
        <v>42311</v>
      </c>
      <c r="EF456" s="62">
        <v>178.43</v>
      </c>
      <c r="EG456" s="62">
        <v>2109.790039</v>
      </c>
      <c r="EH456" s="92">
        <f t="shared" si="35"/>
        <v>1.0552888766015576</v>
      </c>
      <c r="EI456" s="92">
        <f t="shared" si="36"/>
        <v>1.1342187334088187</v>
      </c>
      <c r="FU456" s="451">
        <v>42326</v>
      </c>
      <c r="FV456" s="457">
        <v>170.48</v>
      </c>
      <c r="FW456" s="457"/>
    </row>
    <row r="457" spans="135:179" x14ac:dyDescent="0.35">
      <c r="EE457" s="451">
        <v>42310</v>
      </c>
      <c r="EF457" s="62">
        <v>180.41</v>
      </c>
      <c r="EG457" s="62">
        <v>2104.0500489999999</v>
      </c>
      <c r="EH457" s="92">
        <f t="shared" si="35"/>
        <v>1.0662638779872899</v>
      </c>
      <c r="EI457" s="92">
        <f t="shared" si="36"/>
        <v>1.1314906661735702</v>
      </c>
      <c r="FU457" s="451">
        <v>42325</v>
      </c>
      <c r="FV457" s="457">
        <v>166.26</v>
      </c>
      <c r="FW457" s="457"/>
    </row>
    <row r="458" spans="135:179" x14ac:dyDescent="0.35">
      <c r="EE458" s="451">
        <v>42307</v>
      </c>
      <c r="EF458" s="62">
        <v>177.37</v>
      </c>
      <c r="EG458" s="62">
        <v>2079.360107</v>
      </c>
      <c r="EH458" s="92">
        <f t="shared" si="35"/>
        <v>1.0491245646874083</v>
      </c>
      <c r="EI458" s="92">
        <f t="shared" si="36"/>
        <v>1.1196168488790654</v>
      </c>
      <c r="FU458" s="451">
        <v>42324</v>
      </c>
      <c r="FV458" s="457">
        <v>168.41</v>
      </c>
      <c r="FW458" s="457"/>
    </row>
    <row r="459" spans="135:179" x14ac:dyDescent="0.35">
      <c r="EE459" s="451">
        <v>42306</v>
      </c>
      <c r="EF459" s="62">
        <v>179.69</v>
      </c>
      <c r="EG459" s="62">
        <v>2089.4099120000001</v>
      </c>
      <c r="EH459" s="92">
        <f t="shared" si="35"/>
        <v>1.0620356894021949</v>
      </c>
      <c r="EI459" s="92">
        <f t="shared" si="36"/>
        <v>1.1244267260325533</v>
      </c>
      <c r="FU459" s="451">
        <v>42321</v>
      </c>
      <c r="FV459" s="457">
        <v>168.12</v>
      </c>
      <c r="FW459" s="457"/>
    </row>
    <row r="460" spans="135:179" x14ac:dyDescent="0.35">
      <c r="EE460" s="451">
        <v>42305</v>
      </c>
      <c r="EF460" s="62">
        <v>183.88</v>
      </c>
      <c r="EG460" s="62">
        <v>2090.3500979999999</v>
      </c>
      <c r="EH460" s="92">
        <f t="shared" si="35"/>
        <v>1.0848222893586883</v>
      </c>
      <c r="EI460" s="92">
        <f t="shared" si="36"/>
        <v>1.1248765004511541</v>
      </c>
      <c r="FU460" s="451">
        <v>42320</v>
      </c>
      <c r="FV460" s="457">
        <v>172.28</v>
      </c>
      <c r="FW460" s="457"/>
    </row>
    <row r="461" spans="135:179" x14ac:dyDescent="0.35">
      <c r="EE461" s="451">
        <v>42304</v>
      </c>
      <c r="EF461" s="62">
        <v>186.07</v>
      </c>
      <c r="EG461" s="62">
        <v>2065.889893</v>
      </c>
      <c r="EH461" s="92">
        <f t="shared" si="35"/>
        <v>1.0965920534259748</v>
      </c>
      <c r="EI461" s="92">
        <f t="shared" si="36"/>
        <v>1.1130364672127515</v>
      </c>
      <c r="FU461" s="451">
        <v>42319</v>
      </c>
      <c r="FV461" s="457">
        <v>174.39</v>
      </c>
      <c r="FW461" s="457"/>
    </row>
    <row r="462" spans="135:179" x14ac:dyDescent="0.35">
      <c r="EE462" s="451">
        <v>42303</v>
      </c>
      <c r="EF462" s="62">
        <v>189.15</v>
      </c>
      <c r="EG462" s="62">
        <v>2071.179932</v>
      </c>
      <c r="EH462" s="92">
        <f t="shared" si="35"/>
        <v>1.1128754264103788</v>
      </c>
      <c r="EI462" s="92">
        <f t="shared" si="36"/>
        <v>1.1155905857218527</v>
      </c>
      <c r="FU462" s="451">
        <v>42318</v>
      </c>
      <c r="FV462" s="457">
        <v>175.81</v>
      </c>
      <c r="FW462" s="457"/>
    </row>
    <row r="463" spans="135:179" x14ac:dyDescent="0.35">
      <c r="EE463" s="451">
        <v>42300</v>
      </c>
      <c r="EF463" s="62">
        <v>187.05</v>
      </c>
      <c r="EG463" s="62">
        <v>2075.1499020000001</v>
      </c>
      <c r="EH463" s="92">
        <f t="shared" si="35"/>
        <v>1.1016484817431775</v>
      </c>
      <c r="EI463" s="92">
        <f t="shared" si="36"/>
        <v>1.1175036860700125</v>
      </c>
      <c r="FU463" s="451">
        <v>42317</v>
      </c>
      <c r="FV463" s="457">
        <v>175.24</v>
      </c>
      <c r="FW463" s="457"/>
    </row>
    <row r="464" spans="135:179" x14ac:dyDescent="0.35">
      <c r="EE464" s="451">
        <v>42299</v>
      </c>
      <c r="EF464" s="62">
        <v>181.08</v>
      </c>
      <c r="EG464" s="62">
        <v>2052.51001</v>
      </c>
      <c r="EH464" s="92">
        <f t="shared" si="35"/>
        <v>1.0686796281977833</v>
      </c>
      <c r="EI464" s="92">
        <f t="shared" si="36"/>
        <v>1.1064733418136159</v>
      </c>
      <c r="FU464" s="451">
        <v>42314</v>
      </c>
      <c r="FV464" s="457">
        <v>176.95</v>
      </c>
      <c r="FW464" s="457"/>
    </row>
    <row r="465" spans="135:179" x14ac:dyDescent="0.35">
      <c r="EE465" s="451">
        <v>42298</v>
      </c>
      <c r="EF465" s="62">
        <v>183.31</v>
      </c>
      <c r="EG465" s="62">
        <v>2018.9399410000001</v>
      </c>
      <c r="EH465" s="92">
        <f t="shared" si="35"/>
        <v>1.0808448128576491</v>
      </c>
      <c r="EI465" s="92">
        <f t="shared" si="36"/>
        <v>1.0898457699288513</v>
      </c>
      <c r="FU465" s="451">
        <v>42313</v>
      </c>
      <c r="FV465" s="457">
        <v>177.73</v>
      </c>
      <c r="FW465" s="457"/>
    </row>
    <row r="466" spans="135:179" x14ac:dyDescent="0.35">
      <c r="EE466" s="451">
        <v>42297</v>
      </c>
      <c r="EF466" s="62">
        <v>190.18</v>
      </c>
      <c r="EG466" s="62">
        <v>2030.7700199999999</v>
      </c>
      <c r="EH466" s="92">
        <f t="shared" si="35"/>
        <v>1.1169684851680919</v>
      </c>
      <c r="EI466" s="92">
        <f t="shared" si="36"/>
        <v>1.0956711853542769</v>
      </c>
      <c r="FU466" s="451">
        <v>42312</v>
      </c>
      <c r="FV466" s="457">
        <v>177.01</v>
      </c>
      <c r="FW466" s="457"/>
    </row>
    <row r="467" spans="135:179" x14ac:dyDescent="0.35">
      <c r="EE467" s="451">
        <v>42296</v>
      </c>
      <c r="EF467" s="62">
        <v>190.9</v>
      </c>
      <c r="EG467" s="62">
        <v>2033.660034</v>
      </c>
      <c r="EH467" s="92">
        <f t="shared" si="35"/>
        <v>1.1207400933399096</v>
      </c>
      <c r="EI467" s="92">
        <f t="shared" si="36"/>
        <v>1.0970922753849028</v>
      </c>
      <c r="FU467" s="451">
        <v>42311</v>
      </c>
      <c r="FV467" s="457">
        <v>178.43</v>
      </c>
      <c r="FW467" s="457"/>
    </row>
    <row r="468" spans="135:179" x14ac:dyDescent="0.35">
      <c r="EE468" s="451">
        <v>42293</v>
      </c>
      <c r="EF468" s="62">
        <v>187.93</v>
      </c>
      <c r="EG468" s="62">
        <v>2033.1099850000001</v>
      </c>
      <c r="EH468" s="92">
        <f t="shared" si="35"/>
        <v>1.1049363366219829</v>
      </c>
      <c r="EI468" s="92">
        <f t="shared" si="36"/>
        <v>1.0968217297656013</v>
      </c>
      <c r="FU468" s="451">
        <v>42310</v>
      </c>
      <c r="FV468" s="457">
        <v>180.41</v>
      </c>
      <c r="FW468" s="457"/>
    </row>
    <row r="469" spans="135:179" x14ac:dyDescent="0.35">
      <c r="EE469" s="451">
        <v>42292</v>
      </c>
      <c r="EF469" s="62">
        <v>187.79</v>
      </c>
      <c r="EG469" s="62">
        <v>2023.8599850000001</v>
      </c>
      <c r="EH469" s="92">
        <f t="shared" si="35"/>
        <v>1.1041908230163595</v>
      </c>
      <c r="EI469" s="92">
        <f t="shared" si="36"/>
        <v>1.0922512554894375</v>
      </c>
      <c r="FU469" s="451">
        <v>42307</v>
      </c>
      <c r="FV469" s="457">
        <v>177.37</v>
      </c>
      <c r="FW469" s="457"/>
    </row>
    <row r="470" spans="135:179" x14ac:dyDescent="0.35">
      <c r="EE470" s="451">
        <v>42291</v>
      </c>
      <c r="EF470" s="62">
        <v>185.59</v>
      </c>
      <c r="EG470" s="62">
        <v>1994.23999</v>
      </c>
      <c r="EH470" s="92">
        <f t="shared" si="35"/>
        <v>1.092336736050467</v>
      </c>
      <c r="EI470" s="92">
        <f t="shared" si="36"/>
        <v>1.0773984819273146</v>
      </c>
      <c r="FU470" s="451">
        <v>42306</v>
      </c>
      <c r="FV470" s="457">
        <v>179.69</v>
      </c>
      <c r="FW470" s="457"/>
    </row>
    <row r="471" spans="135:179" x14ac:dyDescent="0.35">
      <c r="EE471" s="451">
        <v>42290</v>
      </c>
      <c r="EF471" s="62">
        <v>188.11</v>
      </c>
      <c r="EG471" s="62">
        <v>2003.6899410000001</v>
      </c>
      <c r="EH471" s="92">
        <f t="shared" si="35"/>
        <v>1.1057331530405261</v>
      </c>
      <c r="EI471" s="92">
        <f t="shared" si="36"/>
        <v>1.0821147560407054</v>
      </c>
      <c r="FU471" s="451">
        <v>42305</v>
      </c>
      <c r="FV471" s="457">
        <v>183.88</v>
      </c>
      <c r="FW471" s="457"/>
    </row>
    <row r="472" spans="135:179" x14ac:dyDescent="0.35">
      <c r="EE472" s="451">
        <v>42289</v>
      </c>
      <c r="EF472" s="62">
        <v>190.75</v>
      </c>
      <c r="EG472" s="62">
        <v>2017.459961</v>
      </c>
      <c r="EH472" s="92">
        <f t="shared" si="35"/>
        <v>1.1195732578898052</v>
      </c>
      <c r="EI472" s="92">
        <f t="shared" si="36"/>
        <v>1.0889401802207097</v>
      </c>
      <c r="FU472" s="451">
        <v>42304</v>
      </c>
      <c r="FV472" s="457">
        <v>186.07</v>
      </c>
      <c r="FW472" s="457"/>
    </row>
    <row r="473" spans="135:179" x14ac:dyDescent="0.35">
      <c r="EE473" s="451">
        <v>42286</v>
      </c>
      <c r="EF473" s="62">
        <v>191.92</v>
      </c>
      <c r="EG473" s="62">
        <v>2014.8900149999999</v>
      </c>
      <c r="EH473" s="92">
        <f t="shared" si="35"/>
        <v>1.1256695480106889</v>
      </c>
      <c r="EI473" s="92">
        <f t="shared" si="36"/>
        <v>1.087664703157015</v>
      </c>
      <c r="FU473" s="451">
        <v>42303</v>
      </c>
      <c r="FV473" s="457">
        <v>189.15</v>
      </c>
      <c r="FW473" s="457"/>
    </row>
    <row r="474" spans="135:179" x14ac:dyDescent="0.35">
      <c r="EE474" s="451">
        <v>42285</v>
      </c>
      <c r="EF474" s="62">
        <v>196.58</v>
      </c>
      <c r="EG474" s="62">
        <v>2013.4300539999999</v>
      </c>
      <c r="EH474" s="92">
        <f t="shared" si="35"/>
        <v>1.1493749096954993</v>
      </c>
      <c r="EI474" s="92">
        <f t="shared" si="36"/>
        <v>1.0869395917993596</v>
      </c>
      <c r="FU474" s="451">
        <v>42300</v>
      </c>
      <c r="FV474" s="457">
        <v>187.05</v>
      </c>
      <c r="FW474" s="457"/>
    </row>
    <row r="475" spans="135:179" x14ac:dyDescent="0.35">
      <c r="EE475" s="451">
        <v>42284</v>
      </c>
      <c r="EF475" s="62">
        <v>197.68</v>
      </c>
      <c r="EG475" s="62">
        <v>1995.829956</v>
      </c>
      <c r="EH475" s="92">
        <f t="shared" si="35"/>
        <v>1.1549394584611812</v>
      </c>
      <c r="EI475" s="92">
        <f t="shared" si="36"/>
        <v>1.0781211561670607</v>
      </c>
      <c r="FU475" s="451">
        <v>42299</v>
      </c>
      <c r="FV475" s="457">
        <v>181.08</v>
      </c>
      <c r="FW475" s="457"/>
    </row>
    <row r="476" spans="135:179" x14ac:dyDescent="0.35">
      <c r="EE476" s="451">
        <v>42283</v>
      </c>
      <c r="EF476" s="62">
        <v>195.85</v>
      </c>
      <c r="EG476" s="62">
        <v>1979.920044</v>
      </c>
      <c r="EH476" s="92">
        <f t="shared" si="35"/>
        <v>1.145595572834426</v>
      </c>
      <c r="EI476" s="92">
        <f t="shared" si="36"/>
        <v>1.0700855225826573</v>
      </c>
      <c r="FU476" s="451">
        <v>42298</v>
      </c>
      <c r="FV476" s="457">
        <v>183.31</v>
      </c>
      <c r="FW476" s="457"/>
    </row>
    <row r="477" spans="135:179" x14ac:dyDescent="0.35">
      <c r="EE477" s="451">
        <v>42282</v>
      </c>
      <c r="EF477" s="62">
        <v>196.22</v>
      </c>
      <c r="EG477" s="62">
        <v>1987.0500489999999</v>
      </c>
      <c r="EH477" s="92">
        <f t="shared" ref="EH477:EH540" si="37">EH478+(EF477-EF478)/EF478</f>
        <v>1.1474812114033792</v>
      </c>
      <c r="EI477" s="92">
        <f t="shared" ref="EI477:EI540" si="38">EI478+(EG477-EG478)/EG478</f>
        <v>1.073673758824411</v>
      </c>
      <c r="FU477" s="451">
        <v>42297</v>
      </c>
      <c r="FV477" s="457">
        <v>190.18</v>
      </c>
      <c r="FW477" s="457"/>
    </row>
    <row r="478" spans="135:179" x14ac:dyDescent="0.35">
      <c r="EE478" s="451">
        <v>42279</v>
      </c>
      <c r="EF478" s="62">
        <v>194.73</v>
      </c>
      <c r="EG478" s="62">
        <v>1951.3599850000001</v>
      </c>
      <c r="EH478" s="92">
        <f t="shared" si="37"/>
        <v>1.1398295912113183</v>
      </c>
      <c r="EI478" s="92">
        <f t="shared" si="38"/>
        <v>1.055383917752365</v>
      </c>
      <c r="FU478" s="451">
        <v>42296</v>
      </c>
      <c r="FV478" s="457">
        <v>190.9</v>
      </c>
      <c r="FW478" s="457"/>
    </row>
    <row r="479" spans="135:179" x14ac:dyDescent="0.35">
      <c r="EE479" s="451">
        <v>42278</v>
      </c>
      <c r="EF479" s="62">
        <v>193.02</v>
      </c>
      <c r="EG479" s="62">
        <v>1923.8199460000001</v>
      </c>
      <c r="EH479" s="92">
        <f t="shared" si="37"/>
        <v>1.1309704056346943</v>
      </c>
      <c r="EI479" s="92">
        <f t="shared" si="38"/>
        <v>1.0410686284981594</v>
      </c>
      <c r="FU479" s="451">
        <v>42293</v>
      </c>
      <c r="FV479" s="457">
        <v>187.93</v>
      </c>
      <c r="FW479" s="457"/>
    </row>
    <row r="480" spans="135:179" x14ac:dyDescent="0.35">
      <c r="EE480" s="451">
        <v>42277</v>
      </c>
      <c r="EF480" s="62">
        <v>193.41</v>
      </c>
      <c r="EG480" s="62">
        <v>1920.030029</v>
      </c>
      <c r="EH480" s="92">
        <f t="shared" si="37"/>
        <v>1.1329868473905498</v>
      </c>
      <c r="EI480" s="92">
        <f t="shared" si="38"/>
        <v>1.0390947442657477</v>
      </c>
      <c r="FU480" s="451">
        <v>42292</v>
      </c>
      <c r="FV480" s="457">
        <v>187.79</v>
      </c>
      <c r="FW480" s="457"/>
    </row>
    <row r="481" spans="135:179" x14ac:dyDescent="0.35">
      <c r="EE481" s="451">
        <v>42276</v>
      </c>
      <c r="EF481" s="62">
        <v>191.93</v>
      </c>
      <c r="EG481" s="62">
        <v>1884.089966</v>
      </c>
      <c r="EH481" s="92">
        <f t="shared" si="37"/>
        <v>1.1252757027023823</v>
      </c>
      <c r="EI481" s="92">
        <f t="shared" si="38"/>
        <v>1.0200191886136456</v>
      </c>
      <c r="FU481" s="451">
        <v>42291</v>
      </c>
      <c r="FV481" s="457">
        <v>185.59</v>
      </c>
      <c r="FW481" s="457"/>
    </row>
    <row r="482" spans="135:179" x14ac:dyDescent="0.35">
      <c r="EE482" s="451">
        <v>42275</v>
      </c>
      <c r="EF482" s="62">
        <v>189.27</v>
      </c>
      <c r="EG482" s="62">
        <v>1881.7700199999999</v>
      </c>
      <c r="EH482" s="92">
        <f t="shared" si="37"/>
        <v>1.1112217057667877</v>
      </c>
      <c r="EI482" s="92">
        <f t="shared" si="38"/>
        <v>1.0187863355150506</v>
      </c>
      <c r="FU482" s="451">
        <v>42290</v>
      </c>
      <c r="FV482" s="457">
        <v>188.11</v>
      </c>
      <c r="FW482" s="457"/>
    </row>
    <row r="483" spans="135:179" x14ac:dyDescent="0.35">
      <c r="EE483" s="451">
        <v>42272</v>
      </c>
      <c r="EF483" s="62">
        <v>190.71</v>
      </c>
      <c r="EG483" s="62">
        <v>1931.339966</v>
      </c>
      <c r="EH483" s="92">
        <f t="shared" si="37"/>
        <v>1.1187724372438996</v>
      </c>
      <c r="EI483" s="92">
        <f t="shared" si="38"/>
        <v>1.0444524258319534</v>
      </c>
      <c r="FU483" s="451">
        <v>42289</v>
      </c>
      <c r="FV483" s="457">
        <v>190.75</v>
      </c>
      <c r="FW483" s="457"/>
    </row>
    <row r="484" spans="135:179" x14ac:dyDescent="0.35">
      <c r="EE484" s="451">
        <v>42271</v>
      </c>
      <c r="EF484" s="62">
        <v>189.95</v>
      </c>
      <c r="EG484" s="62">
        <v>1932.23999</v>
      </c>
      <c r="EH484" s="92">
        <f t="shared" si="37"/>
        <v>1.1147713843352394</v>
      </c>
      <c r="EI484" s="92">
        <f t="shared" si="38"/>
        <v>1.044918218903548</v>
      </c>
      <c r="FU484" s="451">
        <v>42286</v>
      </c>
      <c r="FV484" s="457">
        <v>191.92</v>
      </c>
      <c r="FW484" s="457"/>
    </row>
    <row r="485" spans="135:179" x14ac:dyDescent="0.35">
      <c r="EE485" s="451">
        <v>42270</v>
      </c>
      <c r="EF485" s="62">
        <v>188.02</v>
      </c>
      <c r="EG485" s="62">
        <v>1938.76001</v>
      </c>
      <c r="EH485" s="92">
        <f t="shared" si="37"/>
        <v>1.1045065188953926</v>
      </c>
      <c r="EI485" s="92">
        <f t="shared" si="38"/>
        <v>1.0482812034742892</v>
      </c>
      <c r="FU485" s="451">
        <v>42285</v>
      </c>
      <c r="FV485" s="457">
        <v>196.58</v>
      </c>
      <c r="FW485" s="457"/>
    </row>
    <row r="486" spans="135:179" x14ac:dyDescent="0.35">
      <c r="EE486" s="451">
        <v>42269</v>
      </c>
      <c r="EF486" s="62">
        <v>186.57</v>
      </c>
      <c r="EG486" s="62">
        <v>1942.73999</v>
      </c>
      <c r="EH486" s="92">
        <f t="shared" si="37"/>
        <v>1.0967346370279969</v>
      </c>
      <c r="EI486" s="92">
        <f t="shared" si="38"/>
        <v>1.0503298461235817</v>
      </c>
      <c r="FU486" s="451">
        <v>42284</v>
      </c>
      <c r="FV486" s="457">
        <v>197.68</v>
      </c>
      <c r="FW486" s="457"/>
    </row>
    <row r="487" spans="135:179" x14ac:dyDescent="0.35">
      <c r="EE487" s="451">
        <v>42268</v>
      </c>
      <c r="EF487" s="62">
        <v>186.04</v>
      </c>
      <c r="EG487" s="62">
        <v>1966.969971</v>
      </c>
      <c r="EH487" s="92">
        <f t="shared" si="37"/>
        <v>1.093885787318257</v>
      </c>
      <c r="EI487" s="92">
        <f t="shared" si="38"/>
        <v>1.0626482756660935</v>
      </c>
      <c r="FU487" s="451">
        <v>42283</v>
      </c>
      <c r="FV487" s="457">
        <v>195.85</v>
      </c>
      <c r="FW487" s="457"/>
    </row>
    <row r="488" spans="135:179" x14ac:dyDescent="0.35">
      <c r="EE488" s="451">
        <v>42265</v>
      </c>
      <c r="EF488" s="62">
        <v>184.49</v>
      </c>
      <c r="EG488" s="62">
        <v>1958.030029</v>
      </c>
      <c r="EH488" s="92">
        <f t="shared" si="37"/>
        <v>1.0854842479394291</v>
      </c>
      <c r="EI488" s="92">
        <f t="shared" si="38"/>
        <v>1.0580824917569644</v>
      </c>
      <c r="FU488" s="451">
        <v>42282</v>
      </c>
      <c r="FV488" s="457">
        <v>196.22</v>
      </c>
      <c r="FW488" s="457"/>
    </row>
    <row r="489" spans="135:179" x14ac:dyDescent="0.35">
      <c r="EE489" s="451">
        <v>42264</v>
      </c>
      <c r="EF489" s="62">
        <v>185.28</v>
      </c>
      <c r="EG489" s="62">
        <v>1990.1999510000001</v>
      </c>
      <c r="EH489" s="92">
        <f t="shared" si="37"/>
        <v>1.0897480648651632</v>
      </c>
      <c r="EI489" s="92">
        <f t="shared" si="38"/>
        <v>1.0742466575654481</v>
      </c>
      <c r="FU489" s="451">
        <v>42279</v>
      </c>
      <c r="FV489" s="457">
        <v>194.73</v>
      </c>
      <c r="FW489" s="457"/>
    </row>
    <row r="490" spans="135:179" x14ac:dyDescent="0.35">
      <c r="EE490" s="451">
        <v>42263</v>
      </c>
      <c r="EF490" s="62">
        <v>183.75</v>
      </c>
      <c r="EG490" s="62">
        <v>1995.3100589999999</v>
      </c>
      <c r="EH490" s="92">
        <f t="shared" si="37"/>
        <v>1.0814215342529183</v>
      </c>
      <c r="EI490" s="92">
        <f t="shared" si="38"/>
        <v>1.0768077171746804</v>
      </c>
      <c r="FU490" s="451">
        <v>42278</v>
      </c>
      <c r="FV490" s="457">
        <v>193.02</v>
      </c>
      <c r="FW490" s="457">
        <f>FX15</f>
        <v>214</v>
      </c>
    </row>
    <row r="491" spans="135:179" x14ac:dyDescent="0.35">
      <c r="EE491" s="451">
        <v>42262</v>
      </c>
      <c r="EF491" s="62">
        <v>184.08</v>
      </c>
      <c r="EG491" s="62">
        <v>1978.089966</v>
      </c>
      <c r="EH491" s="92">
        <f t="shared" si="37"/>
        <v>1.0832142330795156</v>
      </c>
      <c r="EI491" s="92">
        <f t="shared" si="38"/>
        <v>1.0681023027112415</v>
      </c>
      <c r="FU491" s="451">
        <v>42277</v>
      </c>
      <c r="FV491" s="457">
        <v>193.41</v>
      </c>
      <c r="FW491" s="457"/>
    </row>
    <row r="492" spans="135:179" x14ac:dyDescent="0.35">
      <c r="EE492" s="451">
        <v>42261</v>
      </c>
      <c r="EF492" s="62">
        <v>183.41</v>
      </c>
      <c r="EG492" s="62">
        <v>1953.030029</v>
      </c>
      <c r="EH492" s="92">
        <f t="shared" si="37"/>
        <v>1.0795612152506076</v>
      </c>
      <c r="EI492" s="92">
        <f t="shared" si="38"/>
        <v>1.0552709910427613</v>
      </c>
      <c r="FU492" s="451">
        <v>42276</v>
      </c>
      <c r="FV492" s="457">
        <v>191.93</v>
      </c>
      <c r="FW492" s="457"/>
    </row>
    <row r="493" spans="135:179" x14ac:dyDescent="0.35">
      <c r="EE493" s="451">
        <v>42258</v>
      </c>
      <c r="EF493" s="62">
        <v>182.62</v>
      </c>
      <c r="EG493" s="62">
        <v>1961.0500489999999</v>
      </c>
      <c r="EH493" s="92">
        <f t="shared" si="37"/>
        <v>1.0752352925696307</v>
      </c>
      <c r="EI493" s="92">
        <f t="shared" si="38"/>
        <v>1.0593606469921797</v>
      </c>
      <c r="FU493" s="451">
        <v>42275</v>
      </c>
      <c r="FV493" s="457">
        <v>189.27</v>
      </c>
      <c r="FW493" s="457"/>
    </row>
    <row r="494" spans="135:179" x14ac:dyDescent="0.35">
      <c r="EE494" s="451">
        <v>42257</v>
      </c>
      <c r="EF494" s="62">
        <v>179.86</v>
      </c>
      <c r="EG494" s="62">
        <v>1952.290039</v>
      </c>
      <c r="EH494" s="92">
        <f t="shared" si="37"/>
        <v>1.0598900240274312</v>
      </c>
      <c r="EI494" s="92">
        <f t="shared" si="38"/>
        <v>1.054873603661012</v>
      </c>
      <c r="FU494" s="451">
        <v>42272</v>
      </c>
      <c r="FV494" s="457">
        <v>190.71</v>
      </c>
      <c r="FW494" s="457"/>
    </row>
    <row r="495" spans="135:179" x14ac:dyDescent="0.35">
      <c r="EE495" s="451">
        <v>42256</v>
      </c>
      <c r="EF495" s="62">
        <v>179.19</v>
      </c>
      <c r="EG495" s="62">
        <v>1942.040039</v>
      </c>
      <c r="EH495" s="92">
        <f t="shared" si="37"/>
        <v>1.056150976089488</v>
      </c>
      <c r="EI495" s="92">
        <f t="shared" si="38"/>
        <v>1.0495956486270479</v>
      </c>
      <c r="FU495" s="451">
        <v>42271</v>
      </c>
      <c r="FV495" s="457">
        <v>189.95</v>
      </c>
      <c r="FW495" s="457"/>
    </row>
    <row r="496" spans="135:179" x14ac:dyDescent="0.35">
      <c r="EE496" s="451">
        <v>42255</v>
      </c>
      <c r="EF496" s="62">
        <v>181.45</v>
      </c>
      <c r="EG496" s="62">
        <v>1969.410034</v>
      </c>
      <c r="EH496" s="92">
        <f t="shared" si="37"/>
        <v>1.0686061979136821</v>
      </c>
      <c r="EI496" s="92">
        <f t="shared" si="38"/>
        <v>1.063493209077885</v>
      </c>
      <c r="FU496" s="451">
        <v>42270</v>
      </c>
      <c r="FV496" s="457">
        <v>188.02</v>
      </c>
      <c r="FW496" s="457"/>
    </row>
    <row r="497" spans="135:179" x14ac:dyDescent="0.35">
      <c r="EE497" s="451">
        <v>42251</v>
      </c>
      <c r="EF497" s="62">
        <v>178.3</v>
      </c>
      <c r="EG497" s="62">
        <v>1921.219971</v>
      </c>
      <c r="EH497" s="92">
        <f t="shared" si="37"/>
        <v>1.0509393442961836</v>
      </c>
      <c r="EI497" s="92">
        <f t="shared" si="38"/>
        <v>1.0384101557433327</v>
      </c>
      <c r="FU497" s="451">
        <v>42269</v>
      </c>
      <c r="FV497" s="457">
        <v>186.57</v>
      </c>
      <c r="FW497" s="457"/>
    </row>
    <row r="498" spans="135:179" x14ac:dyDescent="0.35">
      <c r="EE498" s="451">
        <v>42250</v>
      </c>
      <c r="EF498" s="62">
        <v>178.66</v>
      </c>
      <c r="EG498" s="62">
        <v>1951.130005</v>
      </c>
      <c r="EH498" s="92">
        <f t="shared" si="37"/>
        <v>1.052954344855906</v>
      </c>
      <c r="EI498" s="92">
        <f t="shared" si="38"/>
        <v>1.0537397513742501</v>
      </c>
      <c r="FU498" s="451">
        <v>42268</v>
      </c>
      <c r="FV498" s="457">
        <v>186.04</v>
      </c>
      <c r="FW498" s="457"/>
    </row>
    <row r="499" spans="135:179" x14ac:dyDescent="0.35">
      <c r="EE499" s="451">
        <v>42249</v>
      </c>
      <c r="EF499" s="62">
        <v>176.59</v>
      </c>
      <c r="EG499" s="62">
        <v>1948.8599850000001</v>
      </c>
      <c r="EH499" s="92">
        <f t="shared" si="37"/>
        <v>1.0412322767886315</v>
      </c>
      <c r="EI499" s="92">
        <f t="shared" si="38"/>
        <v>1.0525749575884102</v>
      </c>
      <c r="FU499" s="451">
        <v>42265</v>
      </c>
      <c r="FV499" s="457">
        <v>184.49</v>
      </c>
      <c r="FW499" s="457"/>
    </row>
    <row r="500" spans="135:179" x14ac:dyDescent="0.35">
      <c r="EE500" s="451">
        <v>42248</v>
      </c>
      <c r="EF500" s="62">
        <v>175.69</v>
      </c>
      <c r="EG500" s="62">
        <v>1913.849976</v>
      </c>
      <c r="EH500" s="92">
        <f t="shared" si="37"/>
        <v>1.0361096175593072</v>
      </c>
      <c r="EI500" s="92">
        <f t="shared" si="38"/>
        <v>1.034281982987981</v>
      </c>
      <c r="FU500" s="451">
        <v>42264</v>
      </c>
      <c r="FV500" s="457">
        <v>185.28</v>
      </c>
      <c r="FW500" s="457"/>
    </row>
    <row r="501" spans="135:179" x14ac:dyDescent="0.35">
      <c r="EE501" s="451">
        <v>42247</v>
      </c>
      <c r="EF501" s="62">
        <v>178.3</v>
      </c>
      <c r="EG501" s="62">
        <v>1972.1800539999999</v>
      </c>
      <c r="EH501" s="92">
        <f t="shared" si="37"/>
        <v>1.0507478676995203</v>
      </c>
      <c r="EI501" s="92">
        <f t="shared" si="38"/>
        <v>1.0638584295612512</v>
      </c>
      <c r="FU501" s="451">
        <v>42263</v>
      </c>
      <c r="FV501" s="457">
        <v>183.75</v>
      </c>
      <c r="FW501" s="457"/>
    </row>
    <row r="502" spans="135:179" x14ac:dyDescent="0.35">
      <c r="EE502" s="451">
        <v>42244</v>
      </c>
      <c r="EF502" s="62">
        <v>180.56</v>
      </c>
      <c r="EG502" s="62">
        <v>1988.869995</v>
      </c>
      <c r="EH502" s="92">
        <f t="shared" si="37"/>
        <v>1.0632644826751516</v>
      </c>
      <c r="EI502" s="92">
        <f t="shared" si="38"/>
        <v>1.0722500997267013</v>
      </c>
      <c r="FU502" s="451">
        <v>42262</v>
      </c>
      <c r="FV502" s="457">
        <v>184.08</v>
      </c>
      <c r="FW502" s="457"/>
    </row>
    <row r="503" spans="135:179" x14ac:dyDescent="0.35">
      <c r="EE503" s="451">
        <v>42243</v>
      </c>
      <c r="EF503" s="62">
        <v>180.5</v>
      </c>
      <c r="EG503" s="62">
        <v>1987.660034</v>
      </c>
      <c r="EH503" s="92">
        <f t="shared" si="37"/>
        <v>1.0629320727028524</v>
      </c>
      <c r="EI503" s="92">
        <f t="shared" si="38"/>
        <v>1.0716413633335038</v>
      </c>
      <c r="FU503" s="451">
        <v>42261</v>
      </c>
      <c r="FV503" s="457">
        <v>183.41</v>
      </c>
      <c r="FW503" s="457"/>
    </row>
    <row r="504" spans="135:179" x14ac:dyDescent="0.35">
      <c r="EE504" s="451">
        <v>42242</v>
      </c>
      <c r="EF504" s="62">
        <v>177.2</v>
      </c>
      <c r="EG504" s="62">
        <v>1940.51001</v>
      </c>
      <c r="EH504" s="92">
        <f t="shared" si="37"/>
        <v>1.0443090478721526</v>
      </c>
      <c r="EI504" s="92">
        <f t="shared" si="38"/>
        <v>1.0473436149286914</v>
      </c>
      <c r="FU504" s="451">
        <v>42258</v>
      </c>
      <c r="FV504" s="457">
        <v>182.62</v>
      </c>
      <c r="FW504" s="457"/>
    </row>
    <row r="505" spans="135:179" x14ac:dyDescent="0.35">
      <c r="EE505" s="451">
        <v>42241</v>
      </c>
      <c r="EF505" s="62">
        <v>175.41</v>
      </c>
      <c r="EG505" s="62">
        <v>1867.6099850000001</v>
      </c>
      <c r="EH505" s="92">
        <f t="shared" si="37"/>
        <v>1.034104384512025</v>
      </c>
      <c r="EI505" s="92">
        <f t="shared" si="38"/>
        <v>1.0083097558331051</v>
      </c>
      <c r="FU505" s="451">
        <v>42257</v>
      </c>
      <c r="FV505" s="457">
        <v>179.86</v>
      </c>
      <c r="FW505" s="457"/>
    </row>
    <row r="506" spans="135:179" x14ac:dyDescent="0.35">
      <c r="EE506" s="451">
        <v>42240</v>
      </c>
      <c r="EF506" s="62">
        <v>177.86</v>
      </c>
      <c r="EG506" s="62">
        <v>1893.209961</v>
      </c>
      <c r="EH506" s="92">
        <f t="shared" si="37"/>
        <v>1.0478792636304328</v>
      </c>
      <c r="EI506" s="92">
        <f t="shared" si="38"/>
        <v>1.0218317510303403</v>
      </c>
      <c r="FU506" s="451">
        <v>42256</v>
      </c>
      <c r="FV506" s="457">
        <v>179.19</v>
      </c>
      <c r="FW506" s="457"/>
    </row>
    <row r="507" spans="135:179" x14ac:dyDescent="0.35">
      <c r="EE507" s="451">
        <v>42237</v>
      </c>
      <c r="EF507" s="62">
        <v>185.52</v>
      </c>
      <c r="EG507" s="62">
        <v>1970.8900149999999</v>
      </c>
      <c r="EH507" s="92">
        <f t="shared" si="37"/>
        <v>1.0891686124876989</v>
      </c>
      <c r="EI507" s="92">
        <f t="shared" si="38"/>
        <v>1.0612454440364414</v>
      </c>
      <c r="FU507" s="451">
        <v>42255</v>
      </c>
      <c r="FV507" s="457">
        <v>181.45</v>
      </c>
      <c r="FW507" s="457"/>
    </row>
    <row r="508" spans="135:179" x14ac:dyDescent="0.35">
      <c r="EE508" s="451">
        <v>42236</v>
      </c>
      <c r="EF508" s="62">
        <v>187.85</v>
      </c>
      <c r="EG508" s="62">
        <v>2035.7299800000001</v>
      </c>
      <c r="EH508" s="92">
        <f t="shared" si="37"/>
        <v>1.1015721259292746</v>
      </c>
      <c r="EI508" s="92">
        <f t="shared" si="38"/>
        <v>1.0930964093594555</v>
      </c>
      <c r="FU508" s="451">
        <v>42251</v>
      </c>
      <c r="FV508" s="457">
        <v>178.3</v>
      </c>
      <c r="FW508" s="457"/>
    </row>
    <row r="509" spans="135:179" x14ac:dyDescent="0.35">
      <c r="EE509" s="451">
        <v>42235</v>
      </c>
      <c r="EF509" s="62">
        <v>191</v>
      </c>
      <c r="EG509" s="62">
        <v>2079.610107</v>
      </c>
      <c r="EH509" s="92">
        <f t="shared" si="37"/>
        <v>1.1180642725261332</v>
      </c>
      <c r="EI509" s="92">
        <f t="shared" si="38"/>
        <v>1.1141965794597539</v>
      </c>
      <c r="FU509" s="451">
        <v>42250</v>
      </c>
      <c r="FV509" s="457">
        <v>178.66</v>
      </c>
      <c r="FW509" s="457"/>
    </row>
    <row r="510" spans="135:179" x14ac:dyDescent="0.35">
      <c r="EE510" s="451">
        <v>42234</v>
      </c>
      <c r="EF510" s="62">
        <v>191.5</v>
      </c>
      <c r="EG510" s="62">
        <v>2096.919922</v>
      </c>
      <c r="EH510" s="92">
        <f t="shared" si="37"/>
        <v>1.1206752385835743</v>
      </c>
      <c r="EI510" s="92">
        <f t="shared" si="38"/>
        <v>1.1224514559661922</v>
      </c>
      <c r="EJ510" s="92"/>
      <c r="EK510" s="452"/>
      <c r="FU510" s="451">
        <v>42249</v>
      </c>
      <c r="FV510" s="457">
        <v>176.59</v>
      </c>
      <c r="FW510" s="457"/>
    </row>
    <row r="511" spans="135:179" x14ac:dyDescent="0.35">
      <c r="EE511" s="451">
        <v>42233</v>
      </c>
      <c r="EF511" s="62">
        <v>198.53</v>
      </c>
      <c r="EG511" s="62">
        <v>2102.4399410000001</v>
      </c>
      <c r="EH511" s="92">
        <f t="shared" si="37"/>
        <v>1.1560855040346396</v>
      </c>
      <c r="EI511" s="92">
        <f t="shared" si="38"/>
        <v>1.1250769859004146</v>
      </c>
      <c r="FU511" s="451">
        <v>42248</v>
      </c>
      <c r="FV511" s="457">
        <v>175.69</v>
      </c>
      <c r="FW511" s="457"/>
    </row>
    <row r="512" spans="135:179" x14ac:dyDescent="0.35">
      <c r="EE512" s="451">
        <v>42230</v>
      </c>
      <c r="EF512" s="62">
        <v>195.6</v>
      </c>
      <c r="EG512" s="62">
        <v>2091.540039</v>
      </c>
      <c r="EH512" s="92">
        <f t="shared" si="37"/>
        <v>1.14110595393239</v>
      </c>
      <c r="EI512" s="92">
        <f t="shared" si="38"/>
        <v>1.1198655618794757</v>
      </c>
      <c r="FU512" s="451">
        <v>42247</v>
      </c>
      <c r="FV512" s="457">
        <v>178.3</v>
      </c>
      <c r="FW512" s="457"/>
    </row>
    <row r="513" spans="135:179" x14ac:dyDescent="0.35">
      <c r="EE513" s="451">
        <v>42229</v>
      </c>
      <c r="EF513" s="62">
        <v>196.12</v>
      </c>
      <c r="EG513" s="62">
        <v>2083.389893</v>
      </c>
      <c r="EH513" s="92">
        <f t="shared" si="37"/>
        <v>1.1437573918275563</v>
      </c>
      <c r="EI513" s="92">
        <f t="shared" si="38"/>
        <v>1.1159535980039748</v>
      </c>
      <c r="FU513" s="451">
        <v>42244</v>
      </c>
      <c r="FV513" s="457">
        <v>180.56</v>
      </c>
      <c r="FW513" s="457"/>
    </row>
    <row r="514" spans="135:179" x14ac:dyDescent="0.35">
      <c r="EE514" s="451">
        <v>42228</v>
      </c>
      <c r="EF514" s="62">
        <v>197.73</v>
      </c>
      <c r="EG514" s="62">
        <v>2086.0500489999999</v>
      </c>
      <c r="EH514" s="92">
        <f t="shared" si="37"/>
        <v>1.1518998082539964</v>
      </c>
      <c r="EI514" s="92">
        <f t="shared" si="38"/>
        <v>1.1172288099775682</v>
      </c>
      <c r="FU514" s="451">
        <v>42243</v>
      </c>
      <c r="FV514" s="457">
        <v>180.5</v>
      </c>
      <c r="FW514" s="457"/>
    </row>
    <row r="515" spans="135:179" x14ac:dyDescent="0.35">
      <c r="EE515" s="451">
        <v>42227</v>
      </c>
      <c r="EF515" s="62">
        <v>201.66</v>
      </c>
      <c r="EG515" s="62">
        <v>2084.070068</v>
      </c>
      <c r="EH515" s="92">
        <f t="shared" si="37"/>
        <v>1.1713880557993699</v>
      </c>
      <c r="EI515" s="92">
        <f t="shared" si="38"/>
        <v>1.116278755067994</v>
      </c>
      <c r="FU515" s="451">
        <v>42242</v>
      </c>
      <c r="FV515" s="457">
        <v>177.2</v>
      </c>
      <c r="FW515" s="457"/>
    </row>
    <row r="516" spans="135:179" x14ac:dyDescent="0.35">
      <c r="EE516" s="451">
        <v>42226</v>
      </c>
      <c r="EF516" s="62">
        <v>202.14</v>
      </c>
      <c r="EG516" s="62">
        <v>2104.179932</v>
      </c>
      <c r="EH516" s="92">
        <f t="shared" si="37"/>
        <v>1.1737626476663927</v>
      </c>
      <c r="EI516" s="92">
        <f t="shared" si="38"/>
        <v>1.1258358579060987</v>
      </c>
      <c r="FU516" s="451">
        <v>42241</v>
      </c>
      <c r="FV516" s="457">
        <v>175.41</v>
      </c>
      <c r="FW516" s="457"/>
    </row>
    <row r="517" spans="135:179" x14ac:dyDescent="0.35">
      <c r="EE517" s="451">
        <v>42223</v>
      </c>
      <c r="EF517" s="62">
        <v>202.05</v>
      </c>
      <c r="EG517" s="62">
        <v>2077.570068</v>
      </c>
      <c r="EH517" s="92">
        <f t="shared" si="37"/>
        <v>1.1733172133679519</v>
      </c>
      <c r="EI517" s="92">
        <f t="shared" si="38"/>
        <v>1.1130276910914814</v>
      </c>
      <c r="FU517" s="451">
        <v>42240</v>
      </c>
      <c r="FV517" s="457">
        <v>177.86</v>
      </c>
      <c r="FW517" s="457"/>
    </row>
    <row r="518" spans="135:179" x14ac:dyDescent="0.35">
      <c r="EE518" s="451">
        <v>42222</v>
      </c>
      <c r="EF518" s="62">
        <v>200.7</v>
      </c>
      <c r="EG518" s="62">
        <v>2083.5600589999999</v>
      </c>
      <c r="EH518" s="92">
        <f t="shared" si="37"/>
        <v>1.1665907559688486</v>
      </c>
      <c r="EI518" s="92">
        <f t="shared" si="38"/>
        <v>1.1159025739028148</v>
      </c>
      <c r="FU518" s="451">
        <v>42237</v>
      </c>
      <c r="FV518" s="457">
        <v>185.52</v>
      </c>
      <c r="FW518" s="457"/>
    </row>
    <row r="519" spans="135:179" x14ac:dyDescent="0.35">
      <c r="EE519" s="451">
        <v>42221</v>
      </c>
      <c r="EF519" s="62">
        <v>202.52</v>
      </c>
      <c r="EG519" s="62">
        <v>2099.8400879999999</v>
      </c>
      <c r="EH519" s="92">
        <f t="shared" si="37"/>
        <v>1.1755775227079364</v>
      </c>
      <c r="EI519" s="92">
        <f t="shared" si="38"/>
        <v>1.1236555590434623</v>
      </c>
      <c r="FU519" s="451">
        <v>42236</v>
      </c>
      <c r="FV519" s="457">
        <v>187.85</v>
      </c>
      <c r="FW519" s="457"/>
    </row>
    <row r="520" spans="135:179" x14ac:dyDescent="0.35">
      <c r="EE520" s="451">
        <v>42220</v>
      </c>
      <c r="EF520" s="62">
        <v>202</v>
      </c>
      <c r="EG520" s="62">
        <v>2093.320068</v>
      </c>
      <c r="EH520" s="92">
        <f t="shared" si="37"/>
        <v>1.1730032652821938</v>
      </c>
      <c r="EI520" s="92">
        <f t="shared" si="38"/>
        <v>1.1205408800702514</v>
      </c>
      <c r="FU520" s="451">
        <v>42235</v>
      </c>
      <c r="FV520" s="457">
        <v>191</v>
      </c>
      <c r="FW520" s="457"/>
    </row>
    <row r="521" spans="135:179" x14ac:dyDescent="0.35">
      <c r="EE521" s="451">
        <v>42219</v>
      </c>
      <c r="EF521" s="62">
        <v>202.5</v>
      </c>
      <c r="EG521" s="62">
        <v>2098.040039</v>
      </c>
      <c r="EH521" s="92">
        <f t="shared" si="37"/>
        <v>1.1754724010846629</v>
      </c>
      <c r="EI521" s="92">
        <f t="shared" si="38"/>
        <v>1.1227905849911592</v>
      </c>
      <c r="FU521" s="451">
        <v>42234</v>
      </c>
      <c r="FV521" s="457">
        <v>191.5</v>
      </c>
      <c r="FW521" s="457"/>
    </row>
    <row r="522" spans="135:179" x14ac:dyDescent="0.35">
      <c r="EE522" s="451">
        <v>42216</v>
      </c>
      <c r="EF522" s="62">
        <v>204.12</v>
      </c>
      <c r="EG522" s="62">
        <v>2103.8400879999999</v>
      </c>
      <c r="EH522" s="92">
        <f t="shared" si="37"/>
        <v>1.1834089090211708</v>
      </c>
      <c r="EI522" s="92">
        <f t="shared" si="38"/>
        <v>1.1255474718064085</v>
      </c>
      <c r="FU522" s="451">
        <v>42233</v>
      </c>
      <c r="FV522" s="457">
        <v>198.53</v>
      </c>
      <c r="FW522" s="457"/>
    </row>
    <row r="523" spans="135:179" x14ac:dyDescent="0.35">
      <c r="EE523" s="451">
        <v>42215</v>
      </c>
      <c r="EF523" s="62">
        <v>204.48</v>
      </c>
      <c r="EG523" s="62">
        <v>2108.6298830000001</v>
      </c>
      <c r="EH523" s="92">
        <f t="shared" si="37"/>
        <v>1.1851694724014523</v>
      </c>
      <c r="EI523" s="92">
        <f t="shared" si="38"/>
        <v>1.1278189918292518</v>
      </c>
      <c r="FU523" s="451">
        <v>42230</v>
      </c>
      <c r="FV523" s="457">
        <v>195.6</v>
      </c>
      <c r="FW523" s="457"/>
    </row>
    <row r="524" spans="135:179" x14ac:dyDescent="0.35">
      <c r="EE524" s="451">
        <v>42214</v>
      </c>
      <c r="EF524" s="62">
        <v>202.27</v>
      </c>
      <c r="EG524" s="62">
        <v>2108.570068</v>
      </c>
      <c r="EH524" s="92">
        <f t="shared" si="37"/>
        <v>1.1742434823881038</v>
      </c>
      <c r="EI524" s="92">
        <f t="shared" si="38"/>
        <v>1.1277906242635218</v>
      </c>
      <c r="EJ524" s="92">
        <f>EH524</f>
        <v>1.1742434823881038</v>
      </c>
      <c r="EK524" s="62" t="s">
        <v>567</v>
      </c>
      <c r="FU524" s="451">
        <v>42229</v>
      </c>
      <c r="FV524" s="457">
        <v>196.12</v>
      </c>
      <c r="FW524" s="457"/>
    </row>
    <row r="525" spans="135:179" x14ac:dyDescent="0.35">
      <c r="EE525" s="451">
        <v>42213</v>
      </c>
      <c r="EF525" s="62">
        <v>186.99</v>
      </c>
      <c r="EG525" s="62">
        <v>2093.25</v>
      </c>
      <c r="EH525" s="92">
        <f t="shared" si="37"/>
        <v>1.0925278826234106</v>
      </c>
      <c r="EI525" s="92">
        <f t="shared" si="38"/>
        <v>1.1204718290885547</v>
      </c>
      <c r="FU525" s="451">
        <v>42228</v>
      </c>
      <c r="FV525" s="457">
        <v>197.73</v>
      </c>
      <c r="FW525" s="457"/>
    </row>
    <row r="526" spans="135:179" x14ac:dyDescent="0.35">
      <c r="EE526" s="451">
        <v>42212</v>
      </c>
      <c r="EF526" s="62">
        <v>184.01</v>
      </c>
      <c r="EG526" s="62">
        <v>2067.639893</v>
      </c>
      <c r="EH526" s="92">
        <f t="shared" si="37"/>
        <v>1.0763331106001508</v>
      </c>
      <c r="EI526" s="92">
        <f t="shared" si="38"/>
        <v>1.1080856746683856</v>
      </c>
      <c r="FU526" s="451">
        <v>42227</v>
      </c>
      <c r="FV526" s="457">
        <v>201.66</v>
      </c>
      <c r="FW526" s="457"/>
    </row>
    <row r="527" spans="135:179" x14ac:dyDescent="0.35">
      <c r="EE527" s="451">
        <v>42209</v>
      </c>
      <c r="EF527" s="62">
        <v>183.21</v>
      </c>
      <c r="EG527" s="62">
        <v>2079.6499020000001</v>
      </c>
      <c r="EH527" s="92">
        <f t="shared" si="37"/>
        <v>1.0719665367231792</v>
      </c>
      <c r="EI527" s="92">
        <f t="shared" si="38"/>
        <v>1.1138606894862404</v>
      </c>
      <c r="FU527" s="451">
        <v>42226</v>
      </c>
      <c r="FV527" s="457">
        <v>202.14</v>
      </c>
      <c r="FW527" s="457"/>
    </row>
    <row r="528" spans="135:179" x14ac:dyDescent="0.35">
      <c r="EE528" s="451">
        <v>42208</v>
      </c>
      <c r="EF528" s="62">
        <v>184.62</v>
      </c>
      <c r="EG528" s="62">
        <v>2102.1499020000001</v>
      </c>
      <c r="EH528" s="92">
        <f t="shared" si="37"/>
        <v>1.0796038457904524</v>
      </c>
      <c r="EI528" s="92">
        <f t="shared" si="38"/>
        <v>1.1245640175308262</v>
      </c>
      <c r="FU528" s="451">
        <v>42223</v>
      </c>
      <c r="FV528" s="457">
        <v>202.05</v>
      </c>
      <c r="FW528" s="457"/>
    </row>
    <row r="529" spans="135:179" x14ac:dyDescent="0.35">
      <c r="EE529" s="451">
        <v>42207</v>
      </c>
      <c r="EF529" s="62">
        <v>183.91</v>
      </c>
      <c r="EG529" s="62">
        <v>2114.1499020000001</v>
      </c>
      <c r="EH529" s="92">
        <f t="shared" si="37"/>
        <v>1.0757432618091571</v>
      </c>
      <c r="EI529" s="92">
        <f t="shared" si="38"/>
        <v>1.1302400578100174</v>
      </c>
      <c r="FU529" s="451">
        <v>42222</v>
      </c>
      <c r="FV529" s="457">
        <v>200.7</v>
      </c>
      <c r="FW529" s="457"/>
    </row>
    <row r="530" spans="135:179" x14ac:dyDescent="0.35">
      <c r="EE530" s="451">
        <v>42206</v>
      </c>
      <c r="EF530" s="62">
        <v>181.44</v>
      </c>
      <c r="EG530" s="62">
        <v>2119.209961</v>
      </c>
      <c r="EH530" s="92">
        <f t="shared" si="37"/>
        <v>1.0621299461125082</v>
      </c>
      <c r="EI530" s="92">
        <f t="shared" si="38"/>
        <v>1.1326277678968519</v>
      </c>
      <c r="FU530" s="451">
        <v>42221</v>
      </c>
      <c r="FV530" s="457">
        <v>202.52</v>
      </c>
      <c r="FW530" s="457"/>
    </row>
    <row r="531" spans="135:179" x14ac:dyDescent="0.35">
      <c r="EE531" s="451">
        <v>42205</v>
      </c>
      <c r="EF531" s="62">
        <v>182.27</v>
      </c>
      <c r="EG531" s="62">
        <v>2128.280029</v>
      </c>
      <c r="EH531" s="92">
        <f t="shared" si="37"/>
        <v>1.0666836302075322</v>
      </c>
      <c r="EI531" s="92">
        <f t="shared" si="38"/>
        <v>1.1368894570901964</v>
      </c>
      <c r="FU531" s="451">
        <v>42220</v>
      </c>
      <c r="FV531" s="457">
        <v>202</v>
      </c>
      <c r="FW531" s="457"/>
    </row>
    <row r="532" spans="135:179" x14ac:dyDescent="0.35">
      <c r="EE532" s="451">
        <v>42202</v>
      </c>
      <c r="EF532" s="62">
        <v>181.09</v>
      </c>
      <c r="EG532" s="62">
        <v>2126.639893</v>
      </c>
      <c r="EH532" s="92">
        <f t="shared" si="37"/>
        <v>1.0601675332391738</v>
      </c>
      <c r="EI532" s="92">
        <f t="shared" si="38"/>
        <v>1.1361182235563017</v>
      </c>
      <c r="FU532" s="451">
        <v>42219</v>
      </c>
      <c r="FV532" s="457">
        <v>202.5</v>
      </c>
      <c r="FW532" s="457"/>
    </row>
    <row r="533" spans="135:179" x14ac:dyDescent="0.35">
      <c r="EE533" s="451">
        <v>42201</v>
      </c>
      <c r="EF533" s="62">
        <v>181.32</v>
      </c>
      <c r="EG533" s="62">
        <v>2124.290039</v>
      </c>
      <c r="EH533" s="92">
        <f t="shared" si="37"/>
        <v>1.0614360088623813</v>
      </c>
      <c r="EI533" s="92">
        <f t="shared" si="38"/>
        <v>1.1350120403342092</v>
      </c>
      <c r="FU533" s="451">
        <v>42216</v>
      </c>
      <c r="FV533" s="457">
        <v>204.12</v>
      </c>
      <c r="FW533" s="457"/>
    </row>
    <row r="534" spans="135:179" x14ac:dyDescent="0.35">
      <c r="EE534" s="451">
        <v>42200</v>
      </c>
      <c r="EF534" s="62">
        <v>181.09</v>
      </c>
      <c r="EG534" s="62">
        <v>2107.3999020000001</v>
      </c>
      <c r="EH534" s="92">
        <f t="shared" si="37"/>
        <v>1.0601659221651589</v>
      </c>
      <c r="EI534" s="92">
        <f t="shared" si="38"/>
        <v>1.1269973597868814</v>
      </c>
      <c r="FU534" s="451">
        <v>42215</v>
      </c>
      <c r="FV534" s="457">
        <v>204.48</v>
      </c>
      <c r="FW534" s="457"/>
    </row>
    <row r="535" spans="135:179" x14ac:dyDescent="0.35">
      <c r="EE535" s="451">
        <v>42199</v>
      </c>
      <c r="EF535" s="62">
        <v>180.5</v>
      </c>
      <c r="EG535" s="62">
        <v>2108.9499510000001</v>
      </c>
      <c r="EH535" s="92">
        <f t="shared" si="37"/>
        <v>1.0568972241042172</v>
      </c>
      <c r="EI535" s="92">
        <f t="shared" si="38"/>
        <v>1.1277323459344972</v>
      </c>
      <c r="FU535" s="451">
        <v>42214</v>
      </c>
      <c r="FV535" s="457">
        <v>202.27</v>
      </c>
      <c r="FW535" s="457"/>
    </row>
    <row r="536" spans="135:179" x14ac:dyDescent="0.35">
      <c r="EE536" s="451">
        <v>42198</v>
      </c>
      <c r="EF536" s="62">
        <v>182.86</v>
      </c>
      <c r="EG536" s="62">
        <v>2099.6000979999999</v>
      </c>
      <c r="EH536" s="92">
        <f t="shared" si="37"/>
        <v>1.069803272447212</v>
      </c>
      <c r="EI536" s="92">
        <f t="shared" si="38"/>
        <v>1.1232791869691749</v>
      </c>
      <c r="FU536" s="451">
        <v>42213</v>
      </c>
      <c r="FV536" s="457">
        <v>186.99</v>
      </c>
      <c r="FW536" s="457"/>
    </row>
    <row r="537" spans="135:179" x14ac:dyDescent="0.35">
      <c r="EE537" s="451">
        <v>42195</v>
      </c>
      <c r="EF537" s="62">
        <v>179.25</v>
      </c>
      <c r="EG537" s="62">
        <v>2076.6201169999999</v>
      </c>
      <c r="EH537" s="92">
        <f t="shared" si="37"/>
        <v>1.049663802433265</v>
      </c>
      <c r="EI537" s="92">
        <f t="shared" si="38"/>
        <v>1.1122131374727471</v>
      </c>
      <c r="FU537" s="451">
        <v>42212</v>
      </c>
      <c r="FV537" s="457">
        <v>184.01</v>
      </c>
      <c r="FW537" s="457"/>
    </row>
    <row r="538" spans="135:179" x14ac:dyDescent="0.35">
      <c r="EE538" s="451">
        <v>42194</v>
      </c>
      <c r="EF538" s="62">
        <v>177.14</v>
      </c>
      <c r="EG538" s="62">
        <v>2051.3100589999999</v>
      </c>
      <c r="EH538" s="92">
        <f t="shared" si="37"/>
        <v>1.0377523199899996</v>
      </c>
      <c r="EI538" s="92">
        <f t="shared" si="38"/>
        <v>1.0998746526644883</v>
      </c>
      <c r="FU538" s="451">
        <v>42209</v>
      </c>
      <c r="FV538" s="457">
        <v>183.21</v>
      </c>
      <c r="FW538" s="457"/>
    </row>
    <row r="539" spans="135:179" x14ac:dyDescent="0.35">
      <c r="EE539" s="451">
        <v>42193</v>
      </c>
      <c r="EF539" s="62">
        <v>174.73</v>
      </c>
      <c r="EG539" s="62">
        <v>2046.6800539999999</v>
      </c>
      <c r="EH539" s="92">
        <f t="shared" si="37"/>
        <v>1.0239596112393559</v>
      </c>
      <c r="EI539" s="92">
        <f t="shared" si="38"/>
        <v>1.0976124500349413</v>
      </c>
      <c r="FU539" s="451">
        <v>42208</v>
      </c>
      <c r="FV539" s="457">
        <v>184.62</v>
      </c>
      <c r="FW539" s="457"/>
    </row>
    <row r="540" spans="135:179" x14ac:dyDescent="0.35">
      <c r="EE540" s="451">
        <v>42192</v>
      </c>
      <c r="EF540" s="62">
        <v>175.56</v>
      </c>
      <c r="EG540" s="62">
        <v>2081.3400879999999</v>
      </c>
      <c r="EH540" s="92">
        <f t="shared" si="37"/>
        <v>1.0286873396512948</v>
      </c>
      <c r="EI540" s="92">
        <f t="shared" si="38"/>
        <v>1.1142651990017407</v>
      </c>
      <c r="FU540" s="451">
        <v>42207</v>
      </c>
      <c r="FV540" s="457">
        <v>183.91</v>
      </c>
      <c r="FW540" s="457"/>
    </row>
    <row r="541" spans="135:179" x14ac:dyDescent="0.35">
      <c r="EE541" s="451">
        <v>42191</v>
      </c>
      <c r="EF541" s="62">
        <v>174.86</v>
      </c>
      <c r="EG541" s="62">
        <v>2068.76001</v>
      </c>
      <c r="EH541" s="92">
        <f t="shared" ref="EH541:EH604" si="39">EH542+(EF541-EF542)/EF542</f>
        <v>1.0246841370892452</v>
      </c>
      <c r="EI541" s="92">
        <f t="shared" ref="EI541:EI604" si="40">EI542+(EG541-EG542)/EG542</f>
        <v>1.1081842239542774</v>
      </c>
      <c r="FU541" s="451">
        <v>42206</v>
      </c>
      <c r="FV541" s="457">
        <v>181.44</v>
      </c>
      <c r="FW541" s="457"/>
    </row>
    <row r="542" spans="135:179" x14ac:dyDescent="0.35">
      <c r="EE542" s="451">
        <v>42187</v>
      </c>
      <c r="EF542" s="62">
        <v>174.95</v>
      </c>
      <c r="EG542" s="62">
        <v>2076.780029</v>
      </c>
      <c r="EH542" s="92">
        <f t="shared" si="39"/>
        <v>1.0251985697843009</v>
      </c>
      <c r="EI542" s="92">
        <f t="shared" si="40"/>
        <v>1.1120459805621075</v>
      </c>
      <c r="FU542" s="451">
        <v>42205</v>
      </c>
      <c r="FV542" s="457">
        <v>182.27</v>
      </c>
      <c r="FW542" s="457"/>
    </row>
    <row r="543" spans="135:179" x14ac:dyDescent="0.35">
      <c r="EE543" s="451">
        <v>42186</v>
      </c>
      <c r="EF543" s="62">
        <v>174.51</v>
      </c>
      <c r="EG543" s="62">
        <v>2077.419922</v>
      </c>
      <c r="EH543" s="92">
        <f t="shared" si="39"/>
        <v>1.0226772243026667</v>
      </c>
      <c r="EI543" s="92">
        <f t="shared" si="40"/>
        <v>1.1123540035059638</v>
      </c>
      <c r="FU543" s="451">
        <v>42202</v>
      </c>
      <c r="FV543" s="457">
        <v>181.09</v>
      </c>
      <c r="FW543" s="457"/>
    </row>
    <row r="544" spans="135:179" x14ac:dyDescent="0.35">
      <c r="EE544" s="451">
        <v>42185</v>
      </c>
      <c r="EF544" s="62">
        <v>174.77</v>
      </c>
      <c r="EG544" s="62">
        <v>2063.110107</v>
      </c>
      <c r="EH544" s="92">
        <f t="shared" si="39"/>
        <v>1.0241648938111638</v>
      </c>
      <c r="EI544" s="92">
        <f t="shared" si="40"/>
        <v>1.1054179631310717</v>
      </c>
      <c r="FU544" s="451">
        <v>42201</v>
      </c>
      <c r="FV544" s="457">
        <v>181.32</v>
      </c>
      <c r="FW544" s="457"/>
    </row>
    <row r="545" spans="135:179" x14ac:dyDescent="0.35">
      <c r="EE545" s="451">
        <v>42184</v>
      </c>
      <c r="EF545" s="62">
        <v>172.25</v>
      </c>
      <c r="EG545" s="62">
        <v>2057.639893</v>
      </c>
      <c r="EH545" s="92">
        <f t="shared" si="39"/>
        <v>1.0095349954076804</v>
      </c>
      <c r="EI545" s="92">
        <f t="shared" si="40"/>
        <v>1.1027594736555277</v>
      </c>
      <c r="FU545" s="451">
        <v>42200</v>
      </c>
      <c r="FV545" s="457">
        <v>181.09</v>
      </c>
      <c r="FW545" s="457"/>
    </row>
    <row r="546" spans="135:179" x14ac:dyDescent="0.35">
      <c r="EE546" s="451">
        <v>42181</v>
      </c>
      <c r="EF546" s="62">
        <v>175.87</v>
      </c>
      <c r="EG546" s="62">
        <v>2101.48999</v>
      </c>
      <c r="EH546" s="92">
        <f t="shared" si="39"/>
        <v>1.0301183808628462</v>
      </c>
      <c r="EI546" s="92">
        <f t="shared" si="40"/>
        <v>1.123625667265139</v>
      </c>
      <c r="FU546" s="451">
        <v>42199</v>
      </c>
      <c r="FV546" s="457">
        <v>180.5</v>
      </c>
      <c r="FW546" s="457"/>
    </row>
    <row r="547" spans="135:179" x14ac:dyDescent="0.35">
      <c r="EE547" s="451">
        <v>42180</v>
      </c>
      <c r="EF547" s="62">
        <v>176.89</v>
      </c>
      <c r="EG547" s="62">
        <v>2102.3100589999999</v>
      </c>
      <c r="EH547" s="92">
        <f t="shared" si="39"/>
        <v>1.0358846763006888</v>
      </c>
      <c r="EI547" s="92">
        <f t="shared" si="40"/>
        <v>1.124015747213855</v>
      </c>
      <c r="FU547" s="451">
        <v>42198</v>
      </c>
      <c r="FV547" s="457">
        <v>182.86</v>
      </c>
      <c r="FW547" s="457"/>
    </row>
    <row r="548" spans="135:179" x14ac:dyDescent="0.35">
      <c r="EE548" s="451">
        <v>42179</v>
      </c>
      <c r="EF548" s="62">
        <v>178.14</v>
      </c>
      <c r="EG548" s="62">
        <v>2108.580078</v>
      </c>
      <c r="EH548" s="92">
        <f t="shared" si="39"/>
        <v>1.0429016292590363</v>
      </c>
      <c r="EI548" s="92">
        <f t="shared" si="40"/>
        <v>1.12698932126277</v>
      </c>
      <c r="FU548" s="451">
        <v>42195</v>
      </c>
      <c r="FV548" s="457">
        <v>179.25</v>
      </c>
      <c r="FW548" s="457"/>
    </row>
    <row r="549" spans="135:179" x14ac:dyDescent="0.35">
      <c r="EE549" s="451">
        <v>42178</v>
      </c>
      <c r="EF549" s="62">
        <v>179.91</v>
      </c>
      <c r="EG549" s="62">
        <v>2124.1999510000001</v>
      </c>
      <c r="EH549" s="92">
        <f t="shared" si="39"/>
        <v>1.0527398817185996</v>
      </c>
      <c r="EI549" s="92">
        <f t="shared" si="40"/>
        <v>1.1343426182029412</v>
      </c>
      <c r="FU549" s="451">
        <v>42194</v>
      </c>
      <c r="FV549" s="457">
        <v>177.14</v>
      </c>
      <c r="FW549" s="457"/>
    </row>
    <row r="550" spans="135:179" x14ac:dyDescent="0.35">
      <c r="EE550" s="451">
        <v>42177</v>
      </c>
      <c r="EF550" s="62">
        <v>182.73</v>
      </c>
      <c r="EG550" s="62">
        <v>2122.8500979999999</v>
      </c>
      <c r="EH550" s="92">
        <f t="shared" si="39"/>
        <v>1.0681724872020997</v>
      </c>
      <c r="EI550" s="92">
        <f t="shared" si="40"/>
        <v>1.1337067499420255</v>
      </c>
      <c r="FU550" s="451">
        <v>42193</v>
      </c>
      <c r="FV550" s="457">
        <v>174.73</v>
      </c>
      <c r="FW550" s="457"/>
    </row>
    <row r="551" spans="135:179" x14ac:dyDescent="0.35">
      <c r="EE551" s="451">
        <v>42174</v>
      </c>
      <c r="EF551" s="62">
        <v>181.64</v>
      </c>
      <c r="EG551" s="62">
        <v>2109.98999</v>
      </c>
      <c r="EH551" s="92">
        <f t="shared" si="39"/>
        <v>1.0621716063388538</v>
      </c>
      <c r="EI551" s="92">
        <f t="shared" si="40"/>
        <v>1.1276118831128232</v>
      </c>
      <c r="FU551" s="451">
        <v>42192</v>
      </c>
      <c r="FV551" s="457">
        <v>175.56</v>
      </c>
      <c r="FW551" s="457"/>
    </row>
    <row r="552" spans="135:179" x14ac:dyDescent="0.35">
      <c r="EE552" s="451">
        <v>42173</v>
      </c>
      <c r="EF552" s="62">
        <v>182.04</v>
      </c>
      <c r="EG552" s="62">
        <v>2121.23999</v>
      </c>
      <c r="EH552" s="92">
        <f t="shared" si="39"/>
        <v>1.0643689256093438</v>
      </c>
      <c r="EI552" s="92">
        <f t="shared" si="40"/>
        <v>1.132915384863231</v>
      </c>
      <c r="FU552" s="451">
        <v>42191</v>
      </c>
      <c r="FV552" s="457">
        <v>174.86</v>
      </c>
      <c r="FW552" s="457"/>
    </row>
    <row r="553" spans="135:179" x14ac:dyDescent="0.35">
      <c r="EE553" s="451">
        <v>42172</v>
      </c>
      <c r="EF553" s="62">
        <v>182.61</v>
      </c>
      <c r="EG553" s="62">
        <v>2100.4399410000001</v>
      </c>
      <c r="EH553" s="92">
        <f t="shared" si="39"/>
        <v>1.0674903318850133</v>
      </c>
      <c r="EI553" s="92">
        <f t="shared" si="40"/>
        <v>1.1230126742005795</v>
      </c>
      <c r="FU553" s="451">
        <v>42187</v>
      </c>
      <c r="FV553" s="457">
        <v>174.95</v>
      </c>
    </row>
    <row r="554" spans="135:179" x14ac:dyDescent="0.35">
      <c r="EE554" s="451">
        <v>42171</v>
      </c>
      <c r="EF554" s="62">
        <v>182.38</v>
      </c>
      <c r="EG554" s="62">
        <v>2096.290039</v>
      </c>
      <c r="EH554" s="92">
        <f t="shared" si="39"/>
        <v>1.0662292286938737</v>
      </c>
      <c r="EI554" s="92">
        <f t="shared" si="40"/>
        <v>1.1210330330618086</v>
      </c>
      <c r="FU554" s="451">
        <v>42186</v>
      </c>
      <c r="FV554" s="457">
        <v>174.51</v>
      </c>
      <c r="FW554" s="457">
        <f>FX14</f>
        <v>212.5</v>
      </c>
    </row>
    <row r="555" spans="135:179" x14ac:dyDescent="0.35">
      <c r="EE555" s="451">
        <v>42170</v>
      </c>
      <c r="EF555" s="62">
        <v>183.74</v>
      </c>
      <c r="EG555" s="62">
        <v>2084.429932</v>
      </c>
      <c r="EH555" s="92">
        <f t="shared" si="39"/>
        <v>1.0736309920551452</v>
      </c>
      <c r="EI555" s="92">
        <f t="shared" si="40"/>
        <v>1.1153431766565034</v>
      </c>
      <c r="EJ555" s="92" t="s">
        <v>135</v>
      </c>
      <c r="FU555" s="451">
        <v>42185</v>
      </c>
      <c r="FV555" s="457">
        <v>174.77</v>
      </c>
      <c r="FW555" s="457"/>
    </row>
    <row r="556" spans="135:179" x14ac:dyDescent="0.35">
      <c r="EE556" s="451">
        <v>42167</v>
      </c>
      <c r="EF556" s="62">
        <v>184.45</v>
      </c>
      <c r="EG556" s="62">
        <v>2094.110107</v>
      </c>
      <c r="EH556" s="92">
        <f t="shared" si="39"/>
        <v>1.0774802737032882</v>
      </c>
      <c r="EI556" s="92">
        <f t="shared" si="40"/>
        <v>1.1199657487780179</v>
      </c>
      <c r="FU556" s="451">
        <v>42184</v>
      </c>
      <c r="FV556" s="457">
        <v>172.25</v>
      </c>
      <c r="FW556" s="457"/>
    </row>
    <row r="557" spans="135:179" x14ac:dyDescent="0.35">
      <c r="EE557" s="451">
        <v>42166</v>
      </c>
      <c r="EF557" s="62">
        <v>184.84</v>
      </c>
      <c r="EG557" s="62">
        <v>2108.860107</v>
      </c>
      <c r="EH557" s="92">
        <f t="shared" si="39"/>
        <v>1.0795902066182419</v>
      </c>
      <c r="EI557" s="92">
        <f t="shared" si="40"/>
        <v>1.1269600486611822</v>
      </c>
      <c r="FU557" s="451">
        <v>42181</v>
      </c>
      <c r="FV557" s="457">
        <v>175.87</v>
      </c>
      <c r="FW557" s="457"/>
    </row>
    <row r="558" spans="135:179" x14ac:dyDescent="0.35">
      <c r="EE558" s="451">
        <v>42165</v>
      </c>
      <c r="EF558" s="62">
        <v>183.04</v>
      </c>
      <c r="EG558" s="62">
        <v>2105.1999510000001</v>
      </c>
      <c r="EH558" s="92">
        <f t="shared" si="39"/>
        <v>1.0697562905343259</v>
      </c>
      <c r="EI558" s="92">
        <f t="shared" si="40"/>
        <v>1.1252214223619268</v>
      </c>
      <c r="FU558" s="451">
        <v>42180</v>
      </c>
      <c r="FV558" s="457">
        <v>176.89</v>
      </c>
      <c r="FW558" s="457"/>
    </row>
    <row r="559" spans="135:179" x14ac:dyDescent="0.35">
      <c r="EE559" s="451">
        <v>42164</v>
      </c>
      <c r="EF559" s="62">
        <v>181.79</v>
      </c>
      <c r="EG559" s="62">
        <v>2080.1499020000001</v>
      </c>
      <c r="EH559" s="92">
        <f t="shared" si="39"/>
        <v>1.0628802247441285</v>
      </c>
      <c r="EI559" s="92">
        <f t="shared" si="40"/>
        <v>1.113178997450186</v>
      </c>
      <c r="FU559" s="451">
        <v>42179</v>
      </c>
      <c r="FV559" s="457">
        <v>178.14</v>
      </c>
      <c r="FW559" s="457"/>
    </row>
    <row r="560" spans="135:179" x14ac:dyDescent="0.35">
      <c r="EE560" s="451">
        <v>42163</v>
      </c>
      <c r="EF560" s="62">
        <v>182.38</v>
      </c>
      <c r="EG560" s="62">
        <v>2079.280029</v>
      </c>
      <c r="EH560" s="92">
        <f t="shared" si="39"/>
        <v>1.0661152285822686</v>
      </c>
      <c r="EI560" s="92">
        <f t="shared" si="40"/>
        <v>1.1127606444684481</v>
      </c>
      <c r="FU560" s="451">
        <v>42178</v>
      </c>
      <c r="FV560" s="457">
        <v>179.91</v>
      </c>
      <c r="FW560" s="457"/>
    </row>
    <row r="561" spans="135:179" x14ac:dyDescent="0.35">
      <c r="EE561" s="451">
        <v>42160</v>
      </c>
      <c r="EF561" s="62">
        <v>183.63</v>
      </c>
      <c r="EG561" s="62">
        <v>2092.830078</v>
      </c>
      <c r="EH561" s="92">
        <f t="shared" si="39"/>
        <v>1.0729223951672493</v>
      </c>
      <c r="EI561" s="92">
        <f t="shared" si="40"/>
        <v>1.1192351543402428</v>
      </c>
      <c r="FU561" s="451">
        <v>42177</v>
      </c>
      <c r="FV561" s="457">
        <v>182.73</v>
      </c>
      <c r="FW561" s="457"/>
    </row>
    <row r="562" spans="135:179" x14ac:dyDescent="0.35">
      <c r="EE562" s="451">
        <v>42159</v>
      </c>
      <c r="EF562" s="62">
        <v>182.01</v>
      </c>
      <c r="EG562" s="62">
        <v>2095.8400879999999</v>
      </c>
      <c r="EH562" s="92">
        <f t="shared" si="39"/>
        <v>1.0640217853106479</v>
      </c>
      <c r="EI562" s="92">
        <f t="shared" si="40"/>
        <v>1.120671337385521</v>
      </c>
      <c r="FU562" s="451">
        <v>42174</v>
      </c>
      <c r="FV562" s="457">
        <v>181.64</v>
      </c>
      <c r="FW562" s="457"/>
    </row>
    <row r="563" spans="135:179" x14ac:dyDescent="0.35">
      <c r="EE563" s="451">
        <v>42158</v>
      </c>
      <c r="EF563" s="62">
        <v>181.78</v>
      </c>
      <c r="EG563" s="62">
        <v>2114.070068</v>
      </c>
      <c r="EH563" s="92">
        <f t="shared" si="39"/>
        <v>1.0627565196048498</v>
      </c>
      <c r="EI563" s="92">
        <f t="shared" si="40"/>
        <v>1.1292945047421481</v>
      </c>
      <c r="FU563" s="451">
        <v>42173</v>
      </c>
      <c r="FV563" s="457">
        <v>182.04</v>
      </c>
      <c r="FW563" s="457"/>
    </row>
    <row r="564" spans="135:179" x14ac:dyDescent="0.35">
      <c r="EE564" s="451">
        <v>42157</v>
      </c>
      <c r="EF564" s="62">
        <v>181.85</v>
      </c>
      <c r="EG564" s="62">
        <v>2109.6000979999999</v>
      </c>
      <c r="EH564" s="92">
        <f t="shared" si="39"/>
        <v>1.0631414522416385</v>
      </c>
      <c r="EI564" s="92">
        <f t="shared" si="40"/>
        <v>1.1271756339645833</v>
      </c>
      <c r="FU564" s="451">
        <v>42172</v>
      </c>
      <c r="FV564" s="457">
        <v>182.61</v>
      </c>
      <c r="FW564" s="457"/>
    </row>
    <row r="565" spans="135:179" x14ac:dyDescent="0.35">
      <c r="EE565" s="451">
        <v>42156</v>
      </c>
      <c r="EF565" s="62">
        <v>181.315</v>
      </c>
      <c r="EG565" s="62">
        <v>2111.7299800000001</v>
      </c>
      <c r="EH565" s="92">
        <f t="shared" si="39"/>
        <v>1.0601907862735718</v>
      </c>
      <c r="EI565" s="92">
        <f t="shared" si="40"/>
        <v>1.1281842297699998</v>
      </c>
      <c r="FU565" s="451">
        <v>42171</v>
      </c>
      <c r="FV565" s="457">
        <v>182.38</v>
      </c>
      <c r="FW565" s="457"/>
    </row>
    <row r="566" spans="135:179" x14ac:dyDescent="0.35">
      <c r="EE566" s="451">
        <v>42153</v>
      </c>
      <c r="EF566" s="62">
        <v>182</v>
      </c>
      <c r="EG566" s="62">
        <v>2107.389893</v>
      </c>
      <c r="EH566" s="92">
        <f t="shared" si="39"/>
        <v>1.0639545225373082</v>
      </c>
      <c r="EI566" s="92">
        <f t="shared" si="40"/>
        <v>1.1261247689106608</v>
      </c>
      <c r="FU566" s="451">
        <v>42170</v>
      </c>
      <c r="FV566" s="457">
        <v>183.74</v>
      </c>
      <c r="FW566" s="457"/>
    </row>
    <row r="567" spans="135:179" x14ac:dyDescent="0.35">
      <c r="EE567" s="451">
        <v>42152</v>
      </c>
      <c r="EF567" s="62">
        <v>183.29</v>
      </c>
      <c r="EG567" s="62">
        <v>2120.790039</v>
      </c>
      <c r="EH567" s="92">
        <f t="shared" si="39"/>
        <v>1.0709925497073665</v>
      </c>
      <c r="EI567" s="92">
        <f t="shared" si="40"/>
        <v>1.1324432378555256</v>
      </c>
      <c r="FU567" s="451">
        <v>42167</v>
      </c>
      <c r="FV567" s="457">
        <v>184.45</v>
      </c>
      <c r="FW567" s="457"/>
    </row>
    <row r="568" spans="135:179" x14ac:dyDescent="0.35">
      <c r="EE568" s="451">
        <v>42151</v>
      </c>
      <c r="EF568" s="62">
        <v>183.21</v>
      </c>
      <c r="EG568" s="62">
        <v>2123.4799800000001</v>
      </c>
      <c r="EH568" s="92">
        <f t="shared" si="39"/>
        <v>1.0705558923196694</v>
      </c>
      <c r="EI568" s="92">
        <f t="shared" si="40"/>
        <v>1.1337099985621653</v>
      </c>
      <c r="FU568" s="451">
        <v>42166</v>
      </c>
      <c r="FV568" s="457">
        <v>184.84</v>
      </c>
      <c r="FW568" s="457"/>
    </row>
    <row r="569" spans="135:179" x14ac:dyDescent="0.35">
      <c r="EE569" s="451">
        <v>42150</v>
      </c>
      <c r="EF569" s="62">
        <v>184.44</v>
      </c>
      <c r="EG569" s="62">
        <v>2104.1999510000001</v>
      </c>
      <c r="EH569" s="92">
        <f t="shared" si="39"/>
        <v>1.0772247277132934</v>
      </c>
      <c r="EI569" s="92">
        <f t="shared" si="40"/>
        <v>1.1245473574401381</v>
      </c>
      <c r="FU569" s="451">
        <v>42165</v>
      </c>
      <c r="FV569" s="457">
        <v>183.04</v>
      </c>
      <c r="FW569" s="457"/>
    </row>
    <row r="570" spans="135:179" x14ac:dyDescent="0.35">
      <c r="EE570" s="451">
        <v>42146</v>
      </c>
      <c r="EF570" s="62">
        <v>185.21</v>
      </c>
      <c r="EG570" s="62">
        <v>2126.0600589999999</v>
      </c>
      <c r="EH570" s="92">
        <f t="shared" si="39"/>
        <v>1.0813821706159445</v>
      </c>
      <c r="EI570" s="92">
        <f t="shared" si="40"/>
        <v>1.1348293379079344</v>
      </c>
      <c r="FU570" s="451">
        <v>42164</v>
      </c>
      <c r="FV570" s="457">
        <v>181.79</v>
      </c>
      <c r="FW570" s="457"/>
    </row>
    <row r="571" spans="135:179" x14ac:dyDescent="0.35">
      <c r="EE571" s="451">
        <v>42145</v>
      </c>
      <c r="EF571" s="62">
        <v>185.71</v>
      </c>
      <c r="EG571" s="62">
        <v>2130.820068</v>
      </c>
      <c r="EH571" s="92">
        <f t="shared" si="39"/>
        <v>1.0840745404398635</v>
      </c>
      <c r="EI571" s="92">
        <f t="shared" si="40"/>
        <v>1.1370632238523575</v>
      </c>
      <c r="FU571" s="451">
        <v>42163</v>
      </c>
      <c r="FV571" s="457">
        <v>182.38</v>
      </c>
      <c r="FW571" s="457"/>
    </row>
    <row r="572" spans="135:179" x14ac:dyDescent="0.35">
      <c r="EE572" s="451">
        <v>42144</v>
      </c>
      <c r="EF572" s="62">
        <v>186.14</v>
      </c>
      <c r="EG572" s="62">
        <v>2125.8500979999999</v>
      </c>
      <c r="EH572" s="92">
        <f t="shared" si="39"/>
        <v>1.0863846296200503</v>
      </c>
      <c r="EI572" s="92">
        <f t="shared" si="40"/>
        <v>1.1347253496980716</v>
      </c>
      <c r="FU572" s="451">
        <v>42160</v>
      </c>
      <c r="FV572" s="457">
        <v>183.63</v>
      </c>
      <c r="FW572" s="457"/>
    </row>
    <row r="573" spans="135:179" x14ac:dyDescent="0.35">
      <c r="EE573" s="451">
        <v>42143</v>
      </c>
      <c r="EF573" s="62">
        <v>186.8</v>
      </c>
      <c r="EG573" s="62">
        <v>2127.830078</v>
      </c>
      <c r="EH573" s="92">
        <f t="shared" si="39"/>
        <v>1.0899178201982089</v>
      </c>
      <c r="EI573" s="92">
        <f t="shared" si="40"/>
        <v>1.1356558657296247</v>
      </c>
      <c r="FU573" s="451">
        <v>42159</v>
      </c>
      <c r="FV573" s="457">
        <v>182.01</v>
      </c>
      <c r="FW573" s="457"/>
    </row>
    <row r="574" spans="135:179" x14ac:dyDescent="0.35">
      <c r="EE574" s="451">
        <v>42142</v>
      </c>
      <c r="EF574" s="62">
        <v>183.2</v>
      </c>
      <c r="EG574" s="62">
        <v>2129.1999510000001</v>
      </c>
      <c r="EH574" s="92">
        <f t="shared" si="39"/>
        <v>1.0702671651763747</v>
      </c>
      <c r="EI574" s="92">
        <f t="shared" si="40"/>
        <v>1.1362992402512879</v>
      </c>
      <c r="FU574" s="451">
        <v>42158</v>
      </c>
      <c r="FV574" s="457">
        <v>181.78</v>
      </c>
      <c r="FW574" s="457"/>
    </row>
    <row r="575" spans="135:179" x14ac:dyDescent="0.35">
      <c r="EE575" s="451">
        <v>42139</v>
      </c>
      <c r="EF575" s="62">
        <v>183.32</v>
      </c>
      <c r="EG575" s="62">
        <v>2122.7299800000001</v>
      </c>
      <c r="EH575" s="92">
        <f t="shared" si="39"/>
        <v>1.0709217582376882</v>
      </c>
      <c r="EI575" s="92">
        <f t="shared" si="40"/>
        <v>1.1332512920614763</v>
      </c>
      <c r="FU575" s="451">
        <v>42157</v>
      </c>
      <c r="FV575" s="457">
        <v>181.85</v>
      </c>
      <c r="FW575" s="457"/>
    </row>
    <row r="576" spans="135:179" x14ac:dyDescent="0.35">
      <c r="EE576" s="451">
        <v>42138</v>
      </c>
      <c r="EF576" s="62">
        <v>183.5</v>
      </c>
      <c r="EG576" s="62">
        <v>2121.1000979999999</v>
      </c>
      <c r="EH576" s="92">
        <f t="shared" si="39"/>
        <v>1.071902684668206</v>
      </c>
      <c r="EI576" s="92">
        <f t="shared" si="40"/>
        <v>1.1324828785379764</v>
      </c>
      <c r="FU576" s="451">
        <v>42156</v>
      </c>
      <c r="FV576" s="457">
        <v>181.315</v>
      </c>
      <c r="FW576" s="457"/>
    </row>
    <row r="577" spans="135:179" x14ac:dyDescent="0.35">
      <c r="EE577" s="451">
        <v>42137</v>
      </c>
      <c r="EF577" s="62">
        <v>182.04</v>
      </c>
      <c r="EG577" s="62">
        <v>2098.4799800000001</v>
      </c>
      <c r="EH577" s="92">
        <f t="shared" si="39"/>
        <v>1.0638824693309175</v>
      </c>
      <c r="EI577" s="92">
        <f t="shared" si="40"/>
        <v>1.1217035915228104</v>
      </c>
      <c r="FU577" s="451">
        <v>42153</v>
      </c>
      <c r="FV577" s="457">
        <v>182</v>
      </c>
      <c r="FW577" s="457"/>
    </row>
    <row r="578" spans="135:179" x14ac:dyDescent="0.35">
      <c r="EE578" s="451">
        <v>42136</v>
      </c>
      <c r="EF578" s="62">
        <v>183.11</v>
      </c>
      <c r="EG578" s="62">
        <v>2099.1201169999999</v>
      </c>
      <c r="EH578" s="92">
        <f t="shared" si="39"/>
        <v>1.0697259513908814</v>
      </c>
      <c r="EI578" s="92">
        <f t="shared" si="40"/>
        <v>1.1220085464393088</v>
      </c>
      <c r="FU578" s="451">
        <v>42152</v>
      </c>
      <c r="FV578" s="457">
        <v>183.29</v>
      </c>
      <c r="FW578" s="457"/>
    </row>
    <row r="579" spans="135:179" x14ac:dyDescent="0.35">
      <c r="EE579" s="451">
        <v>42135</v>
      </c>
      <c r="EF579" s="62">
        <v>182.87</v>
      </c>
      <c r="EG579" s="62">
        <v>2105.330078</v>
      </c>
      <c r="EH579" s="92">
        <f t="shared" si="39"/>
        <v>1.0684135436695492</v>
      </c>
      <c r="EI579" s="92">
        <f t="shared" si="40"/>
        <v>1.1249581841540273</v>
      </c>
      <c r="FU579" s="451">
        <v>42151</v>
      </c>
      <c r="FV579" s="457">
        <v>183.21</v>
      </c>
      <c r="FW579" s="457"/>
    </row>
    <row r="580" spans="135:179" x14ac:dyDescent="0.35">
      <c r="EE580" s="451">
        <v>42132</v>
      </c>
      <c r="EF580" s="62">
        <v>184.36</v>
      </c>
      <c r="EG580" s="62">
        <v>2116.1000979999999</v>
      </c>
      <c r="EH580" s="92">
        <f t="shared" si="39"/>
        <v>1.0764955571214911</v>
      </c>
      <c r="EI580" s="92">
        <f t="shared" si="40"/>
        <v>1.1300477449031521</v>
      </c>
      <c r="FU580" s="451">
        <v>42150</v>
      </c>
      <c r="FV580" s="457">
        <v>184.44</v>
      </c>
      <c r="FW580" s="457"/>
    </row>
    <row r="581" spans="135:179" x14ac:dyDescent="0.35">
      <c r="EE581" s="451">
        <v>42131</v>
      </c>
      <c r="EF581" s="62">
        <v>183.13</v>
      </c>
      <c r="EG581" s="62">
        <v>2088</v>
      </c>
      <c r="EH581" s="92">
        <f t="shared" si="39"/>
        <v>1.0697790169587651</v>
      </c>
      <c r="EI581" s="92">
        <f t="shared" si="40"/>
        <v>1.116589843562156</v>
      </c>
      <c r="FU581" s="451">
        <v>42146</v>
      </c>
      <c r="FV581" s="457">
        <v>185.21</v>
      </c>
      <c r="FW581" s="457"/>
    </row>
    <row r="582" spans="135:179" x14ac:dyDescent="0.35">
      <c r="EE582" s="451">
        <v>42130</v>
      </c>
      <c r="EF582" s="62">
        <v>182.24</v>
      </c>
      <c r="EG582" s="62">
        <v>2080.1499020000001</v>
      </c>
      <c r="EH582" s="92">
        <f t="shared" si="39"/>
        <v>1.0648953470729003</v>
      </c>
      <c r="EI582" s="92">
        <f t="shared" si="40"/>
        <v>1.1128160299574479</v>
      </c>
      <c r="FU582" s="451">
        <v>42145</v>
      </c>
      <c r="FV582" s="457">
        <v>185.71</v>
      </c>
      <c r="FW582" s="457"/>
    </row>
    <row r="583" spans="135:179" x14ac:dyDescent="0.35">
      <c r="EE583" s="451">
        <v>42129</v>
      </c>
      <c r="EF583" s="62">
        <v>182.83</v>
      </c>
      <c r="EG583" s="62">
        <v>2089.459961</v>
      </c>
      <c r="EH583" s="92">
        <f t="shared" si="39"/>
        <v>1.0681223885868751</v>
      </c>
      <c r="EI583" s="92">
        <f t="shared" si="40"/>
        <v>1.1172717549647575</v>
      </c>
      <c r="EJ583" s="92">
        <f>EH583</f>
        <v>1.0681223885868751</v>
      </c>
      <c r="EK583" s="452" t="s">
        <v>548</v>
      </c>
      <c r="FU583" s="451">
        <v>42144</v>
      </c>
      <c r="FV583" s="457">
        <v>186.14</v>
      </c>
      <c r="FW583" s="457"/>
    </row>
    <row r="584" spans="135:179" x14ac:dyDescent="0.35">
      <c r="EE584" s="451">
        <v>42128</v>
      </c>
      <c r="EF584" s="62">
        <v>183.02</v>
      </c>
      <c r="EG584" s="62">
        <v>2114.48999</v>
      </c>
      <c r="EH584" s="92">
        <f t="shared" si="39"/>
        <v>1.0691605264953004</v>
      </c>
      <c r="EI584" s="92">
        <f t="shared" si="40"/>
        <v>1.1291091385032817</v>
      </c>
      <c r="FU584" s="451">
        <v>42143</v>
      </c>
      <c r="FV584" s="457">
        <v>186.8</v>
      </c>
      <c r="FW584" s="457"/>
    </row>
    <row r="585" spans="135:179" x14ac:dyDescent="0.35">
      <c r="EE585" s="451">
        <v>42125</v>
      </c>
      <c r="EF585" s="62">
        <v>183.19</v>
      </c>
      <c r="EG585" s="62">
        <v>2108.290039</v>
      </c>
      <c r="EH585" s="92">
        <f t="shared" si="39"/>
        <v>1.0700885247484802</v>
      </c>
      <c r="EI585" s="92">
        <f t="shared" si="40"/>
        <v>1.126168389894072</v>
      </c>
      <c r="FU585" s="451">
        <v>42142</v>
      </c>
      <c r="FV585" s="457">
        <v>183.2</v>
      </c>
      <c r="FW585" s="457"/>
    </row>
    <row r="586" spans="135:179" x14ac:dyDescent="0.35">
      <c r="EE586" s="451">
        <v>42124</v>
      </c>
      <c r="EF586" s="62">
        <v>182.48</v>
      </c>
      <c r="EG586" s="62">
        <v>2085.51001</v>
      </c>
      <c r="EH586" s="92">
        <f t="shared" si="39"/>
        <v>1.0661976873964416</v>
      </c>
      <c r="EI586" s="92">
        <f t="shared" si="40"/>
        <v>1.1152453883784859</v>
      </c>
      <c r="FU586" s="451">
        <v>42139</v>
      </c>
      <c r="FV586" s="457">
        <v>183.32</v>
      </c>
      <c r="FW586" s="457"/>
    </row>
    <row r="587" spans="135:179" x14ac:dyDescent="0.35">
      <c r="EE587" s="451">
        <v>42123</v>
      </c>
      <c r="EF587" s="62">
        <v>184.39</v>
      </c>
      <c r="EG587" s="62">
        <v>2106.8500979999999</v>
      </c>
      <c r="EH587" s="92">
        <f t="shared" si="39"/>
        <v>1.0765561667065995</v>
      </c>
      <c r="EI587" s="92">
        <f t="shared" si="40"/>
        <v>1.1253742950435863</v>
      </c>
      <c r="FU587" s="451">
        <v>42138</v>
      </c>
      <c r="FV587" s="457">
        <v>183.5</v>
      </c>
      <c r="FW587" s="457"/>
    </row>
    <row r="588" spans="135:179" x14ac:dyDescent="0.35">
      <c r="EE588" s="451">
        <v>42122</v>
      </c>
      <c r="EF588" s="62">
        <v>185.57</v>
      </c>
      <c r="EG588" s="62">
        <v>2114.76001</v>
      </c>
      <c r="EH588" s="92">
        <f t="shared" si="39"/>
        <v>1.0829149531483735</v>
      </c>
      <c r="EI588" s="92">
        <f t="shared" si="40"/>
        <v>1.1291146305722499</v>
      </c>
      <c r="FU588" s="451">
        <v>42137</v>
      </c>
      <c r="FV588" s="457">
        <v>182.04</v>
      </c>
      <c r="FW588" s="457"/>
    </row>
    <row r="589" spans="135:179" x14ac:dyDescent="0.35">
      <c r="EE589" s="451">
        <v>42121</v>
      </c>
      <c r="EF589" s="62">
        <v>184.8</v>
      </c>
      <c r="EG589" s="62">
        <v>2108.919922</v>
      </c>
      <c r="EH589" s="92">
        <f t="shared" si="39"/>
        <v>1.0787482864817068</v>
      </c>
      <c r="EI589" s="92">
        <f t="shared" si="40"/>
        <v>1.1263453988251946</v>
      </c>
      <c r="FU589" s="451">
        <v>42136</v>
      </c>
      <c r="FV589" s="457">
        <v>183.11</v>
      </c>
      <c r="FW589" s="457"/>
    </row>
    <row r="590" spans="135:179" x14ac:dyDescent="0.35">
      <c r="EE590" s="451">
        <v>42118</v>
      </c>
      <c r="EF590" s="62">
        <v>184.36</v>
      </c>
      <c r="EG590" s="62">
        <v>2117.6899410000001</v>
      </c>
      <c r="EH590" s="92">
        <f t="shared" si="39"/>
        <v>1.0763616516368382</v>
      </c>
      <c r="EI590" s="92">
        <f t="shared" si="40"/>
        <v>1.1304867128250424</v>
      </c>
      <c r="FU590" s="451">
        <v>42135</v>
      </c>
      <c r="FV590" s="457">
        <v>182.87</v>
      </c>
      <c r="FW590" s="457"/>
    </row>
    <row r="591" spans="135:179" x14ac:dyDescent="0.35">
      <c r="EE591" s="451">
        <v>42117</v>
      </c>
      <c r="EF591" s="62">
        <v>182.69</v>
      </c>
      <c r="EG591" s="62">
        <v>2112.929932</v>
      </c>
      <c r="EH591" s="92">
        <f t="shared" si="39"/>
        <v>1.0672204835378727</v>
      </c>
      <c r="EI591" s="92">
        <f t="shared" si="40"/>
        <v>1.1282339126124512</v>
      </c>
      <c r="FU591" s="451">
        <v>42132</v>
      </c>
      <c r="FV591" s="457">
        <v>184.36</v>
      </c>
      <c r="FW591" s="457"/>
    </row>
    <row r="592" spans="135:179" x14ac:dyDescent="0.35">
      <c r="EE592" s="451">
        <v>42116</v>
      </c>
      <c r="EF592" s="62">
        <v>181.59</v>
      </c>
      <c r="EG592" s="62">
        <v>2107.959961</v>
      </c>
      <c r="EH592" s="92">
        <f t="shared" si="39"/>
        <v>1.0611628812469978</v>
      </c>
      <c r="EI592" s="92">
        <f t="shared" si="40"/>
        <v>1.1258761965780146</v>
      </c>
      <c r="FU592" s="451">
        <v>42131</v>
      </c>
      <c r="FV592" s="457">
        <v>183.13</v>
      </c>
      <c r="FW592" s="457"/>
    </row>
    <row r="593" spans="135:179" x14ac:dyDescent="0.35">
      <c r="EE593" s="451">
        <v>42115</v>
      </c>
      <c r="EF593" s="62">
        <v>183.85</v>
      </c>
      <c r="EG593" s="62">
        <v>2097.290039</v>
      </c>
      <c r="EH593" s="92">
        <f t="shared" si="39"/>
        <v>1.0734555111082977</v>
      </c>
      <c r="EI593" s="92">
        <f t="shared" si="40"/>
        <v>1.1207887161620549</v>
      </c>
      <c r="FU593" s="451">
        <v>42130</v>
      </c>
      <c r="FV593" s="457">
        <v>182.24</v>
      </c>
      <c r="FW593" s="457"/>
    </row>
    <row r="594" spans="135:179" x14ac:dyDescent="0.35">
      <c r="EE594" s="451">
        <v>42114</v>
      </c>
      <c r="EF594" s="62">
        <v>182</v>
      </c>
      <c r="EG594" s="62">
        <v>2100.3999020000001</v>
      </c>
      <c r="EH594" s="92">
        <f t="shared" si="39"/>
        <v>1.0632906759434626</v>
      </c>
      <c r="EI594" s="92">
        <f t="shared" si="40"/>
        <v>1.1222693213539705</v>
      </c>
      <c r="FU594" s="451">
        <v>42129</v>
      </c>
      <c r="FV594" s="457">
        <v>182.83</v>
      </c>
      <c r="FW594" s="457"/>
    </row>
    <row r="595" spans="135:179" x14ac:dyDescent="0.35">
      <c r="EE595" s="451">
        <v>42111</v>
      </c>
      <c r="EF595" s="62">
        <v>182.77</v>
      </c>
      <c r="EG595" s="62">
        <v>2081.179932</v>
      </c>
      <c r="EH595" s="92">
        <f t="shared" si="39"/>
        <v>1.0675036211751747</v>
      </c>
      <c r="EI595" s="92">
        <f t="shared" si="40"/>
        <v>1.1130341900207898</v>
      </c>
      <c r="FU595" s="451">
        <v>42128</v>
      </c>
      <c r="FV595" s="457">
        <v>183.02</v>
      </c>
      <c r="FW595" s="457"/>
    </row>
    <row r="596" spans="135:179" x14ac:dyDescent="0.35">
      <c r="EE596" s="451">
        <v>42110</v>
      </c>
      <c r="EF596" s="62">
        <v>182.89</v>
      </c>
      <c r="EG596" s="62">
        <v>2104.98999</v>
      </c>
      <c r="EH596" s="92">
        <f t="shared" si="39"/>
        <v>1.0681597532764378</v>
      </c>
      <c r="EI596" s="92">
        <f t="shared" si="40"/>
        <v>1.124345435258588</v>
      </c>
      <c r="EJ596" s="92">
        <f>EH596</f>
        <v>1.0681597532764378</v>
      </c>
      <c r="EK596" s="62" t="s">
        <v>549</v>
      </c>
      <c r="FU596" s="451">
        <v>42125</v>
      </c>
      <c r="FV596" s="457">
        <v>183.19</v>
      </c>
      <c r="FW596" s="457"/>
    </row>
    <row r="597" spans="135:179" x14ac:dyDescent="0.35">
      <c r="EE597" s="451">
        <v>42109</v>
      </c>
      <c r="EF597" s="62">
        <v>163.92</v>
      </c>
      <c r="EG597" s="62">
        <v>2106.6298830000001</v>
      </c>
      <c r="EH597" s="92">
        <f t="shared" si="39"/>
        <v>0.95243256928424647</v>
      </c>
      <c r="EI597" s="92">
        <f t="shared" si="40"/>
        <v>1.125123879072204</v>
      </c>
      <c r="EJ597" s="92"/>
      <c r="FU597" s="451">
        <v>42124</v>
      </c>
      <c r="FV597" s="457">
        <v>182.48</v>
      </c>
      <c r="FW597" s="457"/>
    </row>
    <row r="598" spans="135:179" x14ac:dyDescent="0.35">
      <c r="EE598" s="451">
        <v>42108</v>
      </c>
      <c r="EF598" s="62">
        <v>162.52000000000001</v>
      </c>
      <c r="EG598" s="62">
        <v>2095.8400879999999</v>
      </c>
      <c r="EH598" s="92">
        <f t="shared" si="39"/>
        <v>0.94381824489340238</v>
      </c>
      <c r="EI598" s="92">
        <f t="shared" si="40"/>
        <v>1.1199756833382934</v>
      </c>
      <c r="FU598" s="451">
        <v>42123</v>
      </c>
      <c r="FV598" s="457">
        <v>184.39</v>
      </c>
      <c r="FW598" s="457"/>
    </row>
    <row r="599" spans="135:179" x14ac:dyDescent="0.35">
      <c r="EE599" s="451">
        <v>42107</v>
      </c>
      <c r="EF599" s="62">
        <v>165.3</v>
      </c>
      <c r="EG599" s="62">
        <v>2092.429932</v>
      </c>
      <c r="EH599" s="92">
        <f t="shared" si="39"/>
        <v>0.96063615172945804</v>
      </c>
      <c r="EI599" s="92">
        <f t="shared" si="40"/>
        <v>1.1183459245837242</v>
      </c>
      <c r="FU599" s="451">
        <v>42122</v>
      </c>
      <c r="FV599" s="457">
        <v>185.57</v>
      </c>
      <c r="FW599" s="457"/>
    </row>
    <row r="600" spans="135:179" x14ac:dyDescent="0.35">
      <c r="EE600" s="451">
        <v>42104</v>
      </c>
      <c r="EF600" s="62">
        <v>166.3</v>
      </c>
      <c r="EG600" s="62">
        <v>2102.0600589999999</v>
      </c>
      <c r="EH600" s="92">
        <f t="shared" si="39"/>
        <v>0.96664938083348695</v>
      </c>
      <c r="EI600" s="92">
        <f t="shared" si="40"/>
        <v>1.1229272051987895</v>
      </c>
      <c r="FU600" s="451">
        <v>42121</v>
      </c>
      <c r="FV600" s="457">
        <v>184.8</v>
      </c>
      <c r="FW600" s="457"/>
    </row>
    <row r="601" spans="135:179" x14ac:dyDescent="0.35">
      <c r="EE601" s="451">
        <v>42103</v>
      </c>
      <c r="EF601" s="62">
        <v>164.46</v>
      </c>
      <c r="EG601" s="62">
        <v>2091.179932</v>
      </c>
      <c r="EH601" s="92">
        <f t="shared" si="39"/>
        <v>0.95546124998100002</v>
      </c>
      <c r="EI601" s="92">
        <f t="shared" si="40"/>
        <v>1.1177243401399257</v>
      </c>
      <c r="FU601" s="451">
        <v>42118</v>
      </c>
      <c r="FV601" s="457">
        <v>184.36</v>
      </c>
      <c r="FW601" s="457"/>
    </row>
    <row r="602" spans="135:179" x14ac:dyDescent="0.35">
      <c r="EE602" s="451">
        <v>42102</v>
      </c>
      <c r="EF602" s="62">
        <v>165.97</v>
      </c>
      <c r="EG602" s="62">
        <v>2081.8999020000001</v>
      </c>
      <c r="EH602" s="92">
        <f t="shared" si="39"/>
        <v>0.96455927974541522</v>
      </c>
      <c r="EI602" s="92">
        <f t="shared" si="40"/>
        <v>1.1132668587830723</v>
      </c>
      <c r="FU602" s="451">
        <v>42117</v>
      </c>
      <c r="FV602" s="457">
        <v>182.69</v>
      </c>
      <c r="FW602" s="457"/>
    </row>
    <row r="603" spans="135:179" x14ac:dyDescent="0.35">
      <c r="EE603" s="451">
        <v>42101</v>
      </c>
      <c r="EF603" s="62">
        <v>164.92</v>
      </c>
      <c r="EG603" s="62">
        <v>2076.330078</v>
      </c>
      <c r="EH603" s="92">
        <f t="shared" si="39"/>
        <v>0.95819255648565282</v>
      </c>
      <c r="EI603" s="92">
        <f t="shared" si="40"/>
        <v>1.1105843257604975</v>
      </c>
      <c r="FU603" s="451">
        <v>42116</v>
      </c>
      <c r="FV603" s="457">
        <v>181.59</v>
      </c>
      <c r="FW603" s="457"/>
    </row>
    <row r="604" spans="135:179" x14ac:dyDescent="0.35">
      <c r="EE604" s="451">
        <v>42100</v>
      </c>
      <c r="EF604" s="62">
        <v>164.69</v>
      </c>
      <c r="EG604" s="62">
        <v>2080.6201169999999</v>
      </c>
      <c r="EH604" s="92">
        <f t="shared" si="39"/>
        <v>0.95679599324562614</v>
      </c>
      <c r="EI604" s="92">
        <f t="shared" si="40"/>
        <v>1.1126462297885069</v>
      </c>
      <c r="FU604" s="451">
        <v>42115</v>
      </c>
      <c r="FV604" s="457">
        <v>183.85</v>
      </c>
      <c r="FW604" s="457"/>
    </row>
    <row r="605" spans="135:179" x14ac:dyDescent="0.35">
      <c r="EE605" s="451">
        <v>42096</v>
      </c>
      <c r="EF605" s="62">
        <v>166.04</v>
      </c>
      <c r="EG605" s="62">
        <v>2066.959961</v>
      </c>
      <c r="EH605" s="92">
        <f t="shared" ref="EH605:EH668" si="41">EH606+(EF605-EF606)/EF606</f>
        <v>0.96492656419238587</v>
      </c>
      <c r="EI605" s="92">
        <f t="shared" ref="EI605:EI668" si="42">EI606+(EG605-EG606)/EG606</f>
        <v>1.1060374147859215</v>
      </c>
      <c r="FU605" s="451">
        <v>42114</v>
      </c>
      <c r="FV605" s="457">
        <v>182</v>
      </c>
      <c r="FW605" s="457"/>
    </row>
    <row r="606" spans="135:179" x14ac:dyDescent="0.35">
      <c r="EE606" s="451">
        <v>42095</v>
      </c>
      <c r="EF606" s="62">
        <v>164.49</v>
      </c>
      <c r="EG606" s="62">
        <v>2059.6899410000001</v>
      </c>
      <c r="EH606" s="92">
        <f t="shared" si="41"/>
        <v>0.95550349896045694</v>
      </c>
      <c r="EI606" s="92">
        <f t="shared" si="42"/>
        <v>1.1025077475989904</v>
      </c>
      <c r="FU606" s="451">
        <v>42111</v>
      </c>
      <c r="FV606" s="457">
        <v>182.77</v>
      </c>
      <c r="FW606" s="457"/>
    </row>
    <row r="607" spans="135:179" x14ac:dyDescent="0.35">
      <c r="EE607" s="451">
        <v>42094</v>
      </c>
      <c r="EF607" s="62">
        <v>159.995</v>
      </c>
      <c r="EG607" s="62">
        <v>2067.889893</v>
      </c>
      <c r="EH607" s="92">
        <f t="shared" si="41"/>
        <v>0.92740887100333325</v>
      </c>
      <c r="EI607" s="92">
        <f t="shared" si="42"/>
        <v>1.106473119269773</v>
      </c>
      <c r="FU607" s="451">
        <v>42110</v>
      </c>
      <c r="FV607" s="457">
        <v>182.89</v>
      </c>
      <c r="FW607" s="457"/>
    </row>
    <row r="608" spans="135:179" x14ac:dyDescent="0.35">
      <c r="EE608" s="451">
        <v>42093</v>
      </c>
      <c r="EF608" s="62">
        <v>159.53</v>
      </c>
      <c r="EG608" s="62">
        <v>2086.23999</v>
      </c>
      <c r="EH608" s="92">
        <f t="shared" si="41"/>
        <v>0.92449405874231649</v>
      </c>
      <c r="EI608" s="92">
        <f t="shared" si="42"/>
        <v>1.1152688940070792</v>
      </c>
      <c r="FU608" s="451">
        <v>42109</v>
      </c>
      <c r="FV608" s="457">
        <v>163.92</v>
      </c>
      <c r="FW608" s="457"/>
    </row>
    <row r="609" spans="135:179" x14ac:dyDescent="0.35">
      <c r="EE609" s="451">
        <v>42090</v>
      </c>
      <c r="EF609" s="62">
        <v>159.22</v>
      </c>
      <c r="EG609" s="62">
        <v>2061.0200199999999</v>
      </c>
      <c r="EH609" s="92">
        <f t="shared" si="41"/>
        <v>0.92254706715834467</v>
      </c>
      <c r="EI609" s="92">
        <f t="shared" si="42"/>
        <v>1.1030322491636195</v>
      </c>
      <c r="FU609" s="451">
        <v>42108</v>
      </c>
      <c r="FV609" s="457">
        <v>162.52000000000001</v>
      </c>
      <c r="FW609" s="457"/>
    </row>
    <row r="610" spans="135:179" x14ac:dyDescent="0.35">
      <c r="EE610" s="451">
        <v>42089</v>
      </c>
      <c r="EF610" s="62">
        <v>157.27000000000001</v>
      </c>
      <c r="EG610" s="62">
        <v>2056.1499020000001</v>
      </c>
      <c r="EH610" s="92">
        <f t="shared" si="41"/>
        <v>0.91014800821512609</v>
      </c>
      <c r="EI610" s="92">
        <f t="shared" si="42"/>
        <v>1.1006636874185529</v>
      </c>
      <c r="FU610" s="451">
        <v>42107</v>
      </c>
      <c r="FV610" s="457">
        <v>165.3</v>
      </c>
      <c r="FW610" s="457"/>
    </row>
    <row r="611" spans="135:179" x14ac:dyDescent="0.35">
      <c r="EE611" s="451">
        <v>42088</v>
      </c>
      <c r="EF611" s="62">
        <v>157.41999999999999</v>
      </c>
      <c r="EG611" s="62">
        <v>2061.0500489999999</v>
      </c>
      <c r="EH611" s="92">
        <f t="shared" si="41"/>
        <v>0.91110087316240074</v>
      </c>
      <c r="EI611" s="92">
        <f t="shared" si="42"/>
        <v>1.103041187665273</v>
      </c>
      <c r="FU611" s="451">
        <v>42104</v>
      </c>
      <c r="FV611" s="457">
        <v>166.3</v>
      </c>
      <c r="FW611" s="457"/>
    </row>
    <row r="612" spans="135:179" x14ac:dyDescent="0.35">
      <c r="EE612" s="451">
        <v>42087</v>
      </c>
      <c r="EF612" s="62">
        <v>159.47499999999999</v>
      </c>
      <c r="EG612" s="62">
        <v>2091.5</v>
      </c>
      <c r="EH612" s="92">
        <f t="shared" si="41"/>
        <v>0.92398690545586371</v>
      </c>
      <c r="EI612" s="92">
        <f t="shared" si="42"/>
        <v>1.117600093235438</v>
      </c>
      <c r="FU612" s="451">
        <v>42103</v>
      </c>
      <c r="FV612" s="457">
        <v>164.46</v>
      </c>
      <c r="FW612" s="457"/>
    </row>
    <row r="613" spans="135:179" x14ac:dyDescent="0.35">
      <c r="EE613" s="451">
        <v>42086</v>
      </c>
      <c r="EF613" s="62">
        <v>160.54</v>
      </c>
      <c r="EG613" s="62">
        <v>2104.419922</v>
      </c>
      <c r="EH613" s="92">
        <f t="shared" si="41"/>
        <v>0.93062076617593348</v>
      </c>
      <c r="EI613" s="92">
        <f t="shared" si="42"/>
        <v>1.1237395152514209</v>
      </c>
      <c r="FU613" s="451">
        <v>42102</v>
      </c>
      <c r="FV613" s="457">
        <v>165.97</v>
      </c>
      <c r="FW613" s="457"/>
    </row>
    <row r="614" spans="135:179" x14ac:dyDescent="0.35">
      <c r="EE614" s="451">
        <v>42083</v>
      </c>
      <c r="EF614" s="62">
        <v>161.66999999999999</v>
      </c>
      <c r="EG614" s="62">
        <v>2108.1000979999999</v>
      </c>
      <c r="EH614" s="92">
        <f t="shared" si="41"/>
        <v>0.93761031278321993</v>
      </c>
      <c r="EI614" s="92">
        <f t="shared" si="42"/>
        <v>1.1254852463974379</v>
      </c>
      <c r="FU614" s="451">
        <v>42101</v>
      </c>
      <c r="FV614" s="457">
        <v>164.92</v>
      </c>
      <c r="FW614" s="457"/>
    </row>
    <row r="615" spans="135:179" x14ac:dyDescent="0.35">
      <c r="EE615" s="451">
        <v>42082</v>
      </c>
      <c r="EF615" s="62">
        <v>160.91999999999999</v>
      </c>
      <c r="EG615" s="62">
        <v>2089.2700199999999</v>
      </c>
      <c r="EH615" s="92">
        <f t="shared" si="41"/>
        <v>0.9329496118137941</v>
      </c>
      <c r="EI615" s="92">
        <f t="shared" si="42"/>
        <v>1.116472491789491</v>
      </c>
      <c r="FU615" s="451">
        <v>42100</v>
      </c>
      <c r="FV615" s="457">
        <v>164.69</v>
      </c>
      <c r="FW615" s="457"/>
    </row>
    <row r="616" spans="135:179" x14ac:dyDescent="0.35">
      <c r="EE616" s="451">
        <v>42081</v>
      </c>
      <c r="EF616" s="62">
        <v>161.56</v>
      </c>
      <c r="EG616" s="62">
        <v>2099.5</v>
      </c>
      <c r="EH616" s="92">
        <f t="shared" si="41"/>
        <v>0.93691098839215514</v>
      </c>
      <c r="EI616" s="92">
        <f t="shared" si="42"/>
        <v>1.1213450709750115</v>
      </c>
      <c r="EJ616" s="92"/>
      <c r="FU616" s="451">
        <v>42096</v>
      </c>
      <c r="FV616" s="457">
        <v>166.04</v>
      </c>
      <c r="FW616" s="457"/>
    </row>
    <row r="617" spans="135:179" x14ac:dyDescent="0.35">
      <c r="EE617" s="451">
        <v>42080</v>
      </c>
      <c r="EF617" s="62">
        <v>163.67500000000001</v>
      </c>
      <c r="EG617" s="62">
        <v>2074.280029</v>
      </c>
      <c r="EH617" s="92">
        <f t="shared" si="41"/>
        <v>0.94983293737642283</v>
      </c>
      <c r="EI617" s="92">
        <f t="shared" si="42"/>
        <v>1.1091866494275802</v>
      </c>
      <c r="FU617" s="451">
        <v>42095</v>
      </c>
      <c r="FV617" s="457">
        <v>164.49</v>
      </c>
      <c r="FW617" s="457">
        <f>FX13</f>
        <v>205.83333333333334</v>
      </c>
    </row>
    <row r="618" spans="135:179" x14ac:dyDescent="0.35">
      <c r="EE618" s="451">
        <v>42079</v>
      </c>
      <c r="EF618" s="62">
        <v>164.08</v>
      </c>
      <c r="EG618" s="62">
        <v>2081.1899410000001</v>
      </c>
      <c r="EH618" s="92">
        <f t="shared" si="41"/>
        <v>0.95230124551879236</v>
      </c>
      <c r="EI618" s="92">
        <f t="shared" si="42"/>
        <v>1.1125068230762574</v>
      </c>
      <c r="FU618" s="451">
        <v>42094</v>
      </c>
      <c r="FV618" s="457">
        <v>159.995</v>
      </c>
      <c r="FW618" s="457"/>
    </row>
    <row r="619" spans="135:179" x14ac:dyDescent="0.35">
      <c r="EE619" s="451">
        <v>42076</v>
      </c>
      <c r="EF619" s="62">
        <v>163.44999999999999</v>
      </c>
      <c r="EG619" s="62">
        <v>2053.3999020000001</v>
      </c>
      <c r="EH619" s="92">
        <f t="shared" si="41"/>
        <v>0.94844685579716481</v>
      </c>
      <c r="EI619" s="92">
        <f t="shared" si="42"/>
        <v>1.098973151932642</v>
      </c>
      <c r="FU619" s="451">
        <v>42093</v>
      </c>
      <c r="FV619" s="457">
        <v>159.53</v>
      </c>
      <c r="FW619" s="457"/>
    </row>
    <row r="620" spans="135:179" x14ac:dyDescent="0.35">
      <c r="EE620" s="451">
        <v>42075</v>
      </c>
      <c r="EF620" s="62">
        <v>163.76</v>
      </c>
      <c r="EG620" s="62">
        <v>2065.9499510000001</v>
      </c>
      <c r="EH620" s="92">
        <f t="shared" si="41"/>
        <v>0.95033986996423858</v>
      </c>
      <c r="EI620" s="92">
        <f t="shared" si="42"/>
        <v>1.1050478629845362</v>
      </c>
      <c r="FU620" s="451">
        <v>42090</v>
      </c>
      <c r="FV620" s="457">
        <v>159.22</v>
      </c>
      <c r="FW620" s="457"/>
    </row>
    <row r="621" spans="135:179" x14ac:dyDescent="0.35">
      <c r="EE621" s="451">
        <v>42074</v>
      </c>
      <c r="EF621" s="62">
        <v>158.59</v>
      </c>
      <c r="EG621" s="62">
        <v>2040.23999</v>
      </c>
      <c r="EH621" s="92">
        <f t="shared" si="41"/>
        <v>0.91774008435354437</v>
      </c>
      <c r="EI621" s="92">
        <f t="shared" si="42"/>
        <v>1.0924464233862465</v>
      </c>
      <c r="FU621" s="451">
        <v>42089</v>
      </c>
      <c r="FV621" s="457">
        <v>157.27000000000001</v>
      </c>
      <c r="FW621" s="457"/>
    </row>
    <row r="622" spans="135:179" x14ac:dyDescent="0.35">
      <c r="EE622" s="451">
        <v>42073</v>
      </c>
      <c r="EF622" s="62">
        <v>157.15</v>
      </c>
      <c r="EG622" s="62">
        <v>2044.160034</v>
      </c>
      <c r="EH622" s="92">
        <f t="shared" si="41"/>
        <v>0.90857686449990138</v>
      </c>
      <c r="EI622" s="92">
        <f t="shared" si="42"/>
        <v>1.0943641029880384</v>
      </c>
      <c r="FU622" s="451">
        <v>42088</v>
      </c>
      <c r="FV622" s="457">
        <v>157.41999999999999</v>
      </c>
      <c r="FW622" s="457"/>
    </row>
    <row r="623" spans="135:179" x14ac:dyDescent="0.35">
      <c r="EE623" s="451">
        <v>42072</v>
      </c>
      <c r="EF623" s="62">
        <v>159</v>
      </c>
      <c r="EG623" s="62">
        <v>2079.429932</v>
      </c>
      <c r="EH623" s="92">
        <f t="shared" si="41"/>
        <v>0.92021208462568749</v>
      </c>
      <c r="EI623" s="92">
        <f t="shared" si="42"/>
        <v>1.1113254333301854</v>
      </c>
      <c r="FU623" s="451">
        <v>42087</v>
      </c>
      <c r="FV623" s="457">
        <v>159.47499999999999</v>
      </c>
      <c r="FW623" s="457"/>
    </row>
    <row r="624" spans="135:179" x14ac:dyDescent="0.35">
      <c r="EE624" s="451">
        <v>42069</v>
      </c>
      <c r="EF624" s="62">
        <v>159.41999999999999</v>
      </c>
      <c r="EG624" s="62">
        <v>2071.26001</v>
      </c>
      <c r="EH624" s="92">
        <f t="shared" si="41"/>
        <v>0.92284663487032426</v>
      </c>
      <c r="EI624" s="92">
        <f t="shared" si="42"/>
        <v>1.1073810120790841</v>
      </c>
      <c r="FU624" s="451">
        <v>42086</v>
      </c>
      <c r="FV624" s="457">
        <v>160.54</v>
      </c>
      <c r="FW624" s="457"/>
    </row>
    <row r="625" spans="135:179" x14ac:dyDescent="0.35">
      <c r="EE625" s="451">
        <v>42068</v>
      </c>
      <c r="EF625" s="62">
        <v>161.54</v>
      </c>
      <c r="EG625" s="62">
        <v>2101.040039</v>
      </c>
      <c r="EH625" s="92">
        <f t="shared" si="41"/>
        <v>0.93597031940666209</v>
      </c>
      <c r="EI625" s="92">
        <f t="shared" si="42"/>
        <v>1.1215549585280884</v>
      </c>
      <c r="FU625" s="451">
        <v>42083</v>
      </c>
      <c r="FV625" s="457">
        <v>161.66999999999999</v>
      </c>
      <c r="FW625" s="457"/>
    </row>
    <row r="626" spans="135:179" x14ac:dyDescent="0.35">
      <c r="EE626" s="451">
        <v>42067</v>
      </c>
      <c r="EF626" s="62">
        <v>161.52000000000001</v>
      </c>
      <c r="EG626" s="62">
        <v>2098.530029</v>
      </c>
      <c r="EH626" s="92">
        <f t="shared" si="41"/>
        <v>0.93584649573157552</v>
      </c>
      <c r="EI626" s="92">
        <f t="shared" si="42"/>
        <v>1.1203588784313951</v>
      </c>
      <c r="FU626" s="451">
        <v>42082</v>
      </c>
      <c r="FV626" s="457">
        <v>160.91999999999999</v>
      </c>
      <c r="FW626" s="457"/>
    </row>
    <row r="627" spans="135:179" x14ac:dyDescent="0.35">
      <c r="EE627" s="451">
        <v>42066</v>
      </c>
      <c r="EF627" s="62">
        <v>162.78</v>
      </c>
      <c r="EG627" s="62">
        <v>2107.780029</v>
      </c>
      <c r="EH627" s="92">
        <f t="shared" si="41"/>
        <v>0.94358700439357324</v>
      </c>
      <c r="EI627" s="92">
        <f t="shared" si="42"/>
        <v>1.1247473819150289</v>
      </c>
      <c r="FU627" s="451">
        <v>42081</v>
      </c>
      <c r="FV627" s="457">
        <v>161.56</v>
      </c>
      <c r="FW627" s="457"/>
    </row>
    <row r="628" spans="135:179" x14ac:dyDescent="0.35">
      <c r="EE628" s="451">
        <v>42065</v>
      </c>
      <c r="EF628" s="62">
        <v>163.19999999999999</v>
      </c>
      <c r="EG628" s="62">
        <v>2117.389893</v>
      </c>
      <c r="EH628" s="92">
        <f t="shared" si="41"/>
        <v>0.94616053380533782</v>
      </c>
      <c r="EI628" s="92">
        <f t="shared" si="42"/>
        <v>1.1292859244063149</v>
      </c>
      <c r="FU628" s="451">
        <v>42080</v>
      </c>
      <c r="FV628" s="457">
        <v>163.67500000000001</v>
      </c>
      <c r="FW628" s="457"/>
    </row>
    <row r="629" spans="135:179" x14ac:dyDescent="0.35">
      <c r="EE629" s="451">
        <v>42062</v>
      </c>
      <c r="EF629" s="62">
        <v>161.43</v>
      </c>
      <c r="EG629" s="62">
        <v>2104.5</v>
      </c>
      <c r="EH629" s="92">
        <f t="shared" si="41"/>
        <v>0.93519602906644184</v>
      </c>
      <c r="EI629" s="92">
        <f t="shared" si="42"/>
        <v>1.1231610049480112</v>
      </c>
      <c r="FU629" s="451">
        <v>42079</v>
      </c>
      <c r="FV629" s="457">
        <v>164.08</v>
      </c>
      <c r="FW629" s="457"/>
    </row>
    <row r="630" spans="135:179" x14ac:dyDescent="0.35">
      <c r="EE630" s="451">
        <v>42061</v>
      </c>
      <c r="EF630" s="62">
        <v>161.54</v>
      </c>
      <c r="EG630" s="62">
        <v>2110.73999</v>
      </c>
      <c r="EH630" s="92">
        <f t="shared" si="41"/>
        <v>0.93587697496219513</v>
      </c>
      <c r="EI630" s="92">
        <f t="shared" si="42"/>
        <v>1.1261173093860581</v>
      </c>
      <c r="FU630" s="451">
        <v>42076</v>
      </c>
      <c r="FV630" s="457">
        <v>163.44999999999999</v>
      </c>
      <c r="FW630" s="457"/>
    </row>
    <row r="631" spans="135:179" x14ac:dyDescent="0.35">
      <c r="EE631" s="451">
        <v>42060</v>
      </c>
      <c r="EF631" s="62">
        <v>158.97999999999999</v>
      </c>
      <c r="EG631" s="62">
        <v>2113.860107</v>
      </c>
      <c r="EH631" s="92">
        <f t="shared" si="41"/>
        <v>0.91977432054025521</v>
      </c>
      <c r="EI631" s="92">
        <f t="shared" si="42"/>
        <v>1.127593337525133</v>
      </c>
      <c r="FU631" s="451">
        <v>42075</v>
      </c>
      <c r="FV631" s="457">
        <v>163.76</v>
      </c>
      <c r="FW631" s="457"/>
    </row>
    <row r="632" spans="135:179" x14ac:dyDescent="0.35">
      <c r="EE632" s="451">
        <v>42059</v>
      </c>
      <c r="EF632" s="62">
        <v>159.63</v>
      </c>
      <c r="EG632" s="62">
        <v>2115.4799800000001</v>
      </c>
      <c r="EH632" s="92">
        <f t="shared" si="41"/>
        <v>0.92384623684671396</v>
      </c>
      <c r="EI632" s="92">
        <f t="shared" si="42"/>
        <v>1.1283590611506529</v>
      </c>
      <c r="FU632" s="451">
        <v>42074</v>
      </c>
      <c r="FV632" s="457">
        <v>158.59</v>
      </c>
      <c r="FW632" s="457"/>
    </row>
    <row r="633" spans="135:179" x14ac:dyDescent="0.35">
      <c r="EE633" s="451">
        <v>42058</v>
      </c>
      <c r="EF633" s="62">
        <v>158.13</v>
      </c>
      <c r="EG633" s="62">
        <v>2109.6599120000001</v>
      </c>
      <c r="EH633" s="92">
        <f t="shared" si="41"/>
        <v>0.91436037078714272</v>
      </c>
      <c r="EI633" s="92">
        <f t="shared" si="42"/>
        <v>1.1256002904279905</v>
      </c>
      <c r="FU633" s="451">
        <v>42073</v>
      </c>
      <c r="FV633" s="457">
        <v>157.15</v>
      </c>
      <c r="FW633" s="457"/>
    </row>
    <row r="634" spans="135:179" x14ac:dyDescent="0.35">
      <c r="EE634" s="451">
        <v>42055</v>
      </c>
      <c r="EF634" s="62">
        <v>157.47999999999999</v>
      </c>
      <c r="EG634" s="62">
        <v>2110.3000489999999</v>
      </c>
      <c r="EH634" s="92">
        <f t="shared" si="41"/>
        <v>0.91023286253212621</v>
      </c>
      <c r="EI634" s="92">
        <f t="shared" si="42"/>
        <v>1.1259036297565865</v>
      </c>
      <c r="FU634" s="451">
        <v>42072</v>
      </c>
      <c r="FV634" s="457">
        <v>159</v>
      </c>
      <c r="FW634" s="457"/>
    </row>
    <row r="635" spans="135:179" x14ac:dyDescent="0.35">
      <c r="EE635" s="451">
        <v>42054</v>
      </c>
      <c r="EF635" s="62">
        <v>158.97999999999999</v>
      </c>
      <c r="EG635" s="62">
        <v>2097.4499510000001</v>
      </c>
      <c r="EH635" s="92">
        <f t="shared" si="41"/>
        <v>0.91966801160748157</v>
      </c>
      <c r="EI635" s="92">
        <f t="shared" si="42"/>
        <v>1.1197770959654592</v>
      </c>
      <c r="FU635" s="451">
        <v>42069</v>
      </c>
      <c r="FV635" s="457">
        <v>159.41999999999999</v>
      </c>
      <c r="FW635" s="457"/>
    </row>
    <row r="636" spans="135:179" x14ac:dyDescent="0.35">
      <c r="EE636" s="451">
        <v>42053</v>
      </c>
      <c r="EF636" s="62">
        <v>155.27000000000001</v>
      </c>
      <c r="EG636" s="62">
        <v>2099.679932</v>
      </c>
      <c r="EH636" s="92">
        <f t="shared" si="41"/>
        <v>0.89577414930310872</v>
      </c>
      <c r="EI636" s="92">
        <f t="shared" si="42"/>
        <v>1.1208391535514817</v>
      </c>
      <c r="FU636" s="451">
        <v>42068</v>
      </c>
      <c r="FV636" s="457">
        <v>161.54</v>
      </c>
      <c r="FW636" s="457"/>
    </row>
    <row r="637" spans="135:179" x14ac:dyDescent="0.35">
      <c r="EE637" s="451">
        <v>42052</v>
      </c>
      <c r="EF637" s="62">
        <v>153.68</v>
      </c>
      <c r="EG637" s="62">
        <v>2100.3400879999999</v>
      </c>
      <c r="EH637" s="92">
        <f t="shared" si="41"/>
        <v>0.88542797543533147</v>
      </c>
      <c r="EI637" s="92">
        <f t="shared" si="42"/>
        <v>1.1211534626501707</v>
      </c>
      <c r="FU637" s="451">
        <v>42067</v>
      </c>
      <c r="FV637" s="457">
        <v>161.52000000000001</v>
      </c>
      <c r="FW637" s="457"/>
    </row>
    <row r="638" spans="135:179" x14ac:dyDescent="0.35">
      <c r="EE638" s="451">
        <v>42048</v>
      </c>
      <c r="EF638" s="62">
        <v>155.02000000000001</v>
      </c>
      <c r="EG638" s="62">
        <v>2096.98999</v>
      </c>
      <c r="EH638" s="92">
        <f t="shared" si="41"/>
        <v>0.89407202136488895</v>
      </c>
      <c r="EI638" s="92">
        <f t="shared" si="42"/>
        <v>1.1195558880236938</v>
      </c>
      <c r="FU638" s="451">
        <v>42066</v>
      </c>
      <c r="FV638" s="457">
        <v>162.78</v>
      </c>
      <c r="FW638" s="457"/>
    </row>
    <row r="639" spans="135:179" x14ac:dyDescent="0.35">
      <c r="EE639" s="451">
        <v>42047</v>
      </c>
      <c r="EF639" s="62">
        <v>157.33000000000001</v>
      </c>
      <c r="EG639" s="62">
        <v>2088.4799800000001</v>
      </c>
      <c r="EH639" s="92">
        <f t="shared" si="41"/>
        <v>0.90875453582494103</v>
      </c>
      <c r="EI639" s="92">
        <f t="shared" si="42"/>
        <v>1.1154811494188257</v>
      </c>
      <c r="EJ639" s="92"/>
      <c r="FU639" s="451">
        <v>42065</v>
      </c>
      <c r="FV639" s="457">
        <v>163.19999999999999</v>
      </c>
      <c r="FW639" s="457"/>
    </row>
    <row r="640" spans="135:179" x14ac:dyDescent="0.35">
      <c r="EE640" s="451">
        <v>42046</v>
      </c>
      <c r="EF640" s="62">
        <v>176.48</v>
      </c>
      <c r="EG640" s="62">
        <v>2068.530029</v>
      </c>
      <c r="EH640" s="92">
        <f t="shared" si="41"/>
        <v>1.0172654152447052</v>
      </c>
      <c r="EI640" s="92">
        <f t="shared" si="42"/>
        <v>1.1058366430687561</v>
      </c>
      <c r="EJ640" s="92">
        <f>EH640</f>
        <v>1.0172654152447052</v>
      </c>
      <c r="EK640" s="62" t="s">
        <v>547</v>
      </c>
      <c r="FU640" s="451">
        <v>42062</v>
      </c>
      <c r="FV640" s="457">
        <v>161.43</v>
      </c>
      <c r="FW640" s="457"/>
    </row>
    <row r="641" spans="135:179" x14ac:dyDescent="0.35">
      <c r="EE641" s="451">
        <v>42045</v>
      </c>
      <c r="EF641" s="62">
        <v>176.62</v>
      </c>
      <c r="EG641" s="62">
        <v>2068.5900879999999</v>
      </c>
      <c r="EH641" s="92">
        <f t="shared" si="41"/>
        <v>1.0180580774573651</v>
      </c>
      <c r="EI641" s="92">
        <f t="shared" si="42"/>
        <v>1.1058656768538198</v>
      </c>
      <c r="FU641" s="451">
        <v>42061</v>
      </c>
      <c r="FV641" s="457">
        <v>161.54</v>
      </c>
      <c r="FW641" s="457"/>
    </row>
    <row r="642" spans="135:179" x14ac:dyDescent="0.35">
      <c r="EE642" s="451">
        <v>42044</v>
      </c>
      <c r="EF642" s="62">
        <v>173.76</v>
      </c>
      <c r="EG642" s="62">
        <v>2046.73999</v>
      </c>
      <c r="EH642" s="92">
        <f t="shared" si="41"/>
        <v>1.0015985931111404</v>
      </c>
      <c r="EI642" s="92">
        <f t="shared" si="42"/>
        <v>1.0951901156654151</v>
      </c>
      <c r="FU642" s="451">
        <v>42060</v>
      </c>
      <c r="FV642" s="457">
        <v>158.97999999999999</v>
      </c>
      <c r="FW642" s="457"/>
    </row>
    <row r="643" spans="135:179" x14ac:dyDescent="0.35">
      <c r="EE643" s="451">
        <v>42041</v>
      </c>
      <c r="EF643" s="62">
        <v>172.88</v>
      </c>
      <c r="EG643" s="62">
        <v>2055.469971</v>
      </c>
      <c r="EH643" s="92">
        <f t="shared" si="41"/>
        <v>0.99650835710928942</v>
      </c>
      <c r="EI643" s="92">
        <f t="shared" si="42"/>
        <v>1.0994373102842461</v>
      </c>
      <c r="FU643" s="451">
        <v>42059</v>
      </c>
      <c r="FV643" s="457">
        <v>159.63</v>
      </c>
      <c r="FW643" s="457"/>
    </row>
    <row r="644" spans="135:179" x14ac:dyDescent="0.35">
      <c r="EE644" s="451">
        <v>42040</v>
      </c>
      <c r="EF644" s="62">
        <v>172.4</v>
      </c>
      <c r="EG644" s="62">
        <v>2062.5200199999999</v>
      </c>
      <c r="EH644" s="92">
        <f t="shared" si="41"/>
        <v>0.99372413437147045</v>
      </c>
      <c r="EI644" s="92">
        <f t="shared" si="42"/>
        <v>1.1028554826809436</v>
      </c>
      <c r="FU644" s="451">
        <v>42058</v>
      </c>
      <c r="FV644" s="457">
        <v>158.13</v>
      </c>
      <c r="FW644" s="457"/>
    </row>
    <row r="645" spans="135:179" x14ac:dyDescent="0.35">
      <c r="EE645" s="451">
        <v>42039</v>
      </c>
      <c r="EF645" s="62">
        <v>171.78</v>
      </c>
      <c r="EG645" s="62">
        <v>2041.51001</v>
      </c>
      <c r="EH645" s="92">
        <f t="shared" si="41"/>
        <v>0.990114866703523</v>
      </c>
      <c r="EI645" s="92">
        <f t="shared" si="42"/>
        <v>1.0925640758805431</v>
      </c>
      <c r="FU645" s="451">
        <v>42055</v>
      </c>
      <c r="FV645" s="457">
        <v>157.47999999999999</v>
      </c>
      <c r="FW645" s="457"/>
    </row>
    <row r="646" spans="135:179" x14ac:dyDescent="0.35">
      <c r="EE646" s="451">
        <v>42038</v>
      </c>
      <c r="EF646" s="62">
        <v>172.71</v>
      </c>
      <c r="EG646" s="62">
        <v>2050.030029</v>
      </c>
      <c r="EH646" s="92">
        <f t="shared" si="41"/>
        <v>0.99549961570473899</v>
      </c>
      <c r="EI646" s="92">
        <f t="shared" si="42"/>
        <v>1.0967201218308338</v>
      </c>
      <c r="FU646" s="451">
        <v>42054</v>
      </c>
      <c r="FV646" s="457">
        <v>158.97999999999999</v>
      </c>
      <c r="FW646" s="457"/>
    </row>
    <row r="647" spans="135:179" x14ac:dyDescent="0.35">
      <c r="EE647" s="451">
        <v>42037</v>
      </c>
      <c r="EF647" s="62">
        <v>172.85</v>
      </c>
      <c r="EG647" s="62">
        <v>2020.849976</v>
      </c>
      <c r="EH647" s="92">
        <f t="shared" si="41"/>
        <v>0.99630956652915315</v>
      </c>
      <c r="EI647" s="92">
        <f t="shared" si="42"/>
        <v>1.0822806268922942</v>
      </c>
      <c r="FU647" s="451">
        <v>42053</v>
      </c>
      <c r="FV647" s="457">
        <v>155.27000000000001</v>
      </c>
      <c r="FW647" s="457"/>
    </row>
    <row r="648" spans="135:179" x14ac:dyDescent="0.35">
      <c r="EE648" s="451">
        <v>42034</v>
      </c>
      <c r="EF648" s="62">
        <v>171.86</v>
      </c>
      <c r="EG648" s="62">
        <v>1994.98999</v>
      </c>
      <c r="EH648" s="92">
        <f t="shared" si="41"/>
        <v>0.99054906379436913</v>
      </c>
      <c r="EI648" s="92">
        <f t="shared" si="42"/>
        <v>1.0693181628550688</v>
      </c>
      <c r="FU648" s="451">
        <v>42052</v>
      </c>
      <c r="FV648" s="457">
        <v>153.68</v>
      </c>
      <c r="FW648" s="457"/>
    </row>
    <row r="649" spans="135:179" x14ac:dyDescent="0.35">
      <c r="EE649" s="451">
        <v>42033</v>
      </c>
      <c r="EF649" s="62">
        <v>173.32</v>
      </c>
      <c r="EG649" s="62">
        <v>2021.25</v>
      </c>
      <c r="EH649" s="92">
        <f t="shared" si="41"/>
        <v>0.99897278869628459</v>
      </c>
      <c r="EI649" s="92">
        <f t="shared" si="42"/>
        <v>1.0823101282230341</v>
      </c>
      <c r="FU649" s="451">
        <v>42048</v>
      </c>
      <c r="FV649" s="457">
        <v>155.02000000000001</v>
      </c>
      <c r="FW649" s="457"/>
    </row>
    <row r="650" spans="135:179" x14ac:dyDescent="0.35">
      <c r="EE650" s="451">
        <v>42032</v>
      </c>
      <c r="EF650" s="62">
        <v>171.12</v>
      </c>
      <c r="EG650" s="62">
        <v>2002.160034</v>
      </c>
      <c r="EH650" s="92">
        <f t="shared" si="41"/>
        <v>0.98611631370797237</v>
      </c>
      <c r="EI650" s="92">
        <f t="shared" si="42"/>
        <v>1.0727754428453316</v>
      </c>
      <c r="FU650" s="451">
        <v>42047</v>
      </c>
      <c r="FV650" s="457">
        <v>157.33000000000001</v>
      </c>
      <c r="FW650" s="457"/>
    </row>
    <row r="651" spans="135:179" x14ac:dyDescent="0.35">
      <c r="EE651" s="451">
        <v>42031</v>
      </c>
      <c r="EF651" s="62">
        <v>171.22</v>
      </c>
      <c r="EG651" s="62">
        <v>2029.5500489999999</v>
      </c>
      <c r="EH651" s="92">
        <f t="shared" si="41"/>
        <v>0.98670035762807518</v>
      </c>
      <c r="EI651" s="92">
        <f t="shared" si="42"/>
        <v>1.0862710523837589</v>
      </c>
      <c r="FU651" s="451">
        <v>42046</v>
      </c>
      <c r="FV651" s="457">
        <v>176.48</v>
      </c>
      <c r="FW651" s="457"/>
    </row>
    <row r="652" spans="135:179" x14ac:dyDescent="0.35">
      <c r="EE652" s="451">
        <v>42030</v>
      </c>
      <c r="EF652" s="62">
        <v>170.09</v>
      </c>
      <c r="EG652" s="62">
        <v>2057.0900879999999</v>
      </c>
      <c r="EH652" s="92">
        <f t="shared" si="41"/>
        <v>0.9800568159736569</v>
      </c>
      <c r="EI652" s="92">
        <f t="shared" si="42"/>
        <v>1.0996589147630753</v>
      </c>
      <c r="FU652" s="451">
        <v>42045</v>
      </c>
      <c r="FV652" s="457">
        <v>176.62</v>
      </c>
      <c r="FW652" s="457"/>
    </row>
    <row r="653" spans="135:179" x14ac:dyDescent="0.35">
      <c r="EE653" s="451">
        <v>42027</v>
      </c>
      <c r="EF653" s="62">
        <v>170.35</v>
      </c>
      <c r="EG653" s="62">
        <v>2051.820068</v>
      </c>
      <c r="EH653" s="92">
        <f t="shared" si="41"/>
        <v>0.98158308541891659</v>
      </c>
      <c r="EI653" s="92">
        <f t="shared" si="42"/>
        <v>1.0970904536771395</v>
      </c>
      <c r="FU653" s="451">
        <v>42044</v>
      </c>
      <c r="FV653" s="457">
        <v>173.76</v>
      </c>
      <c r="FW653" s="457"/>
    </row>
    <row r="654" spans="135:179" x14ac:dyDescent="0.35">
      <c r="EE654" s="451">
        <v>42026</v>
      </c>
      <c r="EF654" s="62">
        <v>171.08</v>
      </c>
      <c r="EG654" s="62">
        <v>2063.1499020000001</v>
      </c>
      <c r="EH654" s="92">
        <f t="shared" si="41"/>
        <v>0.98585009500507526</v>
      </c>
      <c r="EI654" s="92">
        <f t="shared" si="42"/>
        <v>1.1025819761249351</v>
      </c>
      <c r="FU654" s="451">
        <v>42041</v>
      </c>
      <c r="FV654" s="457">
        <v>172.88</v>
      </c>
      <c r="FW654" s="457"/>
    </row>
    <row r="655" spans="135:179" x14ac:dyDescent="0.35">
      <c r="EE655" s="451">
        <v>42025</v>
      </c>
      <c r="EF655" s="62">
        <v>170.05</v>
      </c>
      <c r="EG655" s="62">
        <v>2032.119995</v>
      </c>
      <c r="EH655" s="92">
        <f t="shared" si="41"/>
        <v>0.97979305295861829</v>
      </c>
      <c r="EI655" s="92">
        <f t="shared" si="42"/>
        <v>1.0873122543189646</v>
      </c>
      <c r="FU655" s="451">
        <v>42040</v>
      </c>
      <c r="FV655" s="457">
        <v>172.4</v>
      </c>
      <c r="FW655" s="457"/>
    </row>
    <row r="656" spans="135:179" x14ac:dyDescent="0.35">
      <c r="EE656" s="451">
        <v>42024</v>
      </c>
      <c r="EF656" s="62">
        <v>168.37</v>
      </c>
      <c r="EG656" s="62">
        <v>2022.5500489999999</v>
      </c>
      <c r="EH656" s="92">
        <f t="shared" si="41"/>
        <v>0.96981502836991484</v>
      </c>
      <c r="EI656" s="92">
        <f t="shared" si="42"/>
        <v>1.0825806304935213</v>
      </c>
      <c r="FU656" s="451">
        <v>42039</v>
      </c>
      <c r="FV656" s="457">
        <v>171.78</v>
      </c>
      <c r="FW656" s="457"/>
    </row>
    <row r="657" spans="135:179" x14ac:dyDescent="0.35">
      <c r="EE657" s="451">
        <v>42020</v>
      </c>
      <c r="EF657" s="62">
        <v>171.39500000000001</v>
      </c>
      <c r="EG657" s="62">
        <v>2019.420044</v>
      </c>
      <c r="EH657" s="92">
        <f t="shared" si="41"/>
        <v>0.98746431802247181</v>
      </c>
      <c r="EI657" s="92">
        <f t="shared" si="42"/>
        <v>1.0810306780656944</v>
      </c>
      <c r="FU657" s="451">
        <v>42038</v>
      </c>
      <c r="FV657" s="457">
        <v>172.71</v>
      </c>
      <c r="FW657" s="457"/>
    </row>
    <row r="658" spans="135:179" x14ac:dyDescent="0.35">
      <c r="EE658" s="451">
        <v>42019</v>
      </c>
      <c r="EF658" s="62">
        <v>171.22</v>
      </c>
      <c r="EG658" s="62">
        <v>1992.670044</v>
      </c>
      <c r="EH658" s="92">
        <f t="shared" si="41"/>
        <v>0.98644224116229184</v>
      </c>
      <c r="EI658" s="92">
        <f t="shared" si="42"/>
        <v>1.0676064786702424</v>
      </c>
      <c r="FU658" s="451">
        <v>42037</v>
      </c>
      <c r="FV658" s="457">
        <v>172.85</v>
      </c>
      <c r="FW658" s="457"/>
    </row>
    <row r="659" spans="135:179" x14ac:dyDescent="0.35">
      <c r="EE659" s="451">
        <v>42018</v>
      </c>
      <c r="EF659" s="62">
        <v>175.23</v>
      </c>
      <c r="EG659" s="62">
        <v>2011.2700199999999</v>
      </c>
      <c r="EH659" s="92">
        <f t="shared" si="41"/>
        <v>1.0093264504871791</v>
      </c>
      <c r="EI659" s="92">
        <f t="shared" si="42"/>
        <v>1.0768543547957961</v>
      </c>
      <c r="FU659" s="451">
        <v>42034</v>
      </c>
      <c r="FV659" s="457">
        <v>171.86</v>
      </c>
      <c r="FW659" s="457"/>
    </row>
    <row r="660" spans="135:179" x14ac:dyDescent="0.35">
      <c r="EE660" s="451">
        <v>42017</v>
      </c>
      <c r="EF660" s="62">
        <v>176.52</v>
      </c>
      <c r="EG660" s="62">
        <v>2023.030029</v>
      </c>
      <c r="EH660" s="92">
        <f t="shared" si="41"/>
        <v>1.0166344042601227</v>
      </c>
      <c r="EI660" s="92">
        <f t="shared" si="42"/>
        <v>1.0826674217455798</v>
      </c>
      <c r="FU660" s="451">
        <v>42033</v>
      </c>
      <c r="FV660" s="457">
        <v>173.32</v>
      </c>
      <c r="FW660" s="457"/>
    </row>
    <row r="661" spans="135:179" x14ac:dyDescent="0.35">
      <c r="EE661" s="451">
        <v>42016</v>
      </c>
      <c r="EF661" s="62">
        <v>175.8</v>
      </c>
      <c r="EG661" s="62">
        <v>2028.26001</v>
      </c>
      <c r="EH661" s="92">
        <f t="shared" si="41"/>
        <v>1.012538841120191</v>
      </c>
      <c r="EI661" s="92">
        <f t="shared" si="42"/>
        <v>1.0852459772435015</v>
      </c>
      <c r="FU661" s="451">
        <v>42032</v>
      </c>
      <c r="FV661" s="457">
        <v>171.12</v>
      </c>
      <c r="FW661" s="457"/>
    </row>
    <row r="662" spans="135:179" x14ac:dyDescent="0.35">
      <c r="EE662" s="451">
        <v>42013</v>
      </c>
      <c r="EF662" s="62">
        <v>175.64</v>
      </c>
      <c r="EG662" s="62">
        <v>2044.8100589999999</v>
      </c>
      <c r="EH662" s="92">
        <f t="shared" si="41"/>
        <v>1.0116278868956405</v>
      </c>
      <c r="EI662" s="92">
        <f t="shared" si="42"/>
        <v>1.0933396624868603</v>
      </c>
      <c r="FU662" s="451">
        <v>42031</v>
      </c>
      <c r="FV662" s="457">
        <v>171.22</v>
      </c>
      <c r="FW662" s="457"/>
    </row>
    <row r="663" spans="135:179" x14ac:dyDescent="0.35">
      <c r="EE663" s="451">
        <v>42012</v>
      </c>
      <c r="EF663" s="62">
        <v>174.23</v>
      </c>
      <c r="EG663" s="62">
        <v>2062.139893</v>
      </c>
      <c r="EH663" s="92">
        <f t="shared" si="41"/>
        <v>1.0035351359342677</v>
      </c>
      <c r="EI663" s="92">
        <f t="shared" si="42"/>
        <v>1.1017434735274336</v>
      </c>
      <c r="FU663" s="451">
        <v>42030</v>
      </c>
      <c r="FV663" s="457">
        <v>170.09</v>
      </c>
      <c r="FW663" s="457"/>
    </row>
    <row r="664" spans="135:179" x14ac:dyDescent="0.35">
      <c r="EE664" s="451">
        <v>42011</v>
      </c>
      <c r="EF664" s="62">
        <v>172.87</v>
      </c>
      <c r="EG664" s="62">
        <v>2025.900024</v>
      </c>
      <c r="EH664" s="92">
        <f t="shared" si="41"/>
        <v>0.99566795250163054</v>
      </c>
      <c r="EI664" s="92">
        <f t="shared" si="42"/>
        <v>1.083855192481636</v>
      </c>
      <c r="FU664" s="451">
        <v>42027</v>
      </c>
      <c r="FV664" s="457">
        <v>170.35</v>
      </c>
      <c r="FW664" s="457"/>
    </row>
    <row r="665" spans="135:179" x14ac:dyDescent="0.35">
      <c r="EE665" s="451">
        <v>42010</v>
      </c>
      <c r="EF665" s="62">
        <v>169.39</v>
      </c>
      <c r="EG665" s="62">
        <v>2002.6099850000001</v>
      </c>
      <c r="EH665" s="92">
        <f t="shared" si="41"/>
        <v>0.97512364646231287</v>
      </c>
      <c r="EI665" s="92">
        <f t="shared" si="42"/>
        <v>1.0722253498390608</v>
      </c>
      <c r="FU665" s="451">
        <v>42026</v>
      </c>
      <c r="FV665" s="457">
        <v>171.08</v>
      </c>
      <c r="FW665" s="457"/>
    </row>
    <row r="666" spans="135:179" x14ac:dyDescent="0.35">
      <c r="EE666" s="451">
        <v>42009</v>
      </c>
      <c r="EF666" s="62">
        <v>172.26</v>
      </c>
      <c r="EG666" s="62">
        <v>2020.579956</v>
      </c>
      <c r="EH666" s="92">
        <f t="shared" si="41"/>
        <v>0.99178450795076056</v>
      </c>
      <c r="EI666" s="92">
        <f t="shared" si="42"/>
        <v>1.0811188217091738</v>
      </c>
      <c r="FU666" s="451">
        <v>42025</v>
      </c>
      <c r="FV666" s="457">
        <v>170.05</v>
      </c>
      <c r="FW666" s="457"/>
    </row>
    <row r="667" spans="135:179" x14ac:dyDescent="0.35">
      <c r="EE667" s="451">
        <v>42006</v>
      </c>
      <c r="EF667" s="62">
        <v>173.1</v>
      </c>
      <c r="EG667" s="62">
        <v>2058.1999510000001</v>
      </c>
      <c r="EH667" s="92">
        <f t="shared" si="41"/>
        <v>0.99663719425925279</v>
      </c>
      <c r="EI667" s="92">
        <f t="shared" si="42"/>
        <v>1.099396926798877</v>
      </c>
      <c r="FU667" s="451">
        <v>42024</v>
      </c>
      <c r="FV667" s="457">
        <v>168.37</v>
      </c>
      <c r="FW667" s="457"/>
    </row>
    <row r="668" spans="135:179" x14ac:dyDescent="0.35">
      <c r="EE668" s="451">
        <v>42004</v>
      </c>
      <c r="EF668" s="62">
        <v>174.8</v>
      </c>
      <c r="EG668" s="62">
        <v>2058.8999020000001</v>
      </c>
      <c r="EH668" s="92">
        <f t="shared" si="41"/>
        <v>1.0063625947169188</v>
      </c>
      <c r="EI668" s="92">
        <f t="shared" si="42"/>
        <v>1.0997368903878404</v>
      </c>
      <c r="FU668" s="451">
        <v>42020</v>
      </c>
      <c r="FV668" s="457">
        <v>171.39500000000001</v>
      </c>
      <c r="FW668" s="457"/>
    </row>
    <row r="669" spans="135:179" x14ac:dyDescent="0.35">
      <c r="EE669" s="451">
        <v>42003</v>
      </c>
      <c r="EF669" s="62">
        <v>174.89</v>
      </c>
      <c r="EG669" s="62">
        <v>2080.3500979999999</v>
      </c>
      <c r="EH669" s="92">
        <f t="shared" ref="EH669:EH732" si="43">EH670+(EF669-EF670)/EF670</f>
        <v>1.0068772038998337</v>
      </c>
      <c r="EI669" s="92">
        <f t="shared" ref="EI669:EI732" si="44">EI670+(EG669-EG670)/EG670</f>
        <v>1.11004774913254</v>
      </c>
      <c r="FU669" s="451">
        <v>42019</v>
      </c>
      <c r="FV669" s="457">
        <v>171.22</v>
      </c>
      <c r="FW669" s="457"/>
    </row>
    <row r="670" spans="135:179" x14ac:dyDescent="0.35">
      <c r="EE670" s="451">
        <v>42002</v>
      </c>
      <c r="EF670" s="62">
        <v>176.185</v>
      </c>
      <c r="EG670" s="62">
        <v>2090.570068</v>
      </c>
      <c r="EH670" s="92">
        <f t="shared" si="43"/>
        <v>1.0142274323528804</v>
      </c>
      <c r="EI670" s="92">
        <f t="shared" si="44"/>
        <v>1.1149363535167869</v>
      </c>
      <c r="FU670" s="451">
        <v>42018</v>
      </c>
      <c r="FV670" s="457">
        <v>175.23</v>
      </c>
      <c r="FW670" s="457"/>
    </row>
    <row r="671" spans="135:179" x14ac:dyDescent="0.35">
      <c r="EE671" s="451">
        <v>41999</v>
      </c>
      <c r="EF671" s="62">
        <v>173.25</v>
      </c>
      <c r="EG671" s="62">
        <v>2088.7700199999999</v>
      </c>
      <c r="EH671" s="92">
        <f t="shared" si="43"/>
        <v>0.99728659541204334</v>
      </c>
      <c r="EI671" s="92">
        <f t="shared" si="44"/>
        <v>1.1140745793708711</v>
      </c>
      <c r="FU671" s="451">
        <v>42017</v>
      </c>
      <c r="FV671" s="457">
        <v>176.52</v>
      </c>
      <c r="FW671" s="457"/>
    </row>
    <row r="672" spans="135:179" x14ac:dyDescent="0.35">
      <c r="EE672" s="451">
        <v>41997</v>
      </c>
      <c r="EF672" s="62">
        <v>171.31</v>
      </c>
      <c r="EG672" s="62">
        <v>2081.8798830000001</v>
      </c>
      <c r="EH672" s="92">
        <f t="shared" si="43"/>
        <v>0.98596209596659357</v>
      </c>
      <c r="EI672" s="92">
        <f t="shared" si="44"/>
        <v>1.1107650046656912</v>
      </c>
      <c r="FU672" s="451">
        <v>42016</v>
      </c>
      <c r="FV672" s="457">
        <v>175.8</v>
      </c>
      <c r="FW672" s="457"/>
    </row>
    <row r="673" spans="135:179" x14ac:dyDescent="0.35">
      <c r="EE673" s="451">
        <v>41996</v>
      </c>
      <c r="EF673" s="62">
        <v>171.91</v>
      </c>
      <c r="EG673" s="62">
        <v>2082.169922</v>
      </c>
      <c r="EH673" s="92">
        <f t="shared" si="43"/>
        <v>0.9894522943262003</v>
      </c>
      <c r="EI673" s="92">
        <f t="shared" si="44"/>
        <v>1.1109043011740767</v>
      </c>
      <c r="FU673" s="451">
        <v>42013</v>
      </c>
      <c r="FV673" s="457">
        <v>175.64</v>
      </c>
      <c r="FW673" s="457"/>
    </row>
    <row r="674" spans="135:179" x14ac:dyDescent="0.35">
      <c r="EE674" s="451">
        <v>41995</v>
      </c>
      <c r="EF674" s="62">
        <v>168.76</v>
      </c>
      <c r="EG674" s="62">
        <v>2078.540039</v>
      </c>
      <c r="EH674" s="92">
        <f t="shared" si="43"/>
        <v>0.970786733766826</v>
      </c>
      <c r="EI674" s="92">
        <f t="shared" si="44"/>
        <v>1.1091579393374549</v>
      </c>
      <c r="FU674" s="451">
        <v>42012</v>
      </c>
      <c r="FV674" s="457">
        <v>174.23</v>
      </c>
      <c r="FW674" s="457"/>
    </row>
    <row r="675" spans="135:179" x14ac:dyDescent="0.35">
      <c r="EE675" s="451">
        <v>41992</v>
      </c>
      <c r="EF675" s="62">
        <v>165.6</v>
      </c>
      <c r="EG675" s="62">
        <v>2070.6499020000001</v>
      </c>
      <c r="EH675" s="92">
        <f t="shared" si="43"/>
        <v>0.95170460816296132</v>
      </c>
      <c r="EI675" s="92">
        <f t="shared" si="44"/>
        <v>1.1053474752931087</v>
      </c>
      <c r="FU675" s="451">
        <v>42011</v>
      </c>
      <c r="FV675" s="457">
        <v>172.87</v>
      </c>
      <c r="FW675" s="457"/>
    </row>
    <row r="676" spans="135:179" x14ac:dyDescent="0.35">
      <c r="EE676" s="451">
        <v>41991</v>
      </c>
      <c r="EF676" s="62">
        <v>168.68</v>
      </c>
      <c r="EG676" s="62">
        <v>2061.2299800000001</v>
      </c>
      <c r="EH676" s="92">
        <f t="shared" si="43"/>
        <v>0.969964034295283</v>
      </c>
      <c r="EI676" s="92">
        <f t="shared" si="44"/>
        <v>1.1007774262974115</v>
      </c>
      <c r="FU676" s="451">
        <v>42010</v>
      </c>
      <c r="FV676" s="457">
        <v>169.39</v>
      </c>
      <c r="FW676" s="457"/>
    </row>
    <row r="677" spans="135:179" x14ac:dyDescent="0.35">
      <c r="EE677" s="451">
        <v>41990</v>
      </c>
      <c r="EF677" s="62">
        <v>167.07499999999999</v>
      </c>
      <c r="EG677" s="62">
        <v>2012.8900149999999</v>
      </c>
      <c r="EH677" s="92">
        <f t="shared" si="43"/>
        <v>0.9603575701324818</v>
      </c>
      <c r="EI677" s="92">
        <f t="shared" si="44"/>
        <v>1.0767622219694193</v>
      </c>
      <c r="FU677" s="451">
        <v>42009</v>
      </c>
      <c r="FV677" s="457">
        <v>172.26</v>
      </c>
      <c r="FW677" s="457"/>
    </row>
    <row r="678" spans="135:179" x14ac:dyDescent="0.35">
      <c r="EE678" s="451">
        <v>41989</v>
      </c>
      <c r="EF678" s="62">
        <v>164.37</v>
      </c>
      <c r="EG678" s="62">
        <v>1972.73999</v>
      </c>
      <c r="EH678" s="92">
        <f t="shared" si="43"/>
        <v>0.94390079578193131</v>
      </c>
      <c r="EI678" s="92">
        <f t="shared" si="44"/>
        <v>1.0564098059371372</v>
      </c>
      <c r="FU678" s="451">
        <v>42006</v>
      </c>
      <c r="FV678" s="457">
        <v>173.1</v>
      </c>
      <c r="FW678" s="457">
        <f>FX12</f>
        <v>178.75</v>
      </c>
    </row>
    <row r="679" spans="135:179" x14ac:dyDescent="0.35">
      <c r="EE679" s="451">
        <v>41988</v>
      </c>
      <c r="EF679" s="62">
        <v>166.01</v>
      </c>
      <c r="EG679" s="62">
        <v>1989.630005</v>
      </c>
      <c r="EH679" s="92">
        <f t="shared" si="43"/>
        <v>0.95377971873837963</v>
      </c>
      <c r="EI679" s="92">
        <f t="shared" si="44"/>
        <v>1.0648988290004981</v>
      </c>
      <c r="FU679" s="451">
        <v>42004</v>
      </c>
      <c r="FV679" s="457">
        <v>174.8</v>
      </c>
      <c r="FW679" s="457"/>
    </row>
    <row r="680" spans="135:179" x14ac:dyDescent="0.35">
      <c r="EE680" s="451">
        <v>41985</v>
      </c>
      <c r="EF680" s="62">
        <v>164.89</v>
      </c>
      <c r="EG680" s="62">
        <v>2002.329956</v>
      </c>
      <c r="EH680" s="92">
        <f t="shared" si="43"/>
        <v>0.94698731167912797</v>
      </c>
      <c r="EI680" s="92">
        <f t="shared" si="44"/>
        <v>1.071241415526732</v>
      </c>
      <c r="FU680" s="451">
        <v>42003</v>
      </c>
      <c r="FV680" s="457">
        <v>174.89</v>
      </c>
      <c r="FW680" s="457"/>
    </row>
    <row r="681" spans="135:179" x14ac:dyDescent="0.35">
      <c r="EE681" s="451">
        <v>41984</v>
      </c>
      <c r="EF681" s="62">
        <v>164.34</v>
      </c>
      <c r="EG681" s="62">
        <v>2035.329956</v>
      </c>
      <c r="EH681" s="92">
        <f t="shared" si="43"/>
        <v>0.94364059146493795</v>
      </c>
      <c r="EI681" s="92">
        <f t="shared" si="44"/>
        <v>1.0874550028631333</v>
      </c>
      <c r="FU681" s="451">
        <v>42002</v>
      </c>
      <c r="FV681" s="457">
        <v>176.185</v>
      </c>
      <c r="FW681" s="457"/>
    </row>
    <row r="682" spans="135:179" x14ac:dyDescent="0.35">
      <c r="EE682" s="451">
        <v>41983</v>
      </c>
      <c r="EF682" s="62">
        <v>161.62</v>
      </c>
      <c r="EG682" s="62">
        <v>2026.1400149999999</v>
      </c>
      <c r="EH682" s="92">
        <f t="shared" si="43"/>
        <v>0.92681099116794496</v>
      </c>
      <c r="EI682" s="92">
        <f t="shared" si="44"/>
        <v>1.0829193138525197</v>
      </c>
      <c r="FU682" s="451">
        <v>41999</v>
      </c>
      <c r="FV682" s="457">
        <v>173.25</v>
      </c>
      <c r="FW682" s="457"/>
    </row>
    <row r="683" spans="135:179" x14ac:dyDescent="0.35">
      <c r="EE683" s="451">
        <v>41982</v>
      </c>
      <c r="EF683" s="62">
        <v>163.08000000000001</v>
      </c>
      <c r="EG683" s="62">
        <v>2059.820068</v>
      </c>
      <c r="EH683" s="92">
        <f t="shared" si="43"/>
        <v>0.93576365243848703</v>
      </c>
      <c r="EI683" s="92">
        <f t="shared" si="44"/>
        <v>1.099270282329442</v>
      </c>
      <c r="FU683" s="451">
        <v>41997</v>
      </c>
      <c r="FV683" s="457">
        <v>171.31</v>
      </c>
      <c r="FW683" s="457"/>
    </row>
    <row r="684" spans="135:179" x14ac:dyDescent="0.35">
      <c r="EE684" s="451">
        <v>41981</v>
      </c>
      <c r="EF684" s="62">
        <v>162.52000000000001</v>
      </c>
      <c r="EG684" s="62">
        <v>2060.3100589999999</v>
      </c>
      <c r="EH684" s="92">
        <f t="shared" si="43"/>
        <v>0.9323179226821493</v>
      </c>
      <c r="EI684" s="92">
        <f t="shared" si="44"/>
        <v>1.0995081062423329</v>
      </c>
      <c r="FU684" s="451">
        <v>41996</v>
      </c>
      <c r="FV684" s="457">
        <v>171.91</v>
      </c>
      <c r="FW684" s="457"/>
    </row>
    <row r="685" spans="135:179" x14ac:dyDescent="0.35">
      <c r="EE685" s="451">
        <v>41978</v>
      </c>
      <c r="EF685" s="62">
        <v>162.35</v>
      </c>
      <c r="EG685" s="62">
        <v>2075.3701169999999</v>
      </c>
      <c r="EH685" s="92">
        <f t="shared" si="43"/>
        <v>0.93127080226330106</v>
      </c>
      <c r="EI685" s="92">
        <f t="shared" si="44"/>
        <v>1.1067646711685784</v>
      </c>
      <c r="FU685" s="451">
        <v>41995</v>
      </c>
      <c r="FV685" s="457">
        <v>168.76</v>
      </c>
      <c r="FW685" s="457"/>
    </row>
    <row r="686" spans="135:179" x14ac:dyDescent="0.35">
      <c r="EE686" s="451">
        <v>41977</v>
      </c>
      <c r="EF686" s="62">
        <v>163.13</v>
      </c>
      <c r="EG686" s="62">
        <v>2071.919922</v>
      </c>
      <c r="EH686" s="92">
        <f t="shared" si="43"/>
        <v>0.93605226490046156</v>
      </c>
      <c r="EI686" s="92">
        <f t="shared" si="44"/>
        <v>1.1050994547847959</v>
      </c>
      <c r="FU686" s="451">
        <v>41992</v>
      </c>
      <c r="FV686" s="457">
        <v>165.6</v>
      </c>
      <c r="FW686" s="457"/>
    </row>
    <row r="687" spans="135:179" x14ac:dyDescent="0.35">
      <c r="EE687" s="451">
        <v>41976</v>
      </c>
      <c r="EF687" s="62">
        <v>165.27</v>
      </c>
      <c r="EG687" s="62">
        <v>2074.330078</v>
      </c>
      <c r="EH687" s="92">
        <f t="shared" si="43"/>
        <v>0.94900077340170208</v>
      </c>
      <c r="EI687" s="92">
        <f t="shared" si="44"/>
        <v>1.1062613508714225</v>
      </c>
      <c r="FU687" s="451">
        <v>41991</v>
      </c>
      <c r="FV687" s="457">
        <v>168.68</v>
      </c>
      <c r="FW687" s="457"/>
    </row>
    <row r="688" spans="135:179" x14ac:dyDescent="0.35">
      <c r="EE688" s="451">
        <v>41975</v>
      </c>
      <c r="EF688" s="62">
        <v>164.63</v>
      </c>
      <c r="EG688" s="62">
        <v>2066.5500489999999</v>
      </c>
      <c r="EH688" s="92">
        <f t="shared" si="43"/>
        <v>0.94511326808675333</v>
      </c>
      <c r="EI688" s="92">
        <f t="shared" si="44"/>
        <v>1.1024966082736012</v>
      </c>
      <c r="FU688" s="451">
        <v>41990</v>
      </c>
      <c r="FV688" s="457">
        <v>167.07499999999999</v>
      </c>
      <c r="FW688" s="457"/>
    </row>
    <row r="689" spans="135:179" x14ac:dyDescent="0.35">
      <c r="EE689" s="451">
        <v>41974</v>
      </c>
      <c r="EF689" s="62">
        <v>165.84</v>
      </c>
      <c r="EG689" s="62">
        <v>2053.4399410000001</v>
      </c>
      <c r="EH689" s="92">
        <f t="shared" si="43"/>
        <v>0.95240945718467906</v>
      </c>
      <c r="EI689" s="92">
        <f t="shared" si="44"/>
        <v>1.0961121468933401</v>
      </c>
      <c r="FU689" s="451">
        <v>41989</v>
      </c>
      <c r="FV689" s="457">
        <v>164.37</v>
      </c>
      <c r="FW689" s="457"/>
    </row>
    <row r="690" spans="135:179" x14ac:dyDescent="0.35">
      <c r="EE690" s="451">
        <v>41971</v>
      </c>
      <c r="EF690" s="62">
        <v>167.4</v>
      </c>
      <c r="EG690" s="62">
        <v>2067.5600589999999</v>
      </c>
      <c r="EH690" s="92">
        <f t="shared" si="43"/>
        <v>0.96172845360044967</v>
      </c>
      <c r="EI690" s="92">
        <f t="shared" si="44"/>
        <v>1.1029415098124657</v>
      </c>
      <c r="FU690" s="451">
        <v>41988</v>
      </c>
      <c r="FV690" s="457">
        <v>166.01</v>
      </c>
      <c r="FW690" s="457"/>
    </row>
    <row r="691" spans="135:179" x14ac:dyDescent="0.35">
      <c r="EE691" s="451">
        <v>41969</v>
      </c>
      <c r="EF691" s="62">
        <v>165.36</v>
      </c>
      <c r="EG691" s="62">
        <v>2072.830078</v>
      </c>
      <c r="EH691" s="92">
        <f t="shared" si="43"/>
        <v>0.94939173371656005</v>
      </c>
      <c r="EI691" s="92">
        <f t="shared" si="44"/>
        <v>1.1054839367368594</v>
      </c>
      <c r="FU691" s="451">
        <v>41985</v>
      </c>
      <c r="FV691" s="457">
        <v>164.89</v>
      </c>
      <c r="FW691" s="457"/>
    </row>
    <row r="692" spans="135:179" x14ac:dyDescent="0.35">
      <c r="EE692" s="451">
        <v>41968</v>
      </c>
      <c r="EF692" s="62">
        <v>165.13</v>
      </c>
      <c r="EG692" s="62">
        <v>2067.030029</v>
      </c>
      <c r="EH692" s="92">
        <f t="shared" si="43"/>
        <v>0.94799889171328977</v>
      </c>
      <c r="EI692" s="92">
        <f t="shared" si="44"/>
        <v>1.1026779547633871</v>
      </c>
      <c r="FU692" s="451">
        <v>41984</v>
      </c>
      <c r="FV692" s="457">
        <v>164.34</v>
      </c>
      <c r="FW692" s="457"/>
    </row>
    <row r="693" spans="135:179" x14ac:dyDescent="0.35">
      <c r="EE693" s="451">
        <v>41967</v>
      </c>
      <c r="EF693" s="62">
        <v>168</v>
      </c>
      <c r="EG693" s="62">
        <v>2069.4099120000001</v>
      </c>
      <c r="EH693" s="92">
        <f t="shared" si="43"/>
        <v>0.96508222504662311</v>
      </c>
      <c r="EI693" s="92">
        <f t="shared" si="44"/>
        <v>1.1038279845309067</v>
      </c>
      <c r="FU693" s="451">
        <v>41983</v>
      </c>
      <c r="FV693" s="457">
        <v>161.62</v>
      </c>
      <c r="FW693" s="457"/>
    </row>
    <row r="694" spans="135:179" x14ac:dyDescent="0.35">
      <c r="EE694" s="451">
        <v>41964</v>
      </c>
      <c r="EF694" s="62">
        <v>166.41</v>
      </c>
      <c r="EG694" s="62">
        <v>2063.5</v>
      </c>
      <c r="EH694" s="92">
        <f t="shared" si="43"/>
        <v>0.95552751078666276</v>
      </c>
      <c r="EI694" s="92">
        <f t="shared" si="44"/>
        <v>1.1009639612694577</v>
      </c>
      <c r="FU694" s="451">
        <v>41982</v>
      </c>
      <c r="FV694" s="457">
        <v>163.08000000000001</v>
      </c>
      <c r="FW694" s="457"/>
    </row>
    <row r="695" spans="135:179" x14ac:dyDescent="0.35">
      <c r="EE695" s="451">
        <v>41963</v>
      </c>
      <c r="EF695" s="62">
        <v>167.58</v>
      </c>
      <c r="EG695" s="62">
        <v>2052.75</v>
      </c>
      <c r="EH695" s="92">
        <f t="shared" si="43"/>
        <v>0.96250925085110972</v>
      </c>
      <c r="EI695" s="92">
        <f t="shared" si="44"/>
        <v>1.0957270839098183</v>
      </c>
      <c r="FU695" s="451">
        <v>41981</v>
      </c>
      <c r="FV695" s="457">
        <v>162.52000000000001</v>
      </c>
      <c r="FW695" s="457"/>
    </row>
    <row r="696" spans="135:179" x14ac:dyDescent="0.35">
      <c r="EE696" s="451">
        <v>41962</v>
      </c>
      <c r="EF696" s="62">
        <v>168.15</v>
      </c>
      <c r="EG696" s="62">
        <v>2048.719971</v>
      </c>
      <c r="EH696" s="92">
        <f t="shared" si="43"/>
        <v>0.96589908135958424</v>
      </c>
      <c r="EI696" s="92">
        <f t="shared" si="44"/>
        <v>1.0937599878415192</v>
      </c>
      <c r="FU696" s="451">
        <v>41978</v>
      </c>
      <c r="FV696" s="457">
        <v>162.35</v>
      </c>
      <c r="FW696" s="457"/>
    </row>
    <row r="697" spans="135:179" x14ac:dyDescent="0.35">
      <c r="EE697" s="451">
        <v>41961</v>
      </c>
      <c r="EF697" s="62">
        <v>167.95</v>
      </c>
      <c r="EG697" s="62">
        <v>2051.8000489999999</v>
      </c>
      <c r="EH697" s="92">
        <f t="shared" si="43"/>
        <v>0.96470825075523758</v>
      </c>
      <c r="EI697" s="92">
        <f t="shared" si="44"/>
        <v>1.0952611467880262</v>
      </c>
      <c r="FU697" s="451">
        <v>41977</v>
      </c>
      <c r="FV697" s="457">
        <v>163.13</v>
      </c>
      <c r="FW697" s="457"/>
    </row>
    <row r="698" spans="135:179" x14ac:dyDescent="0.35">
      <c r="EE698" s="451">
        <v>41960</v>
      </c>
      <c r="EF698" s="62">
        <v>168.56</v>
      </c>
      <c r="EG698" s="62">
        <v>2041.3199460000001</v>
      </c>
      <c r="EH698" s="92">
        <f t="shared" si="43"/>
        <v>0.96832714017146926</v>
      </c>
      <c r="EI698" s="92">
        <f t="shared" si="44"/>
        <v>1.0901271632493184</v>
      </c>
      <c r="FU698" s="451">
        <v>41976</v>
      </c>
      <c r="FV698" s="457">
        <v>165.27</v>
      </c>
      <c r="FW698" s="457"/>
    </row>
    <row r="699" spans="135:179" x14ac:dyDescent="0.35">
      <c r="EE699" s="451">
        <v>41957</v>
      </c>
      <c r="EF699" s="62">
        <v>169.76</v>
      </c>
      <c r="EG699" s="62">
        <v>2039.8199460000001</v>
      </c>
      <c r="EH699" s="92">
        <f t="shared" si="43"/>
        <v>0.97539594318749179</v>
      </c>
      <c r="EI699" s="92">
        <f t="shared" si="44"/>
        <v>1.0893918042275863</v>
      </c>
      <c r="FU699" s="451">
        <v>41975</v>
      </c>
      <c r="FV699" s="457">
        <v>164.63</v>
      </c>
      <c r="FW699" s="457"/>
    </row>
    <row r="700" spans="135:179" x14ac:dyDescent="0.35">
      <c r="EE700" s="451">
        <v>41956</v>
      </c>
      <c r="EF700" s="62">
        <v>170.23</v>
      </c>
      <c r="EG700" s="62">
        <v>2039.329956</v>
      </c>
      <c r="EH700" s="92">
        <f t="shared" si="43"/>
        <v>0.97815691363923352</v>
      </c>
      <c r="EI700" s="92">
        <f t="shared" si="44"/>
        <v>1.0891515341336966</v>
      </c>
      <c r="FU700" s="451">
        <v>41974</v>
      </c>
      <c r="FV700" s="457">
        <v>165.84</v>
      </c>
      <c r="FW700" s="457"/>
    </row>
    <row r="701" spans="135:179" x14ac:dyDescent="0.35">
      <c r="EE701" s="451">
        <v>41955</v>
      </c>
      <c r="EF701" s="62">
        <v>169.83</v>
      </c>
      <c r="EG701" s="62">
        <v>2038.25</v>
      </c>
      <c r="EH701" s="92">
        <f t="shared" si="43"/>
        <v>0.9758016171662901</v>
      </c>
      <c r="EI701" s="92">
        <f t="shared" si="44"/>
        <v>1.0886216894139615</v>
      </c>
      <c r="FU701" s="451">
        <v>41971</v>
      </c>
      <c r="FV701" s="457">
        <v>167.4</v>
      </c>
      <c r="FW701" s="457"/>
    </row>
    <row r="702" spans="135:179" x14ac:dyDescent="0.35">
      <c r="EE702" s="451">
        <v>41954</v>
      </c>
      <c r="EF702" s="62">
        <v>168.42</v>
      </c>
      <c r="EG702" s="62">
        <v>2039.6800539999999</v>
      </c>
      <c r="EH702" s="92">
        <f t="shared" si="43"/>
        <v>0.96742968984174416</v>
      </c>
      <c r="EI702" s="92">
        <f t="shared" si="44"/>
        <v>1.0893228062372571</v>
      </c>
      <c r="FU702" s="451">
        <v>41969</v>
      </c>
      <c r="FV702" s="457">
        <v>165.36</v>
      </c>
      <c r="FW702" s="457"/>
    </row>
    <row r="703" spans="135:179" x14ac:dyDescent="0.35">
      <c r="EE703" s="451">
        <v>41953</v>
      </c>
      <c r="EF703" s="62">
        <v>169.31</v>
      </c>
      <c r="EG703" s="62">
        <v>2038.26001</v>
      </c>
      <c r="EH703" s="92">
        <f t="shared" si="43"/>
        <v>0.97268631969231423</v>
      </c>
      <c r="EI703" s="92">
        <f t="shared" si="44"/>
        <v>1.0886261120014711</v>
      </c>
      <c r="FU703" s="451">
        <v>41968</v>
      </c>
      <c r="FV703" s="457">
        <v>165.13</v>
      </c>
      <c r="FW703" s="457"/>
    </row>
    <row r="704" spans="135:179" x14ac:dyDescent="0.35">
      <c r="EE704" s="451">
        <v>41950</v>
      </c>
      <c r="EF704" s="62">
        <v>168.29</v>
      </c>
      <c r="EG704" s="62">
        <v>2031.920044</v>
      </c>
      <c r="EH704" s="92">
        <f t="shared" si="43"/>
        <v>0.96662535350299805</v>
      </c>
      <c r="EI704" s="92">
        <f t="shared" si="44"/>
        <v>1.0855059272192396</v>
      </c>
      <c r="FU704" s="451">
        <v>41967</v>
      </c>
      <c r="FV704" s="457">
        <v>168</v>
      </c>
      <c r="FW704" s="457"/>
    </row>
    <row r="705" spans="135:179" x14ac:dyDescent="0.35">
      <c r="EE705" s="451">
        <v>41949</v>
      </c>
      <c r="EF705" s="62">
        <v>167.29</v>
      </c>
      <c r="EG705" s="62">
        <v>2031.209961</v>
      </c>
      <c r="EH705" s="92">
        <f t="shared" si="43"/>
        <v>0.96064770989011028</v>
      </c>
      <c r="EI705" s="92">
        <f t="shared" si="44"/>
        <v>1.0851563410052913</v>
      </c>
      <c r="FU705" s="451">
        <v>41964</v>
      </c>
      <c r="FV705" s="457">
        <v>166.41</v>
      </c>
      <c r="FW705" s="457"/>
    </row>
    <row r="706" spans="135:179" x14ac:dyDescent="0.35">
      <c r="EE706" s="451">
        <v>41948</v>
      </c>
      <c r="EF706" s="62">
        <v>165.29</v>
      </c>
      <c r="EG706" s="62">
        <v>2023.5699460000001</v>
      </c>
      <c r="EH706" s="92">
        <f t="shared" si="43"/>
        <v>0.94854776433986521</v>
      </c>
      <c r="EI706" s="92">
        <f t="shared" si="44"/>
        <v>1.0813808278261685</v>
      </c>
      <c r="FU706" s="451">
        <v>41963</v>
      </c>
      <c r="FV706" s="457">
        <v>167.58</v>
      </c>
      <c r="FW706" s="457"/>
    </row>
    <row r="707" spans="135:179" x14ac:dyDescent="0.35">
      <c r="EE707" s="451">
        <v>41947</v>
      </c>
      <c r="EF707" s="62">
        <v>165.5</v>
      </c>
      <c r="EG707" s="62">
        <v>2012.099976</v>
      </c>
      <c r="EH707" s="92">
        <f t="shared" si="43"/>
        <v>0.94981664651509179</v>
      </c>
      <c r="EI707" s="92">
        <f t="shared" si="44"/>
        <v>1.0756803307649827</v>
      </c>
      <c r="FU707" s="451">
        <v>41962</v>
      </c>
      <c r="FV707" s="457">
        <v>168.15</v>
      </c>
      <c r="FW707" s="457"/>
    </row>
    <row r="708" spans="135:179" x14ac:dyDescent="0.35">
      <c r="EE708" s="451">
        <v>41946</v>
      </c>
      <c r="EF708" s="62">
        <v>161.30000000000001</v>
      </c>
      <c r="EG708" s="62">
        <v>2017.8100589999999</v>
      </c>
      <c r="EH708" s="92">
        <f t="shared" si="43"/>
        <v>0.92377820882135353</v>
      </c>
      <c r="EI708" s="92">
        <f t="shared" si="44"/>
        <v>1.0785101724413741</v>
      </c>
      <c r="FU708" s="451">
        <v>41961</v>
      </c>
      <c r="FV708" s="457">
        <v>167.95</v>
      </c>
      <c r="FW708" s="457"/>
    </row>
    <row r="709" spans="135:179" x14ac:dyDescent="0.35">
      <c r="EE709" s="451">
        <v>41943</v>
      </c>
      <c r="EF709" s="62">
        <v>161.63999999999999</v>
      </c>
      <c r="EG709" s="62">
        <v>2018.0500489999999</v>
      </c>
      <c r="EH709" s="92">
        <f t="shared" si="43"/>
        <v>0.92588164856399136</v>
      </c>
      <c r="EI709" s="92">
        <f t="shared" si="44"/>
        <v>1.0786290941698611</v>
      </c>
      <c r="FU709" s="451">
        <v>41960</v>
      </c>
      <c r="FV709" s="457">
        <v>168.56</v>
      </c>
      <c r="FW709" s="457"/>
    </row>
    <row r="710" spans="135:179" x14ac:dyDescent="0.35">
      <c r="EE710" s="451">
        <v>41942</v>
      </c>
      <c r="EF710" s="62">
        <v>162.35</v>
      </c>
      <c r="EG710" s="62">
        <v>1994.650024</v>
      </c>
      <c r="EH710" s="92">
        <f t="shared" si="43"/>
        <v>0.93025491619565137</v>
      </c>
      <c r="EI710" s="92">
        <f t="shared" si="44"/>
        <v>1.0668977003321218</v>
      </c>
      <c r="FU710" s="451">
        <v>41957</v>
      </c>
      <c r="FV710" s="457">
        <v>169.76</v>
      </c>
      <c r="FW710" s="457"/>
    </row>
    <row r="711" spans="135:179" x14ac:dyDescent="0.35">
      <c r="EE711" s="451">
        <v>41941</v>
      </c>
      <c r="EF711" s="62">
        <v>165.42</v>
      </c>
      <c r="EG711" s="62">
        <v>1982.3000489999999</v>
      </c>
      <c r="EH711" s="92">
        <f t="shared" si="43"/>
        <v>0.9488137361690524</v>
      </c>
      <c r="EI711" s="92">
        <f t="shared" si="44"/>
        <v>1.060667576387853</v>
      </c>
      <c r="FU711" s="451">
        <v>41956</v>
      </c>
      <c r="FV711" s="457">
        <v>170.23</v>
      </c>
      <c r="FW711" s="457"/>
    </row>
    <row r="712" spans="135:179" x14ac:dyDescent="0.35">
      <c r="EE712" s="451">
        <v>41940</v>
      </c>
      <c r="EF712" s="62">
        <v>171</v>
      </c>
      <c r="EG712" s="62">
        <v>1985.0500489999999</v>
      </c>
      <c r="EH712" s="92">
        <f t="shared" si="43"/>
        <v>0.98144531511642086</v>
      </c>
      <c r="EI712" s="92">
        <f t="shared" si="44"/>
        <v>1.0620529318862624</v>
      </c>
      <c r="FU712" s="451">
        <v>41955</v>
      </c>
      <c r="FV712" s="457">
        <v>169.83</v>
      </c>
      <c r="FW712" s="457"/>
    </row>
    <row r="713" spans="135:179" x14ac:dyDescent="0.35">
      <c r="EE713" s="451">
        <v>41939</v>
      </c>
      <c r="EF713" s="62">
        <v>169.59</v>
      </c>
      <c r="EG713" s="62">
        <v>1961.630005</v>
      </c>
      <c r="EH713" s="92">
        <f t="shared" si="43"/>
        <v>0.97313114564888148</v>
      </c>
      <c r="EI713" s="92">
        <f t="shared" si="44"/>
        <v>1.0501138587989296</v>
      </c>
      <c r="FU713" s="451">
        <v>41954</v>
      </c>
      <c r="FV713" s="457">
        <v>168.42</v>
      </c>
      <c r="FW713" s="457"/>
    </row>
    <row r="714" spans="135:179" x14ac:dyDescent="0.35">
      <c r="EE714" s="451">
        <v>41936</v>
      </c>
      <c r="EF714" s="62">
        <v>169.2</v>
      </c>
      <c r="EG714" s="62">
        <v>1964.579956</v>
      </c>
      <c r="EH714" s="92">
        <f t="shared" si="43"/>
        <v>0.97082618110987429</v>
      </c>
      <c r="EI714" s="92">
        <f t="shared" si="44"/>
        <v>1.0516154271066946</v>
      </c>
      <c r="FU714" s="451">
        <v>41953</v>
      </c>
      <c r="FV714" s="457">
        <v>169.31</v>
      </c>
      <c r="FW714" s="457"/>
    </row>
    <row r="715" spans="135:179" x14ac:dyDescent="0.35">
      <c r="EE715" s="451">
        <v>41935</v>
      </c>
      <c r="EF715" s="62">
        <v>166.74</v>
      </c>
      <c r="EG715" s="62">
        <v>1950.8199460000001</v>
      </c>
      <c r="EH715" s="92">
        <f t="shared" si="43"/>
        <v>0.95607267265359519</v>
      </c>
      <c r="EI715" s="92">
        <f t="shared" si="44"/>
        <v>1.0445619775927024</v>
      </c>
      <c r="FU715" s="451">
        <v>41950</v>
      </c>
      <c r="FV715" s="457">
        <v>168.29</v>
      </c>
      <c r="FW715" s="457"/>
    </row>
    <row r="716" spans="135:179" x14ac:dyDescent="0.35">
      <c r="EE716" s="451">
        <v>41934</v>
      </c>
      <c r="EF716" s="62">
        <v>167.29</v>
      </c>
      <c r="EG716" s="62">
        <v>1927.1099850000001</v>
      </c>
      <c r="EH716" s="92">
        <f t="shared" si="43"/>
        <v>0.95936037664068341</v>
      </c>
      <c r="EI716" s="92">
        <f t="shared" si="44"/>
        <v>1.0322586004193441</v>
      </c>
      <c r="FU716" s="451">
        <v>41949</v>
      </c>
      <c r="FV716" s="457">
        <v>167.29</v>
      </c>
      <c r="FW716" s="457"/>
    </row>
    <row r="717" spans="135:179" x14ac:dyDescent="0.35">
      <c r="EE717" s="451">
        <v>41933</v>
      </c>
      <c r="EF717" s="62">
        <v>169.06</v>
      </c>
      <c r="EG717" s="62">
        <v>1941.280029</v>
      </c>
      <c r="EH717" s="92">
        <f t="shared" si="43"/>
        <v>0.96983003238420651</v>
      </c>
      <c r="EI717" s="92">
        <f t="shared" si="44"/>
        <v>1.0395579306490479</v>
      </c>
      <c r="FU717" s="451">
        <v>41948</v>
      </c>
      <c r="FV717" s="457">
        <v>165.29</v>
      </c>
      <c r="FW717" s="457"/>
    </row>
    <row r="718" spans="135:179" x14ac:dyDescent="0.35">
      <c r="EE718" s="451">
        <v>41932</v>
      </c>
      <c r="EF718" s="62">
        <v>171.49</v>
      </c>
      <c r="EG718" s="62">
        <v>1904.01001</v>
      </c>
      <c r="EH718" s="92">
        <f t="shared" si="43"/>
        <v>0.98399995482866398</v>
      </c>
      <c r="EI718" s="92">
        <f t="shared" si="44"/>
        <v>1.0199834437481097</v>
      </c>
      <c r="FU718" s="451">
        <v>41947</v>
      </c>
      <c r="FV718" s="457">
        <v>165.5</v>
      </c>
      <c r="FW718" s="457"/>
    </row>
    <row r="719" spans="135:179" x14ac:dyDescent="0.35">
      <c r="EE719" s="451">
        <v>41929</v>
      </c>
      <c r="EF719" s="62">
        <v>167.46</v>
      </c>
      <c r="EG719" s="62">
        <v>1886.76001</v>
      </c>
      <c r="EH719" s="92">
        <f t="shared" si="43"/>
        <v>0.95993450636335886</v>
      </c>
      <c r="EI719" s="92">
        <f t="shared" si="44"/>
        <v>1.0108407865428619</v>
      </c>
      <c r="FU719" s="451">
        <v>41946</v>
      </c>
      <c r="FV719" s="457">
        <v>161.30000000000001</v>
      </c>
      <c r="FW719" s="457"/>
    </row>
    <row r="720" spans="135:179" x14ac:dyDescent="0.35">
      <c r="EE720" s="451">
        <v>41928</v>
      </c>
      <c r="EF720" s="62">
        <v>166.01</v>
      </c>
      <c r="EG720" s="62">
        <v>1862.76001</v>
      </c>
      <c r="EH720" s="92">
        <f t="shared" si="43"/>
        <v>0.95120009277381601</v>
      </c>
      <c r="EI720" s="92">
        <f t="shared" si="44"/>
        <v>0.99795667915857256</v>
      </c>
      <c r="FU720" s="451">
        <v>41943</v>
      </c>
      <c r="FV720" s="457">
        <v>161.63999999999999</v>
      </c>
      <c r="FW720" s="457"/>
    </row>
    <row r="721" spans="135:179" x14ac:dyDescent="0.35">
      <c r="EE721" s="451">
        <v>41927</v>
      </c>
      <c r="EF721" s="62">
        <v>164.61</v>
      </c>
      <c r="EG721" s="62">
        <v>1862.48999</v>
      </c>
      <c r="EH721" s="92">
        <f t="shared" si="43"/>
        <v>0.94269514167728496</v>
      </c>
      <c r="EI721" s="92">
        <f t="shared" si="44"/>
        <v>0.99781170119818097</v>
      </c>
      <c r="FU721" s="451">
        <v>41942</v>
      </c>
      <c r="FV721" s="457">
        <v>162.35</v>
      </c>
      <c r="FW721" s="457"/>
    </row>
    <row r="722" spans="135:179" x14ac:dyDescent="0.35">
      <c r="EE722" s="451">
        <v>41926</v>
      </c>
      <c r="EF722" s="62">
        <v>164.41</v>
      </c>
      <c r="EG722" s="62">
        <v>1877.6999510000001</v>
      </c>
      <c r="EH722" s="92">
        <f t="shared" si="43"/>
        <v>0.94147867065970681</v>
      </c>
      <c r="EI722" s="92">
        <f t="shared" si="44"/>
        <v>1.0059120161563295</v>
      </c>
      <c r="FU722" s="451">
        <v>41941</v>
      </c>
      <c r="FV722" s="457">
        <v>165.42</v>
      </c>
      <c r="FW722" s="457"/>
    </row>
    <row r="723" spans="135:179" x14ac:dyDescent="0.35">
      <c r="EE723" s="451">
        <v>41925</v>
      </c>
      <c r="EF723" s="62">
        <v>159.88999999999999</v>
      </c>
      <c r="EG723" s="62">
        <v>1874.73999</v>
      </c>
      <c r="EH723" s="92">
        <f t="shared" si="43"/>
        <v>0.91320923542298149</v>
      </c>
      <c r="EI723" s="92">
        <f t="shared" si="44"/>
        <v>1.0043331513453218</v>
      </c>
      <c r="FU723" s="451">
        <v>41940</v>
      </c>
      <c r="FV723" s="457">
        <v>171</v>
      </c>
      <c r="FW723" s="457"/>
    </row>
    <row r="724" spans="135:179" x14ac:dyDescent="0.35">
      <c r="EE724" s="451">
        <v>41922</v>
      </c>
      <c r="EF724" s="62">
        <v>161.27000000000001</v>
      </c>
      <c r="EG724" s="62">
        <v>1906.130005</v>
      </c>
      <c r="EH724" s="92">
        <f t="shared" si="43"/>
        <v>0.92176631361483385</v>
      </c>
      <c r="EI724" s="92">
        <f t="shared" si="44"/>
        <v>1.0208010810865569</v>
      </c>
      <c r="FU724" s="451">
        <v>41939</v>
      </c>
      <c r="FV724" s="457">
        <v>169.59</v>
      </c>
      <c r="FW724" s="457"/>
    </row>
    <row r="725" spans="135:179" x14ac:dyDescent="0.35">
      <c r="EE725" s="451">
        <v>41921</v>
      </c>
      <c r="EF725" s="62">
        <v>163.66999999999999</v>
      </c>
      <c r="EG725" s="62">
        <v>1928.209961</v>
      </c>
      <c r="EH725" s="92">
        <f t="shared" si="43"/>
        <v>0.93642996608627016</v>
      </c>
      <c r="EI725" s="92">
        <f t="shared" si="44"/>
        <v>1.0322520933967252</v>
      </c>
      <c r="FU725" s="451">
        <v>41936</v>
      </c>
      <c r="FV725" s="457">
        <v>169.2</v>
      </c>
      <c r="FW725" s="457"/>
    </row>
    <row r="726" spans="135:179" x14ac:dyDescent="0.35">
      <c r="EE726" s="451">
        <v>41920</v>
      </c>
      <c r="EF726" s="62">
        <v>165.39</v>
      </c>
      <c r="EG726" s="62">
        <v>1968.8900149999999</v>
      </c>
      <c r="EH726" s="92">
        <f t="shared" si="43"/>
        <v>0.94682962749264299</v>
      </c>
      <c r="EI726" s="92">
        <f t="shared" si="44"/>
        <v>1.0529135085545445</v>
      </c>
      <c r="FU726" s="451">
        <v>41935</v>
      </c>
      <c r="FV726" s="457">
        <v>166.74</v>
      </c>
      <c r="FW726" s="457"/>
    </row>
    <row r="727" spans="135:179" x14ac:dyDescent="0.35">
      <c r="EE727" s="451">
        <v>41919</v>
      </c>
      <c r="EF727" s="62">
        <v>164.38</v>
      </c>
      <c r="EG727" s="62">
        <v>1935.099976</v>
      </c>
      <c r="EH727" s="92">
        <f t="shared" si="43"/>
        <v>0.94068532769948088</v>
      </c>
      <c r="EI727" s="92">
        <f t="shared" si="44"/>
        <v>1.0354518582940517</v>
      </c>
      <c r="FU727" s="451">
        <v>41934</v>
      </c>
      <c r="FV727" s="457">
        <v>167.29</v>
      </c>
      <c r="FW727" s="457"/>
    </row>
    <row r="728" spans="135:179" x14ac:dyDescent="0.35">
      <c r="EE728" s="451">
        <v>41918</v>
      </c>
      <c r="EF728" s="62">
        <v>164.5</v>
      </c>
      <c r="EG728" s="62">
        <v>1964.8199460000001</v>
      </c>
      <c r="EH728" s="92">
        <f t="shared" si="43"/>
        <v>0.94141481098215563</v>
      </c>
      <c r="EI728" s="92">
        <f t="shared" si="44"/>
        <v>1.0505779109690077</v>
      </c>
      <c r="FU728" s="451">
        <v>41933</v>
      </c>
      <c r="FV728" s="457">
        <v>169.06</v>
      </c>
      <c r="FW728" s="457"/>
    </row>
    <row r="729" spans="135:179" x14ac:dyDescent="0.35">
      <c r="EE729" s="451">
        <v>41915</v>
      </c>
      <c r="EF729" s="62">
        <v>167.89</v>
      </c>
      <c r="EG729" s="62">
        <v>1967.900024</v>
      </c>
      <c r="EH729" s="92">
        <f t="shared" si="43"/>
        <v>0.96160660322707781</v>
      </c>
      <c r="EI729" s="92">
        <f t="shared" si="44"/>
        <v>1.0521430707649506</v>
      </c>
      <c r="FU729" s="451">
        <v>41932</v>
      </c>
      <c r="FV729" s="457">
        <v>171.49</v>
      </c>
      <c r="FW729" s="457"/>
    </row>
    <row r="730" spans="135:179" x14ac:dyDescent="0.35">
      <c r="EE730" s="451">
        <v>41914</v>
      </c>
      <c r="EF730" s="62">
        <v>164.97</v>
      </c>
      <c r="EG730" s="62">
        <v>1946.170044</v>
      </c>
      <c r="EH730" s="92">
        <f t="shared" si="43"/>
        <v>0.943906415314124</v>
      </c>
      <c r="EI730" s="92">
        <f t="shared" si="44"/>
        <v>1.0409775613239882</v>
      </c>
      <c r="FU730" s="451">
        <v>41929</v>
      </c>
      <c r="FV730" s="457">
        <v>167.46</v>
      </c>
      <c r="FW730" s="457"/>
    </row>
    <row r="731" spans="135:179" x14ac:dyDescent="0.35">
      <c r="EE731" s="451">
        <v>41913</v>
      </c>
      <c r="EF731" s="62">
        <v>164.44499999999999</v>
      </c>
      <c r="EG731" s="62">
        <v>1946.160034</v>
      </c>
      <c r="EH731" s="92">
        <f t="shared" si="43"/>
        <v>0.94071385853222123</v>
      </c>
      <c r="EI731" s="92">
        <f t="shared" si="44"/>
        <v>1.0409724178620812</v>
      </c>
      <c r="FU731" s="451">
        <v>41928</v>
      </c>
      <c r="FV731" s="457">
        <v>166.01</v>
      </c>
      <c r="FW731" s="457"/>
    </row>
    <row r="732" spans="135:179" x14ac:dyDescent="0.35">
      <c r="EE732" s="451">
        <v>41912</v>
      </c>
      <c r="EF732" s="62">
        <v>162.72</v>
      </c>
      <c r="EG732" s="62">
        <v>1972.290039</v>
      </c>
      <c r="EH732" s="92">
        <f t="shared" si="43"/>
        <v>0.93011282608384371</v>
      </c>
      <c r="EI732" s="92">
        <f t="shared" si="44"/>
        <v>1.0542209789171522</v>
      </c>
      <c r="FU732" s="451">
        <v>41927</v>
      </c>
      <c r="FV732" s="457">
        <v>164.61</v>
      </c>
      <c r="FW732" s="457"/>
    </row>
    <row r="733" spans="135:179" x14ac:dyDescent="0.35">
      <c r="EE733" s="451">
        <v>41911</v>
      </c>
      <c r="EF733" s="62">
        <v>158.72999999999999</v>
      </c>
      <c r="EG733" s="62">
        <v>1977.8000489999999</v>
      </c>
      <c r="EH733" s="92">
        <f t="shared" ref="EH733:EH795" si="45">EH734+(EF733-EF734)/EF734</f>
        <v>0.90497580094681851</v>
      </c>
      <c r="EI733" s="92">
        <f t="shared" ref="EI733:EI795" si="46">EI734+(EG733-EG734)/EG734</f>
        <v>1.0570069076579194</v>
      </c>
      <c r="FU733" s="451">
        <v>41926</v>
      </c>
      <c r="FV733" s="457">
        <v>164.41</v>
      </c>
      <c r="FW733" s="457"/>
    </row>
    <row r="734" spans="135:179" x14ac:dyDescent="0.35">
      <c r="EE734" s="451">
        <v>41908</v>
      </c>
      <c r="EF734" s="62">
        <v>156.75</v>
      </c>
      <c r="EG734" s="62">
        <v>1982.849976</v>
      </c>
      <c r="EH734" s="92">
        <f t="shared" si="45"/>
        <v>0.89234422199945018</v>
      </c>
      <c r="EI734" s="92">
        <f t="shared" si="46"/>
        <v>1.0595537100187249</v>
      </c>
      <c r="FU734" s="451">
        <v>41925</v>
      </c>
      <c r="FV734" s="457">
        <v>159.88999999999999</v>
      </c>
      <c r="FW734" s="457"/>
    </row>
    <row r="735" spans="135:179" x14ac:dyDescent="0.35">
      <c r="EE735" s="451">
        <v>41907</v>
      </c>
      <c r="EF735" s="62">
        <v>156.495</v>
      </c>
      <c r="EG735" s="62">
        <v>1965.98999</v>
      </c>
      <c r="EH735" s="92">
        <f t="shared" si="45"/>
        <v>0.8907147769692576</v>
      </c>
      <c r="EI735" s="92">
        <f t="shared" si="46"/>
        <v>1.0509778850726377</v>
      </c>
      <c r="FU735" s="451">
        <v>41922</v>
      </c>
      <c r="FV735" s="457">
        <v>161.27000000000001</v>
      </c>
      <c r="FW735" s="457"/>
    </row>
    <row r="736" spans="135:179" x14ac:dyDescent="0.35">
      <c r="EE736" s="451">
        <v>41906</v>
      </c>
      <c r="EF736" s="62">
        <v>158.68</v>
      </c>
      <c r="EG736" s="62">
        <v>1998.3000489999999</v>
      </c>
      <c r="EH736" s="92">
        <f t="shared" si="45"/>
        <v>0.90448462824225984</v>
      </c>
      <c r="EI736" s="92">
        <f t="shared" si="46"/>
        <v>1.0671466576331792</v>
      </c>
      <c r="FU736" s="451">
        <v>41921</v>
      </c>
      <c r="FV736" s="457">
        <v>163.66999999999999</v>
      </c>
      <c r="FW736" s="457"/>
    </row>
    <row r="737" spans="135:179" x14ac:dyDescent="0.35">
      <c r="EE737" s="451">
        <v>41905</v>
      </c>
      <c r="EF737" s="62">
        <v>156.47</v>
      </c>
      <c r="EG737" s="62">
        <v>1982.7700199999999</v>
      </c>
      <c r="EH737" s="92">
        <f t="shared" si="45"/>
        <v>0.89036051499371371</v>
      </c>
      <c r="EI737" s="92">
        <f t="shared" si="46"/>
        <v>1.0593141662986572</v>
      </c>
      <c r="FU737" s="451">
        <v>41920</v>
      </c>
      <c r="FV737" s="457">
        <v>165.39</v>
      </c>
      <c r="FW737" s="457"/>
    </row>
    <row r="738" spans="135:179" x14ac:dyDescent="0.35">
      <c r="EE738" s="451">
        <v>41904</v>
      </c>
      <c r="EF738" s="62">
        <v>157.47999999999999</v>
      </c>
      <c r="EG738" s="62">
        <v>1994.290039</v>
      </c>
      <c r="EH738" s="92">
        <f t="shared" si="45"/>
        <v>0.89677402782073934</v>
      </c>
      <c r="EI738" s="92">
        <f t="shared" si="46"/>
        <v>1.0650906675972227</v>
      </c>
      <c r="FU738" s="451">
        <v>41919</v>
      </c>
      <c r="FV738" s="457">
        <v>164.38</v>
      </c>
      <c r="FW738" s="457"/>
    </row>
    <row r="739" spans="135:179" x14ac:dyDescent="0.35">
      <c r="EE739" s="451">
        <v>41901</v>
      </c>
      <c r="EF739" s="62">
        <v>160.22999999999999</v>
      </c>
      <c r="EG739" s="62">
        <v>2010.400024</v>
      </c>
      <c r="EH739" s="92">
        <f t="shared" si="45"/>
        <v>0.91393685625486532</v>
      </c>
      <c r="EI739" s="92">
        <f t="shared" si="46"/>
        <v>1.0731039907208202</v>
      </c>
      <c r="FU739" s="451">
        <v>41918</v>
      </c>
      <c r="FV739" s="457">
        <v>164.5</v>
      </c>
      <c r="FW739" s="457"/>
    </row>
    <row r="740" spans="135:179" x14ac:dyDescent="0.35">
      <c r="EE740" s="451">
        <v>41900</v>
      </c>
      <c r="EF740" s="62">
        <v>161.22999999999999</v>
      </c>
      <c r="EG740" s="62">
        <v>2011.3599850000001</v>
      </c>
      <c r="EH740" s="92">
        <f t="shared" si="45"/>
        <v>0.920139175922421</v>
      </c>
      <c r="EI740" s="92">
        <f t="shared" si="46"/>
        <v>1.0735812603330026</v>
      </c>
      <c r="FU740" s="451">
        <v>41915</v>
      </c>
      <c r="FV740" s="457">
        <v>167.89</v>
      </c>
      <c r="FW740" s="457"/>
    </row>
    <row r="741" spans="135:179" x14ac:dyDescent="0.35">
      <c r="EE741" s="451">
        <v>41899</v>
      </c>
      <c r="EF741" s="62">
        <v>158.94</v>
      </c>
      <c r="EG741" s="62">
        <v>2001.5699460000001</v>
      </c>
      <c r="EH741" s="92">
        <f t="shared" si="45"/>
        <v>0.90573122323587263</v>
      </c>
      <c r="EI741" s="92">
        <f t="shared" si="46"/>
        <v>1.0686900802772845</v>
      </c>
      <c r="FU741" s="451">
        <v>41914</v>
      </c>
      <c r="FV741" s="457">
        <v>164.97</v>
      </c>
      <c r="FW741" s="457"/>
    </row>
    <row r="742" spans="135:179" x14ac:dyDescent="0.35">
      <c r="EE742" s="451">
        <v>41898</v>
      </c>
      <c r="EF742" s="62">
        <v>155.65</v>
      </c>
      <c r="EG742" s="62">
        <v>1998.9799800000001</v>
      </c>
      <c r="EH742" s="92">
        <f t="shared" si="45"/>
        <v>0.88459405651566714</v>
      </c>
      <c r="EI742" s="92">
        <f t="shared" si="46"/>
        <v>1.0673944364859944</v>
      </c>
      <c r="FU742" s="451">
        <v>41913</v>
      </c>
      <c r="FV742" s="457">
        <v>164.44499999999999</v>
      </c>
      <c r="FW742" s="457">
        <f>FX11</f>
        <v>154</v>
      </c>
    </row>
    <row r="743" spans="135:179" x14ac:dyDescent="0.35">
      <c r="EE743" s="451">
        <v>41897</v>
      </c>
      <c r="EF743" s="62">
        <v>154.84</v>
      </c>
      <c r="EG743" s="62">
        <v>1984.130005</v>
      </c>
      <c r="EH743" s="92">
        <f t="shared" si="45"/>
        <v>0.8793628501090538</v>
      </c>
      <c r="EI743" s="92">
        <f t="shared" si="46"/>
        <v>1.0599100604811065</v>
      </c>
      <c r="FU743" s="451">
        <v>41912</v>
      </c>
      <c r="FV743" s="457">
        <v>162.72</v>
      </c>
      <c r="FW743" s="457"/>
    </row>
    <row r="744" spans="135:179" x14ac:dyDescent="0.35">
      <c r="EE744" s="451">
        <v>41894</v>
      </c>
      <c r="EF744" s="62">
        <v>154.74</v>
      </c>
      <c r="EG744" s="62">
        <v>1985.540039</v>
      </c>
      <c r="EH744" s="92">
        <f t="shared" si="45"/>
        <v>0.87871660479433233</v>
      </c>
      <c r="EI744" s="92">
        <f t="shared" si="46"/>
        <v>1.0606202118617405</v>
      </c>
      <c r="FU744" s="451">
        <v>41911</v>
      </c>
      <c r="FV744" s="457">
        <v>158.72999999999999</v>
      </c>
      <c r="FW744" s="457"/>
    </row>
    <row r="745" spans="135:179" x14ac:dyDescent="0.35">
      <c r="EE745" s="451">
        <v>41893</v>
      </c>
      <c r="EF745" s="62">
        <v>155.86000000000001</v>
      </c>
      <c r="EG745" s="62">
        <v>1997.4499510000001</v>
      </c>
      <c r="EH745" s="92">
        <f t="shared" si="45"/>
        <v>0.8859025408908292</v>
      </c>
      <c r="EI745" s="92">
        <f t="shared" si="46"/>
        <v>1.0665827702697934</v>
      </c>
      <c r="FU745" s="451">
        <v>41908</v>
      </c>
      <c r="FV745" s="457">
        <v>156.75</v>
      </c>
      <c r="FW745" s="457"/>
    </row>
    <row r="746" spans="135:179" x14ac:dyDescent="0.35">
      <c r="EE746" s="451">
        <v>41892</v>
      </c>
      <c r="EF746" s="62">
        <v>155.36000000000001</v>
      </c>
      <c r="EG746" s="62">
        <v>1995.6899410000001</v>
      </c>
      <c r="EH746" s="92">
        <f t="shared" si="45"/>
        <v>0.88268420927393942</v>
      </c>
      <c r="EI746" s="92">
        <f t="shared" si="46"/>
        <v>1.0657008647373549</v>
      </c>
      <c r="FU746" s="451">
        <v>41907</v>
      </c>
      <c r="FV746" s="457">
        <v>156.495</v>
      </c>
      <c r="FW746" s="457"/>
    </row>
    <row r="747" spans="135:179" x14ac:dyDescent="0.35">
      <c r="EE747" s="451">
        <v>41891</v>
      </c>
      <c r="EF747" s="62">
        <v>155.09</v>
      </c>
      <c r="EG747" s="62">
        <v>1988.4399410000001</v>
      </c>
      <c r="EH747" s="92">
        <f t="shared" si="45"/>
        <v>0.88094328464952776</v>
      </c>
      <c r="EI747" s="92">
        <f t="shared" si="46"/>
        <v>1.0620547903196615</v>
      </c>
      <c r="EJ747" s="92">
        <f>EH747</f>
        <v>0.88094328464952776</v>
      </c>
      <c r="EK747" s="62" t="s">
        <v>545</v>
      </c>
      <c r="FU747" s="451">
        <v>41906</v>
      </c>
      <c r="FV747" s="457">
        <v>158.68</v>
      </c>
      <c r="FW747" s="457"/>
    </row>
    <row r="748" spans="135:179" x14ac:dyDescent="0.35">
      <c r="EE748" s="451">
        <v>41890</v>
      </c>
      <c r="EF748" s="62">
        <v>155.74</v>
      </c>
      <c r="EG748" s="62">
        <v>2001.540039</v>
      </c>
      <c r="EH748" s="92">
        <f t="shared" si="45"/>
        <v>0.88511690735403525</v>
      </c>
      <c r="EI748" s="92">
        <f t="shared" si="46"/>
        <v>1.0685997995349381</v>
      </c>
      <c r="FU748" s="451">
        <v>41905</v>
      </c>
      <c r="FV748" s="457">
        <v>156.47</v>
      </c>
      <c r="FW748" s="457"/>
    </row>
    <row r="749" spans="135:179" x14ac:dyDescent="0.35">
      <c r="EE749" s="451">
        <v>41887</v>
      </c>
      <c r="EF749" s="62">
        <v>155.44</v>
      </c>
      <c r="EG749" s="62">
        <v>2007.709961</v>
      </c>
      <c r="EH749" s="92">
        <f t="shared" si="45"/>
        <v>0.88318690220735474</v>
      </c>
      <c r="EI749" s="92">
        <f t="shared" si="46"/>
        <v>1.0716729137396048</v>
      </c>
      <c r="FU749" s="451">
        <v>41904</v>
      </c>
      <c r="FV749" s="457">
        <v>157.47999999999999</v>
      </c>
      <c r="FW749" s="457"/>
    </row>
    <row r="750" spans="135:179" x14ac:dyDescent="0.35">
      <c r="EE750" s="451">
        <v>41886</v>
      </c>
      <c r="EF750" s="62">
        <v>153.15</v>
      </c>
      <c r="EG750" s="62">
        <v>1997.650024</v>
      </c>
      <c r="EH750" s="92">
        <f t="shared" si="45"/>
        <v>0.86823424141727967</v>
      </c>
      <c r="EI750" s="92">
        <f t="shared" si="46"/>
        <v>1.0666370281344495</v>
      </c>
      <c r="FU750" s="451">
        <v>41901</v>
      </c>
      <c r="FV750" s="457">
        <v>160.22999999999999</v>
      </c>
      <c r="FW750" s="457"/>
    </row>
    <row r="751" spans="135:179" x14ac:dyDescent="0.35">
      <c r="EE751" s="451">
        <v>41885</v>
      </c>
      <c r="EF751" s="62">
        <v>149.56</v>
      </c>
      <c r="EG751" s="62">
        <v>2000.719971</v>
      </c>
      <c r="EH751" s="92">
        <f t="shared" si="45"/>
        <v>0.84423049710061748</v>
      </c>
      <c r="EI751" s="92">
        <f t="shared" si="46"/>
        <v>1.0681714492650916</v>
      </c>
      <c r="FU751" s="451">
        <v>41900</v>
      </c>
      <c r="FV751" s="457">
        <v>161.22999999999999</v>
      </c>
      <c r="FW751" s="457"/>
    </row>
    <row r="752" spans="135:179" x14ac:dyDescent="0.35">
      <c r="EE752" s="451">
        <v>41884</v>
      </c>
      <c r="EF752" s="62">
        <v>149.85</v>
      </c>
      <c r="EG752" s="62">
        <v>2002.280029</v>
      </c>
      <c r="EH752" s="92">
        <f t="shared" si="45"/>
        <v>0.84616576570255275</v>
      </c>
      <c r="EI752" s="92">
        <f t="shared" si="46"/>
        <v>1.0689505900333183</v>
      </c>
      <c r="FU752" s="451">
        <v>41899</v>
      </c>
      <c r="FV752" s="457">
        <v>158.94</v>
      </c>
      <c r="FW752" s="457"/>
    </row>
    <row r="753" spans="135:179" x14ac:dyDescent="0.35">
      <c r="EE753" s="451">
        <v>41880</v>
      </c>
      <c r="EF753" s="62">
        <v>149.94</v>
      </c>
      <c r="EG753" s="62">
        <v>2003.369995</v>
      </c>
      <c r="EH753" s="92">
        <f t="shared" si="45"/>
        <v>0.84676600579859118</v>
      </c>
      <c r="EI753" s="92">
        <f t="shared" si="46"/>
        <v>1.0694946562830476</v>
      </c>
      <c r="FU753" s="451">
        <v>41898</v>
      </c>
      <c r="FV753" s="457">
        <v>155.65</v>
      </c>
      <c r="FW753" s="457"/>
    </row>
    <row r="754" spans="135:179" x14ac:dyDescent="0.35">
      <c r="EE754" s="451">
        <v>41879</v>
      </c>
      <c r="EF754" s="62">
        <v>149.58000000000001</v>
      </c>
      <c r="EG754" s="62">
        <v>1996.73999</v>
      </c>
      <c r="EH754" s="92">
        <f t="shared" si="45"/>
        <v>0.8443592669297586</v>
      </c>
      <c r="EI754" s="92">
        <f t="shared" si="46"/>
        <v>1.0661742414903335</v>
      </c>
      <c r="FU754" s="451">
        <v>41897</v>
      </c>
      <c r="FV754" s="457">
        <v>154.84</v>
      </c>
      <c r="FW754" s="457"/>
    </row>
    <row r="755" spans="135:179" x14ac:dyDescent="0.35">
      <c r="EE755" s="451">
        <v>41878</v>
      </c>
      <c r="EF755" s="62">
        <v>149.93</v>
      </c>
      <c r="EG755" s="62">
        <v>2000.119995</v>
      </c>
      <c r="EH755" s="92">
        <f t="shared" si="45"/>
        <v>0.84669368966036618</v>
      </c>
      <c r="EI755" s="92">
        <f t="shared" si="46"/>
        <v>1.0678641426004916</v>
      </c>
      <c r="FU755" s="451">
        <v>41894</v>
      </c>
      <c r="FV755" s="457">
        <v>154.74</v>
      </c>
      <c r="FW755" s="457"/>
    </row>
    <row r="756" spans="135:179" x14ac:dyDescent="0.35">
      <c r="EE756" s="451">
        <v>41877</v>
      </c>
      <c r="EF756" s="62">
        <v>151.72999999999999</v>
      </c>
      <c r="EG756" s="62">
        <v>2000.0200199999999</v>
      </c>
      <c r="EH756" s="92">
        <f t="shared" si="45"/>
        <v>0.85855686767394279</v>
      </c>
      <c r="EI756" s="92">
        <f t="shared" si="46"/>
        <v>1.0678141556008613</v>
      </c>
      <c r="FU756" s="451">
        <v>41893</v>
      </c>
      <c r="FV756" s="457">
        <v>155.86000000000001</v>
      </c>
      <c r="FW756" s="457"/>
    </row>
    <row r="757" spans="135:179" x14ac:dyDescent="0.35">
      <c r="EE757" s="451">
        <v>41876</v>
      </c>
      <c r="EF757" s="62">
        <v>152.36000000000001</v>
      </c>
      <c r="EG757" s="62">
        <v>1997.920044</v>
      </c>
      <c r="EH757" s="92">
        <f t="shared" si="45"/>
        <v>0.86269181122868177</v>
      </c>
      <c r="EI757" s="92">
        <f t="shared" si="46"/>
        <v>1.0667630744996399</v>
      </c>
      <c r="FU757" s="451">
        <v>41892</v>
      </c>
      <c r="FV757" s="457">
        <v>155.36000000000001</v>
      </c>
      <c r="FW757" s="457"/>
    </row>
    <row r="758" spans="135:179" x14ac:dyDescent="0.35">
      <c r="EE758" s="451">
        <v>41873</v>
      </c>
      <c r="EF758" s="62">
        <v>152.22999999999999</v>
      </c>
      <c r="EG758" s="62">
        <v>1988.400024</v>
      </c>
      <c r="EH758" s="92">
        <f t="shared" si="45"/>
        <v>0.86183784026369448</v>
      </c>
      <c r="EI758" s="92">
        <f t="shared" si="46"/>
        <v>1.0619752954385389</v>
      </c>
      <c r="FU758" s="451">
        <v>41891</v>
      </c>
      <c r="FV758" s="457">
        <v>155.09</v>
      </c>
      <c r="FW758" s="457"/>
    </row>
    <row r="759" spans="135:179" x14ac:dyDescent="0.35">
      <c r="EE759" s="451">
        <v>41872</v>
      </c>
      <c r="EF759" s="62">
        <v>152.01</v>
      </c>
      <c r="EG759" s="62">
        <v>1992.369995</v>
      </c>
      <c r="EH759" s="92">
        <f t="shared" si="45"/>
        <v>0.86039056705798433</v>
      </c>
      <c r="EI759" s="92">
        <f t="shared" si="46"/>
        <v>1.0639678826637846</v>
      </c>
      <c r="FU759" s="451">
        <v>41890</v>
      </c>
      <c r="FV759" s="457">
        <v>155.74</v>
      </c>
      <c r="FW759" s="457"/>
    </row>
    <row r="760" spans="135:179" x14ac:dyDescent="0.35">
      <c r="EE760" s="451">
        <v>41871</v>
      </c>
      <c r="EF760" s="62">
        <v>152.58000000000001</v>
      </c>
      <c r="EG760" s="62">
        <v>1986.51001</v>
      </c>
      <c r="EH760" s="92">
        <f t="shared" si="45"/>
        <v>0.86412631224083936</v>
      </c>
      <c r="EI760" s="92">
        <f t="shared" si="46"/>
        <v>1.061017993173925</v>
      </c>
      <c r="FU760" s="451">
        <v>41887</v>
      </c>
      <c r="FV760" s="457">
        <v>155.44</v>
      </c>
      <c r="FW760" s="457"/>
    </row>
    <row r="761" spans="135:179" x14ac:dyDescent="0.35">
      <c r="EE761" s="451">
        <v>41870</v>
      </c>
      <c r="EF761" s="62">
        <v>151.74</v>
      </c>
      <c r="EG761" s="62">
        <v>1981.599976</v>
      </c>
      <c r="EH761" s="92">
        <f t="shared" si="45"/>
        <v>0.8585905273456238</v>
      </c>
      <c r="EI761" s="92">
        <f t="shared" si="46"/>
        <v>1.0585401802654331</v>
      </c>
      <c r="FU761" s="451">
        <v>41886</v>
      </c>
      <c r="FV761" s="457">
        <v>153.15</v>
      </c>
      <c r="FW761" s="457"/>
    </row>
    <row r="762" spans="135:179" x14ac:dyDescent="0.35">
      <c r="EE762" s="451">
        <v>41869</v>
      </c>
      <c r="EF762" s="62">
        <v>148.91999999999999</v>
      </c>
      <c r="EG762" s="62">
        <v>1971.73999</v>
      </c>
      <c r="EH762" s="92">
        <f t="shared" si="45"/>
        <v>0.83965418568567196</v>
      </c>
      <c r="EI762" s="92">
        <f t="shared" si="46"/>
        <v>1.0535395280242621</v>
      </c>
      <c r="FU762" s="451">
        <v>41885</v>
      </c>
      <c r="FV762" s="457">
        <v>149.56</v>
      </c>
      <c r="FW762" s="457"/>
    </row>
    <row r="763" spans="135:179" x14ac:dyDescent="0.35">
      <c r="EE763" s="451">
        <v>41866</v>
      </c>
      <c r="EF763" s="62">
        <v>147.19999999999999</v>
      </c>
      <c r="EG763" s="62">
        <v>1955.0600589999999</v>
      </c>
      <c r="EH763" s="92">
        <f t="shared" si="45"/>
        <v>0.82796940307697631</v>
      </c>
      <c r="EI763" s="92">
        <f t="shared" si="46"/>
        <v>1.0450078561079876</v>
      </c>
      <c r="FU763" s="451">
        <v>41884</v>
      </c>
      <c r="FV763" s="457">
        <v>149.85</v>
      </c>
      <c r="FW763" s="457"/>
    </row>
    <row r="764" spans="135:179" x14ac:dyDescent="0.35">
      <c r="EE764" s="451">
        <v>41865</v>
      </c>
      <c r="EF764" s="62">
        <v>147.71</v>
      </c>
      <c r="EG764" s="62">
        <v>1955.1800539999999</v>
      </c>
      <c r="EH764" s="92">
        <f t="shared" si="45"/>
        <v>0.83142211447092407</v>
      </c>
      <c r="EI764" s="92">
        <f t="shared" si="46"/>
        <v>1.0450692289722179</v>
      </c>
      <c r="FU764" s="451">
        <v>41880</v>
      </c>
      <c r="FV764" s="457">
        <v>149.94</v>
      </c>
      <c r="FW764" s="457"/>
    </row>
    <row r="765" spans="135:179" x14ac:dyDescent="0.35">
      <c r="EE765" s="451">
        <v>41864</v>
      </c>
      <c r="EF765" s="62">
        <v>147.22</v>
      </c>
      <c r="EG765" s="62">
        <v>1946.719971</v>
      </c>
      <c r="EH765" s="92">
        <f t="shared" si="45"/>
        <v>0.82809376234485421</v>
      </c>
      <c r="EI765" s="92">
        <f t="shared" si="46"/>
        <v>1.0407234149229305</v>
      </c>
      <c r="FU765" s="451">
        <v>41879</v>
      </c>
      <c r="FV765" s="457">
        <v>149.58000000000001</v>
      </c>
      <c r="FW765" s="457"/>
    </row>
    <row r="766" spans="135:179" x14ac:dyDescent="0.35">
      <c r="EE766" s="451">
        <v>41863</v>
      </c>
      <c r="EF766" s="62">
        <v>147.27500000000001</v>
      </c>
      <c r="EG766" s="62">
        <v>1933.75</v>
      </c>
      <c r="EH766" s="92">
        <f t="shared" si="45"/>
        <v>0.82846721337184459</v>
      </c>
      <c r="EI766" s="92">
        <f t="shared" si="46"/>
        <v>1.0340162547419351</v>
      </c>
      <c r="FU766" s="451">
        <v>41878</v>
      </c>
      <c r="FV766" s="457">
        <v>149.93</v>
      </c>
      <c r="FW766" s="457"/>
    </row>
    <row r="767" spans="135:179" x14ac:dyDescent="0.35">
      <c r="EE767" s="451">
        <v>41862</v>
      </c>
      <c r="EF767" s="62">
        <v>147.75</v>
      </c>
      <c r="EG767" s="62">
        <v>1936.920044</v>
      </c>
      <c r="EH767" s="92">
        <f t="shared" si="45"/>
        <v>0.83168210338876503</v>
      </c>
      <c r="EI767" s="92">
        <f t="shared" si="46"/>
        <v>1.0356528963832976</v>
      </c>
      <c r="FU767" s="451">
        <v>41877</v>
      </c>
      <c r="FV767" s="457">
        <v>151.72999999999999</v>
      </c>
      <c r="FW767" s="457"/>
    </row>
    <row r="768" spans="135:179" x14ac:dyDescent="0.35">
      <c r="EE768" s="451">
        <v>41859</v>
      </c>
      <c r="EF768" s="62">
        <v>145.38999999999999</v>
      </c>
      <c r="EG768" s="62">
        <v>1931.589966</v>
      </c>
      <c r="EH768" s="92">
        <f t="shared" si="45"/>
        <v>0.81544990034866593</v>
      </c>
      <c r="EI768" s="92">
        <f t="shared" si="46"/>
        <v>1.0328934711979216</v>
      </c>
      <c r="FU768" s="451">
        <v>41876</v>
      </c>
      <c r="FV768" s="457">
        <v>152.36000000000001</v>
      </c>
      <c r="FW768" s="457"/>
    </row>
    <row r="769" spans="135:179" x14ac:dyDescent="0.35">
      <c r="EE769" s="451">
        <v>41858</v>
      </c>
      <c r="EF769" s="62">
        <v>145.63</v>
      </c>
      <c r="EG769" s="62">
        <v>1909.5699460000001</v>
      </c>
      <c r="EH769" s="92">
        <f t="shared" si="45"/>
        <v>0.81709791243408791</v>
      </c>
      <c r="EI769" s="92">
        <f t="shared" si="46"/>
        <v>1.0213620685142306</v>
      </c>
      <c r="FU769" s="451">
        <v>41873</v>
      </c>
      <c r="FV769" s="457">
        <v>152.22999999999999</v>
      </c>
      <c r="FW769" s="457"/>
    </row>
    <row r="770" spans="135:179" x14ac:dyDescent="0.35">
      <c r="EE770" s="451">
        <v>41857</v>
      </c>
      <c r="EF770" s="62">
        <v>147.9</v>
      </c>
      <c r="EG770" s="62">
        <v>1920.23999</v>
      </c>
      <c r="EH770" s="92">
        <f t="shared" si="45"/>
        <v>0.8324461206829048</v>
      </c>
      <c r="EI770" s="92">
        <f t="shared" si="46"/>
        <v>1.0269186885490003</v>
      </c>
      <c r="FU770" s="451">
        <v>41872</v>
      </c>
      <c r="FV770" s="457">
        <v>152.01</v>
      </c>
      <c r="FW770" s="457"/>
    </row>
    <row r="771" spans="135:179" x14ac:dyDescent="0.35">
      <c r="EE771" s="451">
        <v>41856</v>
      </c>
      <c r="EF771" s="62">
        <v>149.26</v>
      </c>
      <c r="EG771" s="62">
        <v>1920.209961</v>
      </c>
      <c r="EH771" s="92">
        <f t="shared" si="45"/>
        <v>0.84155773799497757</v>
      </c>
      <c r="EI771" s="92">
        <f t="shared" si="46"/>
        <v>1.0269030501549652</v>
      </c>
      <c r="FU771" s="451">
        <v>41871</v>
      </c>
      <c r="FV771" s="457">
        <v>152.58000000000001</v>
      </c>
      <c r="FW771" s="457"/>
    </row>
    <row r="772" spans="135:179" x14ac:dyDescent="0.35">
      <c r="EE772" s="451">
        <v>41855</v>
      </c>
      <c r="EF772" s="62">
        <v>151.03</v>
      </c>
      <c r="EG772" s="62">
        <v>1938.98999</v>
      </c>
      <c r="EH772" s="92">
        <f t="shared" si="45"/>
        <v>0.85327726391697989</v>
      </c>
      <c r="EI772" s="92">
        <f t="shared" si="46"/>
        <v>1.0365885199597886</v>
      </c>
      <c r="FU772" s="451">
        <v>41870</v>
      </c>
      <c r="FV772" s="457">
        <v>151.74</v>
      </c>
      <c r="FW772" s="457"/>
    </row>
    <row r="773" spans="135:179" x14ac:dyDescent="0.35">
      <c r="EE773" s="451">
        <v>41852</v>
      </c>
      <c r="EF773" s="62">
        <v>149.19999999999999</v>
      </c>
      <c r="EG773" s="62">
        <v>1925.150024</v>
      </c>
      <c r="EH773" s="92">
        <f t="shared" si="45"/>
        <v>0.84101184836738196</v>
      </c>
      <c r="EI773" s="92">
        <f t="shared" si="46"/>
        <v>1.0293994875064925</v>
      </c>
      <c r="FU773" s="451">
        <v>41869</v>
      </c>
      <c r="FV773" s="457">
        <v>148.91999999999999</v>
      </c>
      <c r="FW773" s="457"/>
    </row>
    <row r="774" spans="135:179" x14ac:dyDescent="0.35">
      <c r="EE774" s="451">
        <v>41851</v>
      </c>
      <c r="EF774" s="62">
        <v>147.30000000000001</v>
      </c>
      <c r="EG774" s="62">
        <v>1930.670044</v>
      </c>
      <c r="EH774" s="92">
        <f t="shared" si="45"/>
        <v>0.82811300247464625</v>
      </c>
      <c r="EI774" s="92">
        <f t="shared" si="46"/>
        <v>1.03225860888622</v>
      </c>
      <c r="FU774" s="451">
        <v>41866</v>
      </c>
      <c r="FV774" s="457">
        <v>147.19999999999999</v>
      </c>
      <c r="FW774" s="457"/>
    </row>
    <row r="775" spans="135:179" x14ac:dyDescent="0.35">
      <c r="EE775" s="451">
        <v>41850</v>
      </c>
      <c r="EF775" s="62">
        <v>151.76</v>
      </c>
      <c r="EG775" s="62">
        <v>1970.0699460000001</v>
      </c>
      <c r="EH775" s="92">
        <f t="shared" si="45"/>
        <v>0.85750151064544211</v>
      </c>
      <c r="EI775" s="92">
        <f t="shared" si="46"/>
        <v>1.0522578490553303</v>
      </c>
      <c r="FU775" s="451">
        <v>41865</v>
      </c>
      <c r="FV775" s="457">
        <v>147.71</v>
      </c>
      <c r="FW775" s="457"/>
    </row>
    <row r="776" spans="135:179" x14ac:dyDescent="0.35">
      <c r="EE776" s="451">
        <v>41849</v>
      </c>
      <c r="EF776" s="62">
        <v>146.62</v>
      </c>
      <c r="EG776" s="62">
        <v>1969.9499510000001</v>
      </c>
      <c r="EH776" s="92">
        <f t="shared" si="45"/>
        <v>0.82244490172442186</v>
      </c>
      <c r="EI776" s="92">
        <f t="shared" si="46"/>
        <v>1.0521969363402945</v>
      </c>
      <c r="FU776" s="451">
        <v>41864</v>
      </c>
      <c r="FV776" s="457">
        <v>147.22</v>
      </c>
      <c r="FW776" s="457"/>
    </row>
    <row r="777" spans="135:179" x14ac:dyDescent="0.35">
      <c r="EE777" s="451">
        <v>41848</v>
      </c>
      <c r="EF777" s="62">
        <v>143.81</v>
      </c>
      <c r="EG777" s="62">
        <v>1978.910034</v>
      </c>
      <c r="EH777" s="92">
        <f t="shared" si="45"/>
        <v>0.80290523132597946</v>
      </c>
      <c r="EI777" s="92">
        <f t="shared" si="46"/>
        <v>1.0567247232765651</v>
      </c>
      <c r="FU777" s="451">
        <v>41863</v>
      </c>
      <c r="FV777" s="457">
        <v>147.27500000000001</v>
      </c>
      <c r="FW777" s="457"/>
    </row>
    <row r="778" spans="135:179" x14ac:dyDescent="0.35">
      <c r="EE778" s="451">
        <v>41845</v>
      </c>
      <c r="EF778" s="62">
        <v>143.35</v>
      </c>
      <c r="EG778" s="62">
        <v>1978.339966</v>
      </c>
      <c r="EH778" s="92">
        <f t="shared" si="45"/>
        <v>0.79969630213169962</v>
      </c>
      <c r="EI778" s="92">
        <f t="shared" si="46"/>
        <v>1.0564365685560433</v>
      </c>
      <c r="FU778" s="451">
        <v>41862</v>
      </c>
      <c r="FV778" s="457">
        <v>147.75</v>
      </c>
      <c r="FW778" s="457"/>
    </row>
    <row r="779" spans="135:179" x14ac:dyDescent="0.35">
      <c r="EE779" s="451">
        <v>41844</v>
      </c>
      <c r="EF779" s="62">
        <v>145.63</v>
      </c>
      <c r="EG779" s="62">
        <v>1987.9799800000001</v>
      </c>
      <c r="EH779" s="92">
        <f t="shared" si="45"/>
        <v>0.81535241694320826</v>
      </c>
      <c r="EI779" s="92">
        <f t="shared" si="46"/>
        <v>1.0612857189986951</v>
      </c>
      <c r="FU779" s="451">
        <v>41859</v>
      </c>
      <c r="FV779" s="457">
        <v>145.38999999999999</v>
      </c>
      <c r="FW779" s="457"/>
    </row>
    <row r="780" spans="135:179" x14ac:dyDescent="0.35">
      <c r="EE780" s="451">
        <v>41843</v>
      </c>
      <c r="EF780" s="62">
        <v>144.41</v>
      </c>
      <c r="EG780" s="62">
        <v>1987.01001</v>
      </c>
      <c r="EH780" s="92">
        <f t="shared" si="45"/>
        <v>0.80690424853381837</v>
      </c>
      <c r="EI780" s="92">
        <f t="shared" si="46"/>
        <v>1.0607975634307218</v>
      </c>
      <c r="FU780" s="451">
        <v>41858</v>
      </c>
      <c r="FV780" s="457">
        <v>145.63</v>
      </c>
      <c r="FW780" s="457"/>
    </row>
    <row r="781" spans="135:179" x14ac:dyDescent="0.35">
      <c r="EE781" s="451">
        <v>41842</v>
      </c>
      <c r="EF781" s="62">
        <v>145.25</v>
      </c>
      <c r="EG781" s="62">
        <v>1983.530029</v>
      </c>
      <c r="EH781" s="92">
        <f t="shared" si="45"/>
        <v>0.8126873810639389</v>
      </c>
      <c r="EI781" s="92">
        <f t="shared" si="46"/>
        <v>1.059043125156977</v>
      </c>
      <c r="FU781" s="451">
        <v>41857</v>
      </c>
      <c r="FV781" s="457">
        <v>147.9</v>
      </c>
      <c r="FW781" s="457"/>
    </row>
    <row r="782" spans="135:179" x14ac:dyDescent="0.35">
      <c r="EE782" s="451">
        <v>41841</v>
      </c>
      <c r="EF782" s="62">
        <v>144.55000000000001</v>
      </c>
      <c r="EG782" s="62">
        <v>1973.630005</v>
      </c>
      <c r="EH782" s="92">
        <f t="shared" si="45"/>
        <v>0.80784476605183242</v>
      </c>
      <c r="EI782" s="92">
        <f t="shared" si="46"/>
        <v>1.0540269752327667</v>
      </c>
      <c r="FU782" s="451">
        <v>41856</v>
      </c>
      <c r="FV782" s="457">
        <v>149.26</v>
      </c>
      <c r="FW782" s="457"/>
    </row>
    <row r="783" spans="135:179" x14ac:dyDescent="0.35">
      <c r="EE783" s="451">
        <v>41838</v>
      </c>
      <c r="EF783" s="62">
        <v>146.33000000000001</v>
      </c>
      <c r="EG783" s="62">
        <v>1978.219971</v>
      </c>
      <c r="EH783" s="92">
        <f t="shared" si="45"/>
        <v>0.82000905225425158</v>
      </c>
      <c r="EI783" s="92">
        <f t="shared" si="46"/>
        <v>1.0563472257950335</v>
      </c>
      <c r="FU783" s="451">
        <v>41855</v>
      </c>
      <c r="FV783" s="457">
        <v>151.03</v>
      </c>
      <c r="FW783" s="457"/>
    </row>
    <row r="784" spans="135:179" x14ac:dyDescent="0.35">
      <c r="EE784" s="451">
        <v>41837</v>
      </c>
      <c r="EF784" s="62">
        <v>144.56</v>
      </c>
      <c r="EG784" s="62">
        <v>1958.119995</v>
      </c>
      <c r="EH784" s="92">
        <f t="shared" si="45"/>
        <v>0.80776500134113582</v>
      </c>
      <c r="EI784" s="92">
        <f t="shared" si="46"/>
        <v>1.0460822900141189</v>
      </c>
      <c r="FU784" s="451">
        <v>41852</v>
      </c>
      <c r="FV784" s="457">
        <v>149.19999999999999</v>
      </c>
      <c r="FW784" s="457"/>
    </row>
    <row r="785" spans="135:179" x14ac:dyDescent="0.35">
      <c r="EE785" s="451">
        <v>41836</v>
      </c>
      <c r="EF785" s="62">
        <v>147.82</v>
      </c>
      <c r="EG785" s="62">
        <v>1981.5699460000001</v>
      </c>
      <c r="EH785" s="92">
        <f t="shared" si="45"/>
        <v>0.82981885061728244</v>
      </c>
      <c r="EI785" s="92">
        <f t="shared" si="46"/>
        <v>1.0579163163866605</v>
      </c>
      <c r="FU785" s="451">
        <v>41851</v>
      </c>
      <c r="FV785" s="457">
        <v>147.30000000000001</v>
      </c>
      <c r="FW785" s="457"/>
    </row>
    <row r="786" spans="135:179" x14ac:dyDescent="0.35">
      <c r="EE786" s="451">
        <v>41835</v>
      </c>
      <c r="EF786" s="62">
        <v>147.72999999999999</v>
      </c>
      <c r="EG786" s="62">
        <v>1973.280029</v>
      </c>
      <c r="EH786" s="92">
        <f t="shared" si="45"/>
        <v>0.82920963109518131</v>
      </c>
      <c r="EI786" s="92">
        <f t="shared" si="46"/>
        <v>1.0537152314528606</v>
      </c>
      <c r="FU786" s="451">
        <v>41850</v>
      </c>
      <c r="FV786" s="457">
        <v>151.76</v>
      </c>
      <c r="FW786" s="457"/>
    </row>
    <row r="787" spans="135:179" x14ac:dyDescent="0.35">
      <c r="EE787" s="451">
        <v>41834</v>
      </c>
      <c r="EF787" s="62">
        <v>148.08000000000001</v>
      </c>
      <c r="EG787" s="62">
        <v>1977.099976</v>
      </c>
      <c r="EH787" s="92">
        <f t="shared" si="45"/>
        <v>0.8315732183453165</v>
      </c>
      <c r="EI787" s="92">
        <f t="shared" si="46"/>
        <v>1.0556473274755049</v>
      </c>
      <c r="FU787" s="451">
        <v>41849</v>
      </c>
      <c r="FV787" s="457">
        <v>146.62</v>
      </c>
      <c r="FW787" s="457"/>
    </row>
    <row r="788" spans="135:179" x14ac:dyDescent="0.35">
      <c r="EE788" s="451">
        <v>41831</v>
      </c>
      <c r="EF788" s="62">
        <v>147.15</v>
      </c>
      <c r="EG788" s="62">
        <v>1967.5699460000001</v>
      </c>
      <c r="EH788" s="92">
        <f t="shared" si="45"/>
        <v>0.82525313679587708</v>
      </c>
      <c r="EI788" s="92">
        <f t="shared" si="46"/>
        <v>1.0508037741271861</v>
      </c>
      <c r="FU788" s="451">
        <v>41848</v>
      </c>
      <c r="FV788" s="457">
        <v>143.81</v>
      </c>
      <c r="FW788" s="457"/>
    </row>
    <row r="789" spans="135:179" x14ac:dyDescent="0.35">
      <c r="EE789" s="451">
        <v>41830</v>
      </c>
      <c r="EF789" s="62">
        <v>147.38</v>
      </c>
      <c r="EG789" s="62">
        <v>1964.6800539999999</v>
      </c>
      <c r="EH789" s="92">
        <f t="shared" si="45"/>
        <v>0.82681372846367451</v>
      </c>
      <c r="EI789" s="92">
        <f t="shared" si="46"/>
        <v>1.0493328516764204</v>
      </c>
      <c r="FU789" s="451">
        <v>41845</v>
      </c>
      <c r="FV789" s="457">
        <v>143.35</v>
      </c>
      <c r="FW789" s="457"/>
    </row>
    <row r="790" spans="135:179" x14ac:dyDescent="0.35">
      <c r="EE790" s="451">
        <v>41829</v>
      </c>
      <c r="EF790" s="62">
        <v>149.51</v>
      </c>
      <c r="EG790" s="62">
        <v>1972.829956</v>
      </c>
      <c r="EH790" s="92">
        <f t="shared" si="45"/>
        <v>0.84106026715673854</v>
      </c>
      <c r="EI790" s="92">
        <f t="shared" si="46"/>
        <v>1.0534639233763476</v>
      </c>
      <c r="FU790" s="451">
        <v>41844</v>
      </c>
      <c r="FV790" s="457">
        <v>145.63</v>
      </c>
      <c r="FW790" s="457"/>
    </row>
    <row r="791" spans="135:179" x14ac:dyDescent="0.35">
      <c r="EE791" s="451">
        <v>41828</v>
      </c>
      <c r="EF791" s="62">
        <v>148.81</v>
      </c>
      <c r="EG791" s="62">
        <v>1963.709961</v>
      </c>
      <c r="EH791" s="92">
        <f t="shared" si="45"/>
        <v>0.83635628220949043</v>
      </c>
      <c r="EI791" s="92">
        <f t="shared" si="46"/>
        <v>1.0488196555460028</v>
      </c>
      <c r="FU791" s="451">
        <v>41843</v>
      </c>
      <c r="FV791" s="457">
        <v>144.41</v>
      </c>
      <c r="FW791" s="457"/>
    </row>
    <row r="792" spans="135:179" x14ac:dyDescent="0.35">
      <c r="EE792" s="451">
        <v>41827</v>
      </c>
      <c r="EF792" s="62">
        <v>149.46</v>
      </c>
      <c r="EG792" s="62">
        <v>1977.650024</v>
      </c>
      <c r="EH792" s="92">
        <f t="shared" si="45"/>
        <v>0.8407052719057303</v>
      </c>
      <c r="EI792" s="92">
        <f t="shared" si="46"/>
        <v>1.0558684573212556</v>
      </c>
      <c r="FU792" s="451">
        <v>41842</v>
      </c>
      <c r="FV792" s="457">
        <v>145.25</v>
      </c>
      <c r="FW792" s="457"/>
    </row>
    <row r="793" spans="135:179" x14ac:dyDescent="0.35">
      <c r="EE793" s="451">
        <v>41823</v>
      </c>
      <c r="EF793" s="62">
        <v>149.16999999999999</v>
      </c>
      <c r="EG793" s="62">
        <v>1985.4399410000001</v>
      </c>
      <c r="EH793" s="92">
        <f t="shared" si="45"/>
        <v>0.83876118127088406</v>
      </c>
      <c r="EI793" s="92">
        <f t="shared" si="46"/>
        <v>1.0597919791761028</v>
      </c>
      <c r="FU793" s="451">
        <v>41841</v>
      </c>
      <c r="FV793" s="457">
        <v>144.55000000000001</v>
      </c>
      <c r="FW793" s="457"/>
    </row>
    <row r="794" spans="135:179" x14ac:dyDescent="0.35">
      <c r="EE794" s="451">
        <v>41822</v>
      </c>
      <c r="EF794" s="62">
        <v>147.58000000000001</v>
      </c>
      <c r="EG794" s="62">
        <v>1974.619995</v>
      </c>
      <c r="EH794" s="92">
        <f t="shared" si="45"/>
        <v>0.8279873636804248</v>
      </c>
      <c r="EI794" s="92">
        <f t="shared" si="46"/>
        <v>1.0543124712062668</v>
      </c>
      <c r="FU794" s="451">
        <v>41838</v>
      </c>
      <c r="FV794" s="457">
        <v>146.33000000000001</v>
      </c>
      <c r="FW794" s="457"/>
    </row>
    <row r="795" spans="135:179" x14ac:dyDescent="0.35">
      <c r="EE795" s="451">
        <v>41821</v>
      </c>
      <c r="EF795" s="62">
        <v>149.80000000000001</v>
      </c>
      <c r="EG795" s="62">
        <v>1973.3199460000001</v>
      </c>
      <c r="EH795" s="92">
        <f t="shared" si="45"/>
        <v>0.84280712335999752</v>
      </c>
      <c r="EI795" s="92">
        <f t="shared" si="46"/>
        <v>1.0536536581219338</v>
      </c>
      <c r="FU795" s="451">
        <v>41837</v>
      </c>
      <c r="FV795" s="457">
        <v>144.56</v>
      </c>
      <c r="FW795" s="457"/>
    </row>
    <row r="796" spans="135:179" x14ac:dyDescent="0.35">
      <c r="EE796" s="451">
        <v>41820</v>
      </c>
      <c r="EF796" s="62">
        <v>149.83000000000001</v>
      </c>
      <c r="EG796" s="62">
        <v>1960.2299800000001</v>
      </c>
      <c r="EH796" s="92">
        <f t="shared" ref="EH796:EH858" si="47">EH797+(EF796-EF797)/EF797</f>
        <v>0.84300735028384455</v>
      </c>
      <c r="EI796" s="92">
        <f t="shared" ref="EI796:EI858" si="48">EI797+(EG796-EG797)/EG797</f>
        <v>1.0469758875880906</v>
      </c>
      <c r="EJ796" s="92"/>
      <c r="EK796" s="452"/>
      <c r="FU796" s="451">
        <v>41836</v>
      </c>
      <c r="FV796" s="457">
        <v>147.82</v>
      </c>
      <c r="FW796" s="457"/>
    </row>
    <row r="797" spans="135:179" x14ac:dyDescent="0.35">
      <c r="EE797" s="451">
        <v>41817</v>
      </c>
      <c r="EF797" s="62">
        <v>149.56</v>
      </c>
      <c r="EG797" s="62">
        <v>1960.959961</v>
      </c>
      <c r="EH797" s="92">
        <f t="shared" si="47"/>
        <v>0.84120205475027932</v>
      </c>
      <c r="EI797" s="92">
        <f t="shared" si="48"/>
        <v>1.0473481445512709</v>
      </c>
      <c r="FU797" s="451">
        <v>41835</v>
      </c>
      <c r="FV797" s="457">
        <v>147.72999999999999</v>
      </c>
      <c r="FW797" s="457"/>
    </row>
    <row r="798" spans="135:179" x14ac:dyDescent="0.35">
      <c r="EE798" s="451">
        <v>41816</v>
      </c>
      <c r="EF798" s="62">
        <v>149.02000000000001</v>
      </c>
      <c r="EG798" s="62">
        <v>1957.219971</v>
      </c>
      <c r="EH798" s="92">
        <f t="shared" si="47"/>
        <v>0.83757838007573904</v>
      </c>
      <c r="EI798" s="92">
        <f t="shared" si="48"/>
        <v>1.0454372760462407</v>
      </c>
      <c r="FU798" s="451">
        <v>41834</v>
      </c>
      <c r="FV798" s="457">
        <v>148.08000000000001</v>
      </c>
      <c r="FW798" s="457"/>
    </row>
    <row r="799" spans="135:179" x14ac:dyDescent="0.35">
      <c r="EE799" s="451">
        <v>41815</v>
      </c>
      <c r="EF799" s="62">
        <v>149.96</v>
      </c>
      <c r="EG799" s="62">
        <v>1959.530029</v>
      </c>
      <c r="EH799" s="92">
        <f t="shared" si="47"/>
        <v>0.84384671829926527</v>
      </c>
      <c r="EI799" s="92">
        <f t="shared" si="48"/>
        <v>1.0466161597407044</v>
      </c>
      <c r="FU799" s="451">
        <v>41831</v>
      </c>
      <c r="FV799" s="457">
        <v>147.15</v>
      </c>
      <c r="FW799" s="457"/>
    </row>
    <row r="800" spans="135:179" x14ac:dyDescent="0.35">
      <c r="EE800" s="451">
        <v>41814</v>
      </c>
      <c r="EF800" s="62">
        <v>149.94</v>
      </c>
      <c r="EG800" s="62">
        <v>1949.9799800000001</v>
      </c>
      <c r="EH800" s="92">
        <f t="shared" si="47"/>
        <v>0.84371333161125672</v>
      </c>
      <c r="EI800" s="92">
        <f t="shared" si="48"/>
        <v>1.0417186484339473</v>
      </c>
      <c r="FU800" s="451">
        <v>41830</v>
      </c>
      <c r="FV800" s="457">
        <v>147.38</v>
      </c>
      <c r="FW800" s="457"/>
    </row>
    <row r="801" spans="135:179" x14ac:dyDescent="0.35">
      <c r="EE801" s="451">
        <v>41813</v>
      </c>
      <c r="EF801" s="62">
        <v>150.55000000000001</v>
      </c>
      <c r="EG801" s="62">
        <v>1962.6099850000001</v>
      </c>
      <c r="EH801" s="92">
        <f t="shared" si="47"/>
        <v>0.84776514164114725</v>
      </c>
      <c r="EI801" s="92">
        <f t="shared" si="48"/>
        <v>1.0481539591154019</v>
      </c>
      <c r="FU801" s="451">
        <v>41829</v>
      </c>
      <c r="FV801" s="457">
        <v>149.51</v>
      </c>
      <c r="FW801" s="457"/>
    </row>
    <row r="802" spans="135:179" x14ac:dyDescent="0.35">
      <c r="EE802" s="451">
        <v>41810</v>
      </c>
      <c r="EF802" s="62">
        <v>149.02000000000001</v>
      </c>
      <c r="EG802" s="62">
        <v>1962.869995</v>
      </c>
      <c r="EH802" s="92">
        <f t="shared" si="47"/>
        <v>0.83749806339661625</v>
      </c>
      <c r="EI802" s="92">
        <f t="shared" si="48"/>
        <v>1.048286423313572</v>
      </c>
      <c r="FU802" s="451">
        <v>41828</v>
      </c>
      <c r="FV802" s="457">
        <v>148.81</v>
      </c>
      <c r="FW802" s="457"/>
    </row>
    <row r="803" spans="135:179" x14ac:dyDescent="0.35">
      <c r="EE803" s="451">
        <v>41809</v>
      </c>
      <c r="EF803" s="62">
        <v>148.97999999999999</v>
      </c>
      <c r="EG803" s="62">
        <v>1959.4799800000001</v>
      </c>
      <c r="EH803" s="92">
        <f t="shared" si="47"/>
        <v>0.83722957098152684</v>
      </c>
      <c r="EI803" s="92">
        <f t="shared" si="48"/>
        <v>1.0465563648110094</v>
      </c>
      <c r="FU803" s="451">
        <v>41827</v>
      </c>
      <c r="FV803" s="457">
        <v>149.46</v>
      </c>
      <c r="FW803" s="457"/>
    </row>
    <row r="804" spans="135:179" x14ac:dyDescent="0.35">
      <c r="EE804" s="451">
        <v>41808</v>
      </c>
      <c r="EF804" s="62">
        <v>149.41</v>
      </c>
      <c r="EG804" s="62">
        <v>1956.9799800000001</v>
      </c>
      <c r="EH804" s="92">
        <f t="shared" si="47"/>
        <v>0.84010755772940182</v>
      </c>
      <c r="EI804" s="92">
        <f t="shared" si="48"/>
        <v>1.0452788862340441</v>
      </c>
      <c r="FU804" s="451">
        <v>41823</v>
      </c>
      <c r="FV804" s="457">
        <v>149.16999999999999</v>
      </c>
      <c r="FW804" s="457"/>
    </row>
    <row r="805" spans="135:179" x14ac:dyDescent="0.35">
      <c r="EE805" s="451">
        <v>41807</v>
      </c>
      <c r="EF805" s="62">
        <v>147.94</v>
      </c>
      <c r="EG805" s="62">
        <v>1941.98999</v>
      </c>
      <c r="EH805" s="92">
        <f t="shared" si="47"/>
        <v>0.83017109700207992</v>
      </c>
      <c r="EI805" s="92">
        <f t="shared" si="48"/>
        <v>1.0375600050466081</v>
      </c>
      <c r="FU805" s="451">
        <v>41822</v>
      </c>
      <c r="FV805" s="457">
        <v>147.58000000000001</v>
      </c>
      <c r="FW805" s="457"/>
    </row>
    <row r="806" spans="135:179" x14ac:dyDescent="0.35">
      <c r="EE806" s="451">
        <v>41806</v>
      </c>
      <c r="EF806" s="62">
        <v>149.5</v>
      </c>
      <c r="EG806" s="62">
        <v>1937.780029</v>
      </c>
      <c r="EH806" s="92">
        <f t="shared" si="47"/>
        <v>0.8406058796107756</v>
      </c>
      <c r="EI806" s="92">
        <f t="shared" si="48"/>
        <v>1.0353874359536277</v>
      </c>
      <c r="FU806" s="451">
        <v>41821</v>
      </c>
      <c r="FV806" s="457">
        <v>149.80000000000001</v>
      </c>
      <c r="FW806" s="457">
        <f>FX10</f>
        <v>167</v>
      </c>
    </row>
    <row r="807" spans="135:179" x14ac:dyDescent="0.35">
      <c r="EE807" s="451">
        <v>41803</v>
      </c>
      <c r="EF807" s="62">
        <v>151.4</v>
      </c>
      <c r="EG807" s="62">
        <v>1936.160034</v>
      </c>
      <c r="EH807" s="92">
        <f t="shared" si="47"/>
        <v>0.85315541725938859</v>
      </c>
      <c r="EI807" s="92">
        <f t="shared" si="48"/>
        <v>1.0345507308406452</v>
      </c>
      <c r="FU807" s="451">
        <v>41820</v>
      </c>
      <c r="FV807" s="457">
        <v>149.83000000000001</v>
      </c>
      <c r="FW807" s="457"/>
    </row>
    <row r="808" spans="135:179" x14ac:dyDescent="0.35">
      <c r="EE808" s="451">
        <v>41802</v>
      </c>
      <c r="EF808" s="62">
        <v>150.59</v>
      </c>
      <c r="EG808" s="62">
        <v>1930.1099850000001</v>
      </c>
      <c r="EH808" s="92">
        <f t="shared" si="47"/>
        <v>0.84777657404270756</v>
      </c>
      <c r="EI808" s="92">
        <f t="shared" si="48"/>
        <v>1.0314161690555561</v>
      </c>
      <c r="FU808" s="451">
        <v>41817</v>
      </c>
      <c r="FV808" s="457">
        <v>149.56</v>
      </c>
      <c r="FW808" s="457"/>
    </row>
    <row r="809" spans="135:179" x14ac:dyDescent="0.35">
      <c r="EE809" s="451">
        <v>41801</v>
      </c>
      <c r="EF809" s="62">
        <v>152.06</v>
      </c>
      <c r="EG809" s="62">
        <v>1943.8900149999999</v>
      </c>
      <c r="EH809" s="92">
        <f t="shared" si="47"/>
        <v>0.85744381065983233</v>
      </c>
      <c r="EI809" s="92">
        <f t="shared" si="48"/>
        <v>1.0385050629197492</v>
      </c>
      <c r="FU809" s="451">
        <v>41816</v>
      </c>
      <c r="FV809" s="457">
        <v>149.02000000000001</v>
      </c>
      <c r="FW809" s="457"/>
    </row>
    <row r="810" spans="135:179" x14ac:dyDescent="0.35">
      <c r="EE810" s="451">
        <v>41800</v>
      </c>
      <c r="EF810" s="62">
        <v>151.9</v>
      </c>
      <c r="EG810" s="62">
        <v>1950.790039</v>
      </c>
      <c r="EH810" s="92">
        <f t="shared" si="47"/>
        <v>0.85639048610420365</v>
      </c>
      <c r="EI810" s="92">
        <f t="shared" si="48"/>
        <v>1.0420421037401633</v>
      </c>
      <c r="FU810" s="451">
        <v>41815</v>
      </c>
      <c r="FV810" s="457">
        <v>149.96</v>
      </c>
      <c r="FW810" s="457"/>
    </row>
    <row r="811" spans="135:179" x14ac:dyDescent="0.35">
      <c r="EE811" s="451">
        <v>41799</v>
      </c>
      <c r="EF811" s="62">
        <v>157.11000000000001</v>
      </c>
      <c r="EG811" s="62">
        <v>1951.2700199999999</v>
      </c>
      <c r="EH811" s="92">
        <f t="shared" si="47"/>
        <v>0.88955196532258574</v>
      </c>
      <c r="EI811" s="92">
        <f t="shared" si="48"/>
        <v>1.0422880876353087</v>
      </c>
      <c r="FU811" s="451">
        <v>41814</v>
      </c>
      <c r="FV811" s="457">
        <v>149.94</v>
      </c>
      <c r="FW811" s="457"/>
    </row>
    <row r="812" spans="135:179" x14ac:dyDescent="0.35">
      <c r="EE812" s="451">
        <v>41796</v>
      </c>
      <c r="EF812" s="62">
        <v>159.11000000000001</v>
      </c>
      <c r="EG812" s="62">
        <v>1949.4399410000001</v>
      </c>
      <c r="EH812" s="92">
        <f t="shared" si="47"/>
        <v>0.90212188550359262</v>
      </c>
      <c r="EI812" s="92">
        <f t="shared" si="48"/>
        <v>1.0413493159596545</v>
      </c>
      <c r="FU812" s="451">
        <v>41813</v>
      </c>
      <c r="FV812" s="457">
        <v>150.55000000000001</v>
      </c>
      <c r="FW812" s="457"/>
    </row>
    <row r="813" spans="135:179" x14ac:dyDescent="0.35">
      <c r="EE813" s="451">
        <v>41795</v>
      </c>
      <c r="EF813" s="62">
        <v>155.69</v>
      </c>
      <c r="EG813" s="62">
        <v>1940.459961</v>
      </c>
      <c r="EH813" s="92">
        <f t="shared" si="47"/>
        <v>0.88015515674773148</v>
      </c>
      <c r="EI813" s="92">
        <f t="shared" si="48"/>
        <v>1.0367215575000714</v>
      </c>
      <c r="FU813" s="451">
        <v>41810</v>
      </c>
      <c r="FV813" s="457">
        <v>149.02000000000001</v>
      </c>
      <c r="FW813" s="457"/>
    </row>
    <row r="814" spans="135:179" x14ac:dyDescent="0.35">
      <c r="EE814" s="451">
        <v>41794</v>
      </c>
      <c r="EF814" s="62">
        <v>154.46</v>
      </c>
      <c r="EG814" s="62">
        <v>1927.880005</v>
      </c>
      <c r="EH814" s="92">
        <f t="shared" si="47"/>
        <v>0.87219193002236572</v>
      </c>
      <c r="EI814" s="92">
        <f t="shared" si="48"/>
        <v>1.0301962779352782</v>
      </c>
      <c r="FU814" s="451">
        <v>41809</v>
      </c>
      <c r="FV814" s="457">
        <v>148.97999999999999</v>
      </c>
      <c r="FW814" s="457"/>
    </row>
    <row r="815" spans="135:179" x14ac:dyDescent="0.35">
      <c r="EE815" s="451">
        <v>41793</v>
      </c>
      <c r="EF815" s="62">
        <v>154.02000000000001</v>
      </c>
      <c r="EG815" s="62">
        <v>1924.23999</v>
      </c>
      <c r="EH815" s="92">
        <f t="shared" si="47"/>
        <v>0.86933515817455376</v>
      </c>
      <c r="EI815" s="92">
        <f t="shared" si="48"/>
        <v>1.0283046142036665</v>
      </c>
      <c r="FU815" s="451">
        <v>41808</v>
      </c>
      <c r="FV815" s="457">
        <v>149.41</v>
      </c>
      <c r="FW815" s="457"/>
    </row>
    <row r="816" spans="135:179" x14ac:dyDescent="0.35">
      <c r="EE816" s="451">
        <v>41792</v>
      </c>
      <c r="EF816" s="62">
        <v>154.65</v>
      </c>
      <c r="EG816" s="62">
        <v>1924.969971</v>
      </c>
      <c r="EH816" s="92">
        <f t="shared" si="47"/>
        <v>0.87340887301451497</v>
      </c>
      <c r="EI816" s="92">
        <f t="shared" si="48"/>
        <v>1.0286838310283428</v>
      </c>
      <c r="FU816" s="451">
        <v>41807</v>
      </c>
      <c r="FV816" s="457">
        <v>147.94</v>
      </c>
      <c r="FW816" s="457"/>
    </row>
    <row r="817" spans="135:179" x14ac:dyDescent="0.35">
      <c r="EE817" s="451">
        <v>41789</v>
      </c>
      <c r="EF817" s="62">
        <v>153.61000000000001</v>
      </c>
      <c r="EG817" s="62">
        <v>1923.5699460000001</v>
      </c>
      <c r="EH817" s="92">
        <f t="shared" si="47"/>
        <v>0.8666384804619468</v>
      </c>
      <c r="EI817" s="92">
        <f t="shared" si="48"/>
        <v>1.027956004622596</v>
      </c>
      <c r="FU817" s="451">
        <v>41806</v>
      </c>
      <c r="FV817" s="457">
        <v>149.5</v>
      </c>
      <c r="FW817" s="457"/>
    </row>
    <row r="818" spans="135:179" x14ac:dyDescent="0.35">
      <c r="EE818" s="451">
        <v>41788</v>
      </c>
      <c r="EF818" s="62">
        <v>152.32</v>
      </c>
      <c r="EG818" s="62">
        <v>1920.030029</v>
      </c>
      <c r="EH818" s="92">
        <f t="shared" si="47"/>
        <v>0.85816946785690462</v>
      </c>
      <c r="EI818" s="92">
        <f t="shared" si="48"/>
        <v>1.0261123266870775</v>
      </c>
      <c r="FU818" s="451">
        <v>41803</v>
      </c>
      <c r="FV818" s="457">
        <v>151.4</v>
      </c>
      <c r="FW818" s="457"/>
    </row>
    <row r="819" spans="135:179" x14ac:dyDescent="0.35">
      <c r="EE819" s="451">
        <v>41787</v>
      </c>
      <c r="EF819" s="62">
        <v>154.78</v>
      </c>
      <c r="EG819" s="62">
        <v>1909.780029</v>
      </c>
      <c r="EH819" s="92">
        <f t="shared" si="47"/>
        <v>0.87406299415229172</v>
      </c>
      <c r="EI819" s="92">
        <f t="shared" si="48"/>
        <v>1.0207452164207884</v>
      </c>
      <c r="FU819" s="451">
        <v>41802</v>
      </c>
      <c r="FV819" s="457">
        <v>150.59</v>
      </c>
      <c r="FW819" s="457"/>
    </row>
    <row r="820" spans="135:179" x14ac:dyDescent="0.35">
      <c r="EE820" s="451">
        <v>41786</v>
      </c>
      <c r="EF820" s="62">
        <v>153.59</v>
      </c>
      <c r="EG820" s="62">
        <v>1911.910034</v>
      </c>
      <c r="EH820" s="92">
        <f t="shared" si="47"/>
        <v>0.86631509389836892</v>
      </c>
      <c r="EI820" s="92">
        <f t="shared" si="48"/>
        <v>1.0218592881930588</v>
      </c>
      <c r="FU820" s="451">
        <v>41801</v>
      </c>
      <c r="FV820" s="457">
        <v>152.06</v>
      </c>
      <c r="FW820" s="457"/>
    </row>
    <row r="821" spans="135:179" x14ac:dyDescent="0.35">
      <c r="EE821" s="451">
        <v>41782</v>
      </c>
      <c r="EF821" s="62">
        <v>154.88999999999999</v>
      </c>
      <c r="EG821" s="62">
        <v>1900.530029</v>
      </c>
      <c r="EH821" s="92">
        <f t="shared" si="47"/>
        <v>0.87470814703285138</v>
      </c>
      <c r="EI821" s="92">
        <f t="shared" si="48"/>
        <v>1.0158714822513721</v>
      </c>
      <c r="FU821" s="451">
        <v>41800</v>
      </c>
      <c r="FV821" s="457">
        <v>151.9</v>
      </c>
      <c r="FW821" s="457"/>
    </row>
    <row r="822" spans="135:179" x14ac:dyDescent="0.35">
      <c r="EE822" s="451">
        <v>41781</v>
      </c>
      <c r="EF822" s="62">
        <v>154.94999999999999</v>
      </c>
      <c r="EG822" s="62">
        <v>1892.48999</v>
      </c>
      <c r="EH822" s="92">
        <f t="shared" si="47"/>
        <v>0.87509536871726568</v>
      </c>
      <c r="EI822" s="92">
        <f t="shared" si="48"/>
        <v>1.0116230904276458</v>
      </c>
      <c r="FU822" s="451">
        <v>41799</v>
      </c>
      <c r="FV822" s="457">
        <v>157.11000000000001</v>
      </c>
      <c r="FW822" s="457"/>
    </row>
    <row r="823" spans="135:179" x14ac:dyDescent="0.35">
      <c r="EE823" s="451">
        <v>41780</v>
      </c>
      <c r="EF823" s="62">
        <v>152.49</v>
      </c>
      <c r="EG823" s="62">
        <v>1888.030029</v>
      </c>
      <c r="EH823" s="92">
        <f t="shared" si="47"/>
        <v>0.85896316332674838</v>
      </c>
      <c r="EI823" s="92">
        <f t="shared" si="48"/>
        <v>1.0092608605205493</v>
      </c>
      <c r="FU823" s="451">
        <v>41796</v>
      </c>
      <c r="FV823" s="457">
        <v>159.11000000000001</v>
      </c>
      <c r="FW823" s="457"/>
    </row>
    <row r="824" spans="135:179" x14ac:dyDescent="0.35">
      <c r="EE824" s="451">
        <v>41779</v>
      </c>
      <c r="EF824" s="62">
        <v>153.15</v>
      </c>
      <c r="EG824" s="62">
        <v>1872.829956</v>
      </c>
      <c r="EH824" s="92">
        <f t="shared" si="47"/>
        <v>0.86327266381646428</v>
      </c>
      <c r="EI824" s="92">
        <f t="shared" si="48"/>
        <v>1.001144761698388</v>
      </c>
      <c r="FU824" s="451">
        <v>41795</v>
      </c>
      <c r="FV824" s="457">
        <v>155.69</v>
      </c>
      <c r="FW824" s="457"/>
    </row>
    <row r="825" spans="135:179" x14ac:dyDescent="0.35">
      <c r="EE825" s="451">
        <v>41778</v>
      </c>
      <c r="EF825" s="62">
        <v>153.5</v>
      </c>
      <c r="EG825" s="62">
        <v>1885.079956</v>
      </c>
      <c r="EH825" s="92">
        <f t="shared" si="47"/>
        <v>0.86555279410962382</v>
      </c>
      <c r="EI825" s="92">
        <f t="shared" si="48"/>
        <v>1.007643159796044</v>
      </c>
      <c r="FU825" s="451">
        <v>41794</v>
      </c>
      <c r="FV825" s="457">
        <v>154.46</v>
      </c>
      <c r="FW825" s="457"/>
    </row>
    <row r="826" spans="135:179" x14ac:dyDescent="0.35">
      <c r="EE826" s="451">
        <v>41775</v>
      </c>
      <c r="EF826" s="62">
        <v>152.88999999999999</v>
      </c>
      <c r="EG826" s="62">
        <v>1877.8599850000001</v>
      </c>
      <c r="EH826" s="92">
        <f t="shared" si="47"/>
        <v>0.86156299752384313</v>
      </c>
      <c r="EI826" s="92">
        <f t="shared" si="48"/>
        <v>1.0037983731465219</v>
      </c>
      <c r="FU826" s="451">
        <v>41793</v>
      </c>
      <c r="FV826" s="457">
        <v>154.02000000000001</v>
      </c>
      <c r="FW826" s="457"/>
    </row>
    <row r="827" spans="135:179" x14ac:dyDescent="0.35">
      <c r="EE827" s="451">
        <v>41774</v>
      </c>
      <c r="EF827" s="62">
        <v>152.66</v>
      </c>
      <c r="EG827" s="62">
        <v>1870.849976</v>
      </c>
      <c r="EH827" s="92">
        <f t="shared" si="47"/>
        <v>0.86005638151441044</v>
      </c>
      <c r="EI827" s="92">
        <f t="shared" si="48"/>
        <v>1.0000514083498107</v>
      </c>
      <c r="FU827" s="451">
        <v>41792</v>
      </c>
      <c r="FV827" s="457">
        <v>154.65</v>
      </c>
      <c r="FW827" s="457"/>
    </row>
    <row r="828" spans="135:179" x14ac:dyDescent="0.35">
      <c r="EE828" s="451">
        <v>41773</v>
      </c>
      <c r="EF828" s="62">
        <v>153.16999999999999</v>
      </c>
      <c r="EG828" s="62">
        <v>1888.530029</v>
      </c>
      <c r="EH828" s="92">
        <f t="shared" si="47"/>
        <v>0.86338601525469894</v>
      </c>
      <c r="EI828" s="92">
        <f t="shared" si="48"/>
        <v>1.0094132150081681</v>
      </c>
      <c r="FU828" s="451">
        <v>41789</v>
      </c>
      <c r="FV828" s="457">
        <v>153.61000000000001</v>
      </c>
      <c r="FW828" s="457"/>
    </row>
    <row r="829" spans="135:179" x14ac:dyDescent="0.35">
      <c r="EE829" s="451">
        <v>41772</v>
      </c>
      <c r="EF829" s="62">
        <v>155.75</v>
      </c>
      <c r="EG829" s="62">
        <v>1897.4499510000001</v>
      </c>
      <c r="EH829" s="92">
        <f t="shared" si="47"/>
        <v>0.87995102328038122</v>
      </c>
      <c r="EI829" s="92">
        <f t="shared" si="48"/>
        <v>1.0141142201626381</v>
      </c>
      <c r="FU829" s="451">
        <v>41788</v>
      </c>
      <c r="FV829" s="457">
        <v>152.32</v>
      </c>
      <c r="FW829" s="457"/>
    </row>
    <row r="830" spans="135:179" x14ac:dyDescent="0.35">
      <c r="EE830" s="451">
        <v>41771</v>
      </c>
      <c r="EF830" s="62">
        <v>157.56</v>
      </c>
      <c r="EG830" s="62">
        <v>1896.650024</v>
      </c>
      <c r="EH830" s="92">
        <f t="shared" si="47"/>
        <v>0.89143871051064272</v>
      </c>
      <c r="EI830" s="92">
        <f t="shared" si="48"/>
        <v>1.01369246233179</v>
      </c>
      <c r="FU830" s="451">
        <v>41787</v>
      </c>
      <c r="FV830" s="457">
        <v>154.78</v>
      </c>
      <c r="FW830" s="457"/>
    </row>
    <row r="831" spans="135:179" x14ac:dyDescent="0.35">
      <c r="EE831" s="451">
        <v>41768</v>
      </c>
      <c r="EF831" s="62">
        <v>157.75</v>
      </c>
      <c r="EG831" s="62">
        <v>1878.4799800000001</v>
      </c>
      <c r="EH831" s="92">
        <f t="shared" si="47"/>
        <v>0.8926431479115936</v>
      </c>
      <c r="EI831" s="92">
        <f t="shared" si="48"/>
        <v>1.0040197246963323</v>
      </c>
      <c r="FU831" s="451">
        <v>41786</v>
      </c>
      <c r="FV831" s="457">
        <v>153.59</v>
      </c>
      <c r="FW831" s="457"/>
    </row>
    <row r="832" spans="135:179" x14ac:dyDescent="0.35">
      <c r="EE832" s="451">
        <v>41767</v>
      </c>
      <c r="EF832" s="62">
        <v>158.5</v>
      </c>
      <c r="EG832" s="62">
        <v>1875.630005</v>
      </c>
      <c r="EH832" s="92">
        <f t="shared" si="47"/>
        <v>0.89737500911033174</v>
      </c>
      <c r="EI832" s="92">
        <f t="shared" si="48"/>
        <v>1.0025002485776933</v>
      </c>
      <c r="FU832" s="451">
        <v>41782</v>
      </c>
      <c r="FV832" s="457">
        <v>154.88999999999999</v>
      </c>
      <c r="FW832" s="457"/>
    </row>
    <row r="833" spans="135:179" x14ac:dyDescent="0.35">
      <c r="EE833" s="451">
        <v>41766</v>
      </c>
      <c r="EF833" s="62">
        <v>156.59</v>
      </c>
      <c r="EG833" s="62">
        <v>1878.209961</v>
      </c>
      <c r="EH833" s="92">
        <f t="shared" si="47"/>
        <v>0.88517755077965932</v>
      </c>
      <c r="EI833" s="92">
        <f t="shared" si="48"/>
        <v>1.0038738734937418</v>
      </c>
      <c r="FU833" s="451">
        <v>41781</v>
      </c>
      <c r="FV833" s="457">
        <v>154.94999999999999</v>
      </c>
      <c r="FW833" s="457"/>
    </row>
    <row r="834" spans="135:179" x14ac:dyDescent="0.35">
      <c r="EE834" s="451">
        <v>41765</v>
      </c>
      <c r="EF834" s="62">
        <v>155.66</v>
      </c>
      <c r="EG834" s="62">
        <v>1867.719971</v>
      </c>
      <c r="EH834" s="92">
        <f t="shared" si="47"/>
        <v>0.87920299084133213</v>
      </c>
      <c r="EI834" s="92">
        <f t="shared" si="48"/>
        <v>0.99825740519930917</v>
      </c>
      <c r="FU834" s="451">
        <v>41780</v>
      </c>
      <c r="FV834" s="457">
        <v>152.49</v>
      </c>
      <c r="FW834" s="457"/>
    </row>
    <row r="835" spans="135:179" x14ac:dyDescent="0.35">
      <c r="EE835" s="451">
        <v>41764</v>
      </c>
      <c r="EF835" s="62">
        <v>157.35</v>
      </c>
      <c r="EG835" s="62">
        <v>1884.660034</v>
      </c>
      <c r="EH835" s="92">
        <f t="shared" si="47"/>
        <v>0.88994337851212968</v>
      </c>
      <c r="EI835" s="92">
        <f t="shared" si="48"/>
        <v>1.0072457971078734</v>
      </c>
      <c r="FU835" s="451">
        <v>41779</v>
      </c>
      <c r="FV835" s="457">
        <v>153.15</v>
      </c>
      <c r="FW835" s="457"/>
    </row>
    <row r="836" spans="135:179" x14ac:dyDescent="0.35">
      <c r="EE836" s="451">
        <v>41761</v>
      </c>
      <c r="EF836" s="62">
        <v>159.17500000000001</v>
      </c>
      <c r="EG836" s="62">
        <v>1881.1400149999999</v>
      </c>
      <c r="EH836" s="92">
        <f t="shared" si="47"/>
        <v>0.90140874681745409</v>
      </c>
      <c r="EI836" s="92">
        <f t="shared" si="48"/>
        <v>1.0053745812643256</v>
      </c>
      <c r="FU836" s="451">
        <v>41778</v>
      </c>
      <c r="FV836" s="457">
        <v>153.5</v>
      </c>
      <c r="FW836" s="457"/>
    </row>
    <row r="837" spans="135:179" x14ac:dyDescent="0.35">
      <c r="EE837" s="451">
        <v>41760</v>
      </c>
      <c r="EF837" s="62">
        <v>156.93</v>
      </c>
      <c r="EG837" s="62">
        <v>1883.6800539999999</v>
      </c>
      <c r="EH837" s="92">
        <f t="shared" si="47"/>
        <v>0.88710300540408504</v>
      </c>
      <c r="EI837" s="92">
        <f t="shared" si="48"/>
        <v>1.0067230262906484</v>
      </c>
      <c r="FU837" s="451">
        <v>41775</v>
      </c>
      <c r="FV837" s="457">
        <v>152.88999999999999</v>
      </c>
      <c r="FW837" s="457"/>
    </row>
    <row r="838" spans="135:179" x14ac:dyDescent="0.35">
      <c r="EE838" s="451">
        <v>41759</v>
      </c>
      <c r="EF838" s="62">
        <v>152.97</v>
      </c>
      <c r="EG838" s="62">
        <v>1883.9499510000001</v>
      </c>
      <c r="EH838" s="92">
        <f t="shared" si="47"/>
        <v>0.86121557649645608</v>
      </c>
      <c r="EI838" s="92">
        <f t="shared" si="48"/>
        <v>1.0068662875274221</v>
      </c>
      <c r="FU838" s="451">
        <v>41774</v>
      </c>
      <c r="FV838" s="457">
        <v>152.66</v>
      </c>
      <c r="FW838" s="457"/>
    </row>
    <row r="839" spans="135:179" x14ac:dyDescent="0.35">
      <c r="EE839" s="451">
        <v>41758</v>
      </c>
      <c r="EF839" s="62">
        <v>163.18</v>
      </c>
      <c r="EG839" s="62">
        <v>1878.329956</v>
      </c>
      <c r="EH839" s="92">
        <f t="shared" si="47"/>
        <v>0.92378451876879342</v>
      </c>
      <c r="EI839" s="92">
        <f t="shared" si="48"/>
        <v>1.0038742706125836</v>
      </c>
      <c r="FU839" s="451">
        <v>41773</v>
      </c>
      <c r="FV839" s="457">
        <v>153.16999999999999</v>
      </c>
      <c r="FW839" s="457"/>
    </row>
    <row r="840" spans="135:179" x14ac:dyDescent="0.35">
      <c r="EE840" s="451">
        <v>41757</v>
      </c>
      <c r="EF840" s="62">
        <v>163.33000000000001</v>
      </c>
      <c r="EG840" s="62">
        <v>1869.4300539999999</v>
      </c>
      <c r="EH840" s="92">
        <f t="shared" si="47"/>
        <v>0.92470290485830553</v>
      </c>
      <c r="EI840" s="92">
        <f t="shared" si="48"/>
        <v>0.99911351372790802</v>
      </c>
      <c r="FU840" s="451">
        <v>41772</v>
      </c>
      <c r="FV840" s="457">
        <v>155.75</v>
      </c>
      <c r="FW840" s="457"/>
    </row>
    <row r="841" spans="135:179" x14ac:dyDescent="0.35">
      <c r="EE841" s="451">
        <v>41754</v>
      </c>
      <c r="EF841" s="62">
        <v>168.16</v>
      </c>
      <c r="EG841" s="62">
        <v>1863.400024</v>
      </c>
      <c r="EH841" s="92">
        <f t="shared" si="47"/>
        <v>0.95342554995821027</v>
      </c>
      <c r="EI841" s="92">
        <f t="shared" si="48"/>
        <v>0.99587747749181543</v>
      </c>
      <c r="FU841" s="451">
        <v>41771</v>
      </c>
      <c r="FV841" s="457">
        <v>157.56</v>
      </c>
      <c r="FW841" s="457"/>
    </row>
    <row r="842" spans="135:179" x14ac:dyDescent="0.35">
      <c r="EE842" s="451">
        <v>41753</v>
      </c>
      <c r="EF842" s="62">
        <v>170.72</v>
      </c>
      <c r="EG842" s="62">
        <v>1878.6099850000001</v>
      </c>
      <c r="EH842" s="92">
        <f t="shared" si="47"/>
        <v>0.96842086392259641</v>
      </c>
      <c r="EI842" s="92">
        <f t="shared" si="48"/>
        <v>1.003973868505089</v>
      </c>
      <c r="FU842" s="451">
        <v>41768</v>
      </c>
      <c r="FV842" s="457">
        <v>157.75</v>
      </c>
      <c r="FW842" s="457"/>
    </row>
    <row r="843" spans="135:179" x14ac:dyDescent="0.35">
      <c r="EE843" s="451">
        <v>41752</v>
      </c>
      <c r="EF843" s="62">
        <v>169.63</v>
      </c>
      <c r="EG843" s="62">
        <v>1875.3900149999999</v>
      </c>
      <c r="EH843" s="92">
        <f t="shared" si="47"/>
        <v>0.96199511376047886</v>
      </c>
      <c r="EI843" s="92">
        <f t="shared" si="48"/>
        <v>1.0022569083132111</v>
      </c>
      <c r="FU843" s="451">
        <v>41767</v>
      </c>
      <c r="FV843" s="457">
        <v>158.5</v>
      </c>
      <c r="FW843" s="457"/>
    </row>
    <row r="844" spans="135:179" x14ac:dyDescent="0.35">
      <c r="EE844" s="451">
        <v>41751</v>
      </c>
      <c r="EF844" s="62">
        <v>172.12</v>
      </c>
      <c r="EG844" s="62">
        <v>1879.5500489999999</v>
      </c>
      <c r="EH844" s="92">
        <f t="shared" si="47"/>
        <v>0.97646176493407877</v>
      </c>
      <c r="EI844" s="92">
        <f t="shared" si="48"/>
        <v>1.0044702220806276</v>
      </c>
      <c r="FU844" s="451">
        <v>41766</v>
      </c>
      <c r="FV844" s="457">
        <v>156.59</v>
      </c>
      <c r="FW844" s="457"/>
    </row>
    <row r="845" spans="135:179" x14ac:dyDescent="0.35">
      <c r="EE845" s="451">
        <v>41750</v>
      </c>
      <c r="EF845" s="62">
        <v>168.41</v>
      </c>
      <c r="EG845" s="62">
        <v>1871.8900149999999</v>
      </c>
      <c r="EH845" s="92">
        <f t="shared" si="47"/>
        <v>0.95443219424350212</v>
      </c>
      <c r="EI845" s="92">
        <f t="shared" si="48"/>
        <v>1.0003780831522622</v>
      </c>
      <c r="FU845" s="451">
        <v>41765</v>
      </c>
      <c r="FV845" s="457">
        <v>155.66</v>
      </c>
      <c r="FW845" s="457"/>
    </row>
    <row r="846" spans="135:179" x14ac:dyDescent="0.35">
      <c r="EE846" s="451">
        <v>41746</v>
      </c>
      <c r="EF846" s="62">
        <v>168</v>
      </c>
      <c r="EG846" s="62">
        <v>1864.849976</v>
      </c>
      <c r="EH846" s="92">
        <f t="shared" si="47"/>
        <v>0.95199171805302596</v>
      </c>
      <c r="EI846" s="92">
        <f t="shared" si="48"/>
        <v>0.99660295963530221</v>
      </c>
      <c r="FU846" s="451">
        <v>41764</v>
      </c>
      <c r="FV846" s="457">
        <v>157.35</v>
      </c>
      <c r="FW846" s="457"/>
    </row>
    <row r="847" spans="135:179" x14ac:dyDescent="0.35">
      <c r="EE847" s="451">
        <v>41745</v>
      </c>
      <c r="EF847" s="62">
        <v>169.89</v>
      </c>
      <c r="EG847" s="62">
        <v>1862.3100589999999</v>
      </c>
      <c r="EH847" s="92">
        <f t="shared" si="47"/>
        <v>0.96311656354128294</v>
      </c>
      <c r="EI847" s="92">
        <f t="shared" si="48"/>
        <v>0.9952391067216988</v>
      </c>
      <c r="FU847" s="451">
        <v>41761</v>
      </c>
      <c r="FV847" s="457">
        <v>159.17500000000001</v>
      </c>
      <c r="FW847" s="457"/>
    </row>
    <row r="848" spans="135:179" x14ac:dyDescent="0.35">
      <c r="EE848" s="451">
        <v>41744</v>
      </c>
      <c r="EF848" s="62">
        <v>170.71</v>
      </c>
      <c r="EG848" s="62">
        <v>1842.9799800000001</v>
      </c>
      <c r="EH848" s="92">
        <f t="shared" si="47"/>
        <v>0.96792003141076932</v>
      </c>
      <c r="EI848" s="92">
        <f t="shared" si="48"/>
        <v>0.98475061568556732</v>
      </c>
      <c r="FU848" s="451">
        <v>41760</v>
      </c>
      <c r="FV848" s="457">
        <v>156.93</v>
      </c>
      <c r="FW848" s="457"/>
    </row>
    <row r="849" spans="135:179" x14ac:dyDescent="0.35">
      <c r="EE849" s="451">
        <v>41743</v>
      </c>
      <c r="EF849" s="62">
        <v>170.8</v>
      </c>
      <c r="EG849" s="62">
        <v>1830.6099850000001</v>
      </c>
      <c r="EH849" s="92">
        <f t="shared" si="47"/>
        <v>0.96844696349507853</v>
      </c>
      <c r="EI849" s="92">
        <f t="shared" si="48"/>
        <v>0.97799330795679951</v>
      </c>
      <c r="FU849" s="451">
        <v>41759</v>
      </c>
      <c r="FV849" s="457">
        <v>152.97</v>
      </c>
      <c r="FW849" s="457"/>
    </row>
    <row r="850" spans="135:179" x14ac:dyDescent="0.35">
      <c r="EE850" s="451">
        <v>41740</v>
      </c>
      <c r="EF850" s="62">
        <v>166.46</v>
      </c>
      <c r="EG850" s="62">
        <v>1815.6899410000001</v>
      </c>
      <c r="EH850" s="92">
        <f t="shared" si="47"/>
        <v>0.94237463380626441</v>
      </c>
      <c r="EI850" s="92">
        <f t="shared" si="48"/>
        <v>0.96977602169933275</v>
      </c>
      <c r="FU850" s="451">
        <v>41758</v>
      </c>
      <c r="FV850" s="457">
        <v>163.18</v>
      </c>
      <c r="FW850" s="457"/>
    </row>
    <row r="851" spans="135:179" x14ac:dyDescent="0.35">
      <c r="EE851" s="451">
        <v>41739</v>
      </c>
      <c r="EF851" s="62">
        <v>167.74</v>
      </c>
      <c r="EG851" s="62">
        <v>1833.079956</v>
      </c>
      <c r="EH851" s="92">
        <f t="shared" si="47"/>
        <v>0.9500054910853869</v>
      </c>
      <c r="EI851" s="92">
        <f t="shared" si="48"/>
        <v>0.97926279555394791</v>
      </c>
      <c r="FU851" s="451">
        <v>41757</v>
      </c>
      <c r="FV851" s="457">
        <v>163.33000000000001</v>
      </c>
      <c r="FW851" s="457"/>
    </row>
    <row r="852" spans="135:179" x14ac:dyDescent="0.35">
      <c r="EE852" s="451">
        <v>41738</v>
      </c>
      <c r="EF852" s="62">
        <v>170.59</v>
      </c>
      <c r="EG852" s="62">
        <v>1872.1800539999999</v>
      </c>
      <c r="EH852" s="92">
        <f t="shared" si="47"/>
        <v>0.96671221480893454</v>
      </c>
      <c r="EI852" s="92">
        <f t="shared" si="48"/>
        <v>1.0001475912852456</v>
      </c>
      <c r="FU852" s="451">
        <v>41754</v>
      </c>
      <c r="FV852" s="457">
        <v>168.16</v>
      </c>
      <c r="FW852" s="457"/>
    </row>
    <row r="853" spans="135:179" x14ac:dyDescent="0.35">
      <c r="EE853" s="451">
        <v>41737</v>
      </c>
      <c r="EF853" s="62">
        <v>169.4</v>
      </c>
      <c r="EG853" s="62">
        <v>1851.959961</v>
      </c>
      <c r="EH853" s="92">
        <f t="shared" si="47"/>
        <v>0.95968742142050478</v>
      </c>
      <c r="EI853" s="92">
        <f t="shared" si="48"/>
        <v>0.9892293784589371</v>
      </c>
      <c r="FU853" s="451">
        <v>41753</v>
      </c>
      <c r="FV853" s="457">
        <v>170.72</v>
      </c>
      <c r="FW853" s="457"/>
    </row>
    <row r="854" spans="135:179" x14ac:dyDescent="0.35">
      <c r="EE854" s="451">
        <v>41736</v>
      </c>
      <c r="EF854" s="62">
        <v>166.19</v>
      </c>
      <c r="EG854" s="62">
        <v>1845.040039</v>
      </c>
      <c r="EH854" s="92">
        <f t="shared" si="47"/>
        <v>0.94037217982955457</v>
      </c>
      <c r="EI854" s="92">
        <f t="shared" si="48"/>
        <v>0.98547882462068515</v>
      </c>
      <c r="FU854" s="451">
        <v>41752</v>
      </c>
      <c r="FV854" s="457">
        <v>169.63</v>
      </c>
      <c r="FW854" s="457"/>
    </row>
    <row r="855" spans="135:179" x14ac:dyDescent="0.35">
      <c r="EE855" s="451">
        <v>41733</v>
      </c>
      <c r="EF855" s="62">
        <v>168.91</v>
      </c>
      <c r="EG855" s="62">
        <v>1865.089966</v>
      </c>
      <c r="EH855" s="92">
        <f t="shared" si="47"/>
        <v>0.95647543008116787</v>
      </c>
      <c r="EI855" s="92">
        <f t="shared" si="48"/>
        <v>0.99622893714367533</v>
      </c>
      <c r="FU855" s="451">
        <v>41751</v>
      </c>
      <c r="FV855" s="457">
        <v>172.12</v>
      </c>
      <c r="FW855" s="457"/>
    </row>
    <row r="856" spans="135:179" x14ac:dyDescent="0.35">
      <c r="EE856" s="451">
        <v>41732</v>
      </c>
      <c r="EF856" s="62">
        <v>171.62</v>
      </c>
      <c r="EG856" s="62">
        <v>1888.7700199999999</v>
      </c>
      <c r="EH856" s="92">
        <f t="shared" si="47"/>
        <v>0.97226613046573851</v>
      </c>
      <c r="EI856" s="92">
        <f t="shared" si="48"/>
        <v>1.0087662252990643</v>
      </c>
      <c r="FU856" s="451">
        <v>41750</v>
      </c>
      <c r="FV856" s="457">
        <v>168.41</v>
      </c>
      <c r="FW856" s="457"/>
    </row>
    <row r="857" spans="135:179" x14ac:dyDescent="0.35">
      <c r="EE857" s="451">
        <v>41731</v>
      </c>
      <c r="EF857" s="62">
        <v>173.67</v>
      </c>
      <c r="EG857" s="62">
        <v>1890.900024</v>
      </c>
      <c r="EH857" s="92">
        <f t="shared" si="47"/>
        <v>0.98407012655026649</v>
      </c>
      <c r="EI857" s="92">
        <f t="shared" si="48"/>
        <v>1.0098926751234683</v>
      </c>
      <c r="FU857" s="451">
        <v>41746</v>
      </c>
      <c r="FV857" s="457">
        <v>168</v>
      </c>
      <c r="FW857" s="457"/>
    </row>
    <row r="858" spans="135:179" x14ac:dyDescent="0.35">
      <c r="EE858" s="451">
        <v>41730</v>
      </c>
      <c r="EF858" s="62">
        <v>174.97</v>
      </c>
      <c r="EG858" s="62">
        <v>1885.5200199999999</v>
      </c>
      <c r="EH858" s="92">
        <f t="shared" si="47"/>
        <v>0.99149997166657222</v>
      </c>
      <c r="EI858" s="92">
        <f t="shared" si="48"/>
        <v>1.0070393487504075</v>
      </c>
      <c r="FU858" s="451">
        <v>41745</v>
      </c>
      <c r="FV858" s="457">
        <v>169.89</v>
      </c>
      <c r="FW858" s="457"/>
    </row>
    <row r="859" spans="135:179" x14ac:dyDescent="0.35">
      <c r="EE859" s="451">
        <v>41729</v>
      </c>
      <c r="EF859" s="62">
        <v>176.47</v>
      </c>
      <c r="EG859" s="62">
        <v>1872.339966</v>
      </c>
      <c r="EH859" s="92">
        <v>1</v>
      </c>
      <c r="EI859" s="92">
        <v>1</v>
      </c>
      <c r="FU859" s="451">
        <v>41744</v>
      </c>
      <c r="FV859" s="457">
        <v>170.71</v>
      </c>
      <c r="FW859" s="457"/>
    </row>
    <row r="860" spans="135:179" x14ac:dyDescent="0.35">
      <c r="EE860" s="451">
        <v>41726</v>
      </c>
      <c r="EF860" s="62">
        <v>174</v>
      </c>
      <c r="EG860" s="62">
        <v>1857.619995</v>
      </c>
      <c r="FU860" s="451">
        <v>41743</v>
      </c>
      <c r="FV860" s="457">
        <v>170.8</v>
      </c>
      <c r="FW860" s="457"/>
    </row>
    <row r="861" spans="135:179" x14ac:dyDescent="0.35">
      <c r="EE861" s="451">
        <v>41725</v>
      </c>
      <c r="EF861" s="62">
        <v>169.31</v>
      </c>
      <c r="EG861" s="62">
        <v>1849.040039</v>
      </c>
      <c r="FU861" s="451">
        <v>41740</v>
      </c>
      <c r="FV861" s="457">
        <v>166.46</v>
      </c>
      <c r="FW861" s="457"/>
    </row>
    <row r="862" spans="135:179" x14ac:dyDescent="0.35">
      <c r="EE862" s="451">
        <v>41724</v>
      </c>
      <c r="EF862" s="62">
        <v>170.05</v>
      </c>
      <c r="EG862" s="62">
        <v>1852.5600589999999</v>
      </c>
      <c r="FU862" s="451">
        <v>41739</v>
      </c>
      <c r="FV862" s="457">
        <v>167.74</v>
      </c>
      <c r="FW862" s="457"/>
    </row>
    <row r="863" spans="135:179" x14ac:dyDescent="0.35">
      <c r="EE863" s="451">
        <v>41723</v>
      </c>
      <c r="EF863" s="62">
        <v>185.82</v>
      </c>
      <c r="EG863" s="62">
        <v>1865.619995</v>
      </c>
      <c r="FU863" s="451">
        <v>41738</v>
      </c>
      <c r="FV863" s="457">
        <v>170.59</v>
      </c>
      <c r="FW863" s="457"/>
    </row>
    <row r="864" spans="135:179" x14ac:dyDescent="0.35">
      <c r="EE864" s="451">
        <v>41722</v>
      </c>
      <c r="EF864" s="62">
        <v>186.69</v>
      </c>
      <c r="EG864" s="62">
        <v>1857.4399410000001</v>
      </c>
      <c r="FU864" s="451">
        <v>41737</v>
      </c>
      <c r="FV864" s="457">
        <v>169.4</v>
      </c>
      <c r="FW864" s="457"/>
    </row>
    <row r="865" spans="135:179" x14ac:dyDescent="0.35">
      <c r="EE865" s="451">
        <v>41719</v>
      </c>
      <c r="EF865" s="62">
        <v>188.95</v>
      </c>
      <c r="EG865" s="62">
        <v>1866.5200199999999</v>
      </c>
      <c r="FU865" s="451">
        <v>41736</v>
      </c>
      <c r="FV865" s="457">
        <v>166.19</v>
      </c>
      <c r="FW865" s="457"/>
    </row>
    <row r="866" spans="135:179" x14ac:dyDescent="0.35">
      <c r="EE866" s="451">
        <v>41718</v>
      </c>
      <c r="EF866" s="62">
        <v>190.38</v>
      </c>
      <c r="EG866" s="62">
        <v>1872.01001</v>
      </c>
      <c r="FU866" s="451">
        <v>41733</v>
      </c>
      <c r="FV866" s="457">
        <v>168.91</v>
      </c>
      <c r="FW866" s="457"/>
    </row>
    <row r="867" spans="135:179" x14ac:dyDescent="0.35">
      <c r="EE867" s="451">
        <v>41717</v>
      </c>
      <c r="EF867" s="62">
        <v>186.68</v>
      </c>
      <c r="EG867" s="62">
        <v>1860.7700199999999</v>
      </c>
      <c r="FU867" s="451">
        <v>41732</v>
      </c>
      <c r="FV867" s="457">
        <v>171.62</v>
      </c>
      <c r="FW867" s="457"/>
    </row>
    <row r="868" spans="135:179" x14ac:dyDescent="0.35">
      <c r="EE868" s="451">
        <v>41716</v>
      </c>
      <c r="EF868" s="62">
        <v>186.16</v>
      </c>
      <c r="EG868" s="62">
        <v>1872.25</v>
      </c>
      <c r="FU868" s="451">
        <v>41731</v>
      </c>
      <c r="FV868" s="457">
        <v>173.67</v>
      </c>
      <c r="FW868" s="457"/>
    </row>
    <row r="869" spans="135:179" x14ac:dyDescent="0.35">
      <c r="EE869" s="451">
        <v>41715</v>
      </c>
      <c r="EF869" s="62">
        <v>184.85</v>
      </c>
      <c r="EG869" s="62">
        <v>1858.829956</v>
      </c>
      <c r="FU869" s="451">
        <v>41730</v>
      </c>
      <c r="FV869" s="457">
        <v>174.97</v>
      </c>
      <c r="FW869" s="457">
        <f>FX9</f>
        <v>186</v>
      </c>
    </row>
    <row r="870" spans="135:179" x14ac:dyDescent="0.35">
      <c r="EE870" s="451">
        <v>41712</v>
      </c>
      <c r="EF870" s="62">
        <v>182.2</v>
      </c>
      <c r="EG870" s="62">
        <v>1841.130005</v>
      </c>
      <c r="FU870" s="451">
        <v>41729</v>
      </c>
      <c r="FV870" s="457">
        <v>176.47</v>
      </c>
      <c r="FW870" s="457"/>
    </row>
    <row r="871" spans="135:179" x14ac:dyDescent="0.35">
      <c r="EE871" s="451">
        <v>41711</v>
      </c>
      <c r="EF871" s="62">
        <v>181.26</v>
      </c>
      <c r="EG871" s="62">
        <v>1846.339966</v>
      </c>
      <c r="FU871" s="451">
        <v>41726</v>
      </c>
      <c r="FV871" s="457">
        <v>174</v>
      </c>
      <c r="FW871" s="457"/>
    </row>
    <row r="872" spans="135:179" x14ac:dyDescent="0.35">
      <c r="EE872" s="451">
        <v>41710</v>
      </c>
      <c r="EF872" s="62">
        <v>183.78</v>
      </c>
      <c r="EG872" s="62">
        <v>1868.1999510000001</v>
      </c>
      <c r="FU872" s="451">
        <v>41725</v>
      </c>
      <c r="FV872" s="457">
        <v>169.31</v>
      </c>
      <c r="FW872" s="457"/>
    </row>
    <row r="873" spans="135:179" x14ac:dyDescent="0.35">
      <c r="EE873" s="451">
        <v>41709</v>
      </c>
      <c r="EF873" s="62">
        <v>182.94</v>
      </c>
      <c r="EG873" s="62">
        <v>1867.630005</v>
      </c>
      <c r="FU873" s="451">
        <v>41724</v>
      </c>
      <c r="FV873" s="457">
        <v>170.05</v>
      </c>
      <c r="FW873" s="457"/>
    </row>
    <row r="874" spans="135:179" x14ac:dyDescent="0.35">
      <c r="EE874" s="451">
        <v>41708</v>
      </c>
      <c r="EF874" s="62">
        <v>185.04</v>
      </c>
      <c r="EG874" s="62">
        <v>1877.170044</v>
      </c>
      <c r="FU874" s="451">
        <v>41723</v>
      </c>
      <c r="FV874" s="457">
        <v>185.82</v>
      </c>
      <c r="FW874" s="457"/>
    </row>
    <row r="875" spans="135:179" x14ac:dyDescent="0.35">
      <c r="EE875" s="451">
        <v>41705</v>
      </c>
      <c r="EF875" s="62">
        <v>184.81</v>
      </c>
      <c r="EG875" s="62">
        <v>1878.040039</v>
      </c>
      <c r="FU875" s="451">
        <v>41722</v>
      </c>
      <c r="FV875" s="457">
        <v>186.69</v>
      </c>
      <c r="FW875" s="457"/>
    </row>
    <row r="876" spans="135:179" x14ac:dyDescent="0.35">
      <c r="EE876" s="451">
        <v>41704</v>
      </c>
      <c r="EF876" s="62">
        <v>182.63</v>
      </c>
      <c r="EG876" s="62">
        <v>1877.030029</v>
      </c>
      <c r="FU876" s="451">
        <v>41719</v>
      </c>
      <c r="FV876" s="457">
        <v>188.95</v>
      </c>
      <c r="FW876" s="457"/>
    </row>
    <row r="877" spans="135:179" x14ac:dyDescent="0.35">
      <c r="EE877" s="451">
        <v>41703</v>
      </c>
      <c r="EF877" s="62">
        <v>180.92</v>
      </c>
      <c r="EG877" s="62">
        <v>1873.8100589999999</v>
      </c>
      <c r="FU877" s="451">
        <v>41718</v>
      </c>
      <c r="FV877" s="457">
        <v>190.38</v>
      </c>
      <c r="FW877" s="457"/>
    </row>
    <row r="878" spans="135:179" x14ac:dyDescent="0.35">
      <c r="EE878" s="451">
        <v>41702</v>
      </c>
      <c r="EF878" s="62">
        <v>182.63</v>
      </c>
      <c r="EG878" s="62">
        <v>1873.910034</v>
      </c>
      <c r="FU878" s="451">
        <v>41717</v>
      </c>
      <c r="FV878" s="457">
        <v>186.68</v>
      </c>
      <c r="FW878" s="457"/>
    </row>
    <row r="879" spans="135:179" x14ac:dyDescent="0.35">
      <c r="EE879" s="451">
        <v>41701</v>
      </c>
      <c r="EF879" s="62">
        <v>181.35</v>
      </c>
      <c r="EG879" s="62">
        <v>1845.7299800000001</v>
      </c>
      <c r="FU879" s="451">
        <v>41716</v>
      </c>
      <c r="FV879" s="457">
        <v>186.16</v>
      </c>
      <c r="FW879" s="457"/>
    </row>
    <row r="880" spans="135:179" x14ac:dyDescent="0.35">
      <c r="EE880" s="451">
        <v>41698</v>
      </c>
      <c r="EF880" s="62">
        <v>181.32</v>
      </c>
      <c r="EG880" s="62">
        <v>1859.4499510000001</v>
      </c>
      <c r="FU880" s="451">
        <v>41715</v>
      </c>
      <c r="FV880" s="457">
        <v>184.85</v>
      </c>
      <c r="FW880" s="457"/>
    </row>
    <row r="881" spans="135:179" x14ac:dyDescent="0.35">
      <c r="EE881" s="451">
        <v>41697</v>
      </c>
      <c r="EF881" s="62">
        <v>183.15</v>
      </c>
      <c r="EG881" s="62">
        <v>1854.290039</v>
      </c>
      <c r="FU881" s="451">
        <v>41712</v>
      </c>
      <c r="FV881" s="457">
        <v>182.2</v>
      </c>
      <c r="FW881" s="457"/>
    </row>
    <row r="882" spans="135:179" x14ac:dyDescent="0.35">
      <c r="EE882" s="451">
        <v>41696</v>
      </c>
      <c r="EF882" s="62">
        <v>183.43</v>
      </c>
      <c r="EG882" s="62">
        <v>1845.160034</v>
      </c>
      <c r="FU882" s="451">
        <v>41711</v>
      </c>
      <c r="FV882" s="457">
        <v>181.26</v>
      </c>
      <c r="FW882" s="457"/>
    </row>
    <row r="883" spans="135:179" x14ac:dyDescent="0.35">
      <c r="EE883" s="451">
        <v>41695</v>
      </c>
      <c r="EF883" s="62">
        <v>185.92</v>
      </c>
      <c r="EG883" s="62">
        <v>1845.119995</v>
      </c>
      <c r="FU883" s="451">
        <v>41710</v>
      </c>
      <c r="FV883" s="457">
        <v>183.78</v>
      </c>
      <c r="FW883" s="457"/>
    </row>
    <row r="884" spans="135:179" x14ac:dyDescent="0.35">
      <c r="EE884" s="451">
        <v>41694</v>
      </c>
      <c r="EF884" s="62">
        <v>184.41</v>
      </c>
      <c r="EG884" s="62">
        <v>1847.6099850000001</v>
      </c>
      <c r="FU884" s="451">
        <v>41709</v>
      </c>
      <c r="FV884" s="457">
        <v>182.94</v>
      </c>
      <c r="FW884" s="457"/>
    </row>
    <row r="885" spans="135:179" x14ac:dyDescent="0.35">
      <c r="EE885" s="451">
        <v>41691</v>
      </c>
      <c r="EF885" s="62">
        <v>183.4</v>
      </c>
      <c r="EG885" s="62">
        <v>1836.25</v>
      </c>
      <c r="FU885" s="451">
        <v>41708</v>
      </c>
      <c r="FV885" s="457">
        <v>185.04</v>
      </c>
      <c r="FW885" s="457"/>
    </row>
    <row r="886" spans="135:179" x14ac:dyDescent="0.35">
      <c r="EE886" s="451">
        <v>41690</v>
      </c>
      <c r="EF886" s="62">
        <v>180.48</v>
      </c>
      <c r="EG886" s="62">
        <v>1839.780029</v>
      </c>
      <c r="FU886" s="451">
        <v>41705</v>
      </c>
      <c r="FV886" s="457">
        <v>184.81</v>
      </c>
      <c r="FW886" s="457"/>
    </row>
    <row r="887" spans="135:179" x14ac:dyDescent="0.35">
      <c r="EE887" s="451">
        <v>41689</v>
      </c>
      <c r="EF887" s="62">
        <v>179.56</v>
      </c>
      <c r="EG887" s="62">
        <v>1828.75</v>
      </c>
      <c r="FU887" s="451">
        <v>41704</v>
      </c>
      <c r="FV887" s="457">
        <v>182.63</v>
      </c>
      <c r="FW887" s="457"/>
    </row>
    <row r="888" spans="135:179" x14ac:dyDescent="0.35">
      <c r="EE888" s="451">
        <v>41688</v>
      </c>
      <c r="EF888" s="62">
        <v>173.18</v>
      </c>
      <c r="EG888" s="62">
        <v>1840.76001</v>
      </c>
      <c r="FU888" s="451">
        <v>41703</v>
      </c>
      <c r="FV888" s="457">
        <v>180.92</v>
      </c>
      <c r="FW888" s="457"/>
    </row>
    <row r="889" spans="135:179" x14ac:dyDescent="0.35">
      <c r="EE889" s="451">
        <v>41684</v>
      </c>
      <c r="EF889" s="62">
        <v>178.22</v>
      </c>
      <c r="EG889" s="62">
        <v>1838.630005</v>
      </c>
      <c r="FU889" s="451">
        <v>41702</v>
      </c>
      <c r="FV889" s="457">
        <v>182.63</v>
      </c>
      <c r="FW889" s="457"/>
    </row>
    <row r="890" spans="135:179" x14ac:dyDescent="0.35">
      <c r="EE890" s="451">
        <v>41683</v>
      </c>
      <c r="EF890" s="62">
        <v>177.88</v>
      </c>
      <c r="EG890" s="62">
        <v>1829.829956</v>
      </c>
      <c r="FU890" s="451">
        <v>41701</v>
      </c>
      <c r="FV890" s="457">
        <v>181.35</v>
      </c>
      <c r="FW890" s="457"/>
    </row>
    <row r="891" spans="135:179" x14ac:dyDescent="0.35">
      <c r="EE891" s="451">
        <v>41682</v>
      </c>
      <c r="EF891" s="62">
        <v>176.67</v>
      </c>
      <c r="EG891" s="62">
        <v>1819.26001</v>
      </c>
      <c r="FU891" s="451">
        <v>41698</v>
      </c>
      <c r="FV891" s="457">
        <v>181.32</v>
      </c>
      <c r="FW891" s="457"/>
    </row>
    <row r="892" spans="135:179" x14ac:dyDescent="0.35">
      <c r="EE892" s="451">
        <v>41681</v>
      </c>
      <c r="EF892" s="62">
        <v>173.89</v>
      </c>
      <c r="EG892" s="62">
        <v>1819.75</v>
      </c>
      <c r="FU892" s="451">
        <v>41697</v>
      </c>
      <c r="FV892" s="457">
        <v>183.15</v>
      </c>
      <c r="FW892" s="457"/>
    </row>
    <row r="893" spans="135:179" x14ac:dyDescent="0.35">
      <c r="EE893" s="451">
        <v>41680</v>
      </c>
      <c r="EF893" s="62">
        <v>174.58</v>
      </c>
      <c r="EG893" s="62">
        <v>1799.839966</v>
      </c>
      <c r="FU893" s="451">
        <v>41696</v>
      </c>
      <c r="FV893" s="457">
        <v>183.43</v>
      </c>
      <c r="FW893" s="457"/>
    </row>
    <row r="894" spans="135:179" x14ac:dyDescent="0.35">
      <c r="EE894" s="451">
        <v>41677</v>
      </c>
      <c r="EF894" s="62">
        <v>172.19</v>
      </c>
      <c r="EG894" s="62">
        <v>1797.0200199999999</v>
      </c>
      <c r="FU894" s="451">
        <v>41695</v>
      </c>
      <c r="FV894" s="457">
        <v>185.92</v>
      </c>
      <c r="FW894" s="457"/>
    </row>
    <row r="895" spans="135:179" x14ac:dyDescent="0.35">
      <c r="EE895" s="451">
        <v>41676</v>
      </c>
      <c r="EF895" s="62">
        <v>169.61</v>
      </c>
      <c r="EG895" s="62">
        <v>1773.4300539999999</v>
      </c>
      <c r="FU895" s="451">
        <v>41694</v>
      </c>
      <c r="FV895" s="457">
        <v>184.41</v>
      </c>
      <c r="FW895" s="457"/>
    </row>
    <row r="896" spans="135:179" x14ac:dyDescent="0.35">
      <c r="EE896" s="451">
        <v>41675</v>
      </c>
      <c r="EF896" s="62">
        <v>167.4</v>
      </c>
      <c r="EG896" s="62">
        <v>1751.6400149999999</v>
      </c>
      <c r="FU896" s="451">
        <v>41691</v>
      </c>
      <c r="FV896" s="457">
        <v>183.4</v>
      </c>
      <c r="FW896" s="457"/>
    </row>
    <row r="897" spans="135:179" x14ac:dyDescent="0.35">
      <c r="EE897" s="451">
        <v>41674</v>
      </c>
      <c r="EF897" s="62">
        <v>167.84</v>
      </c>
      <c r="EG897" s="62">
        <v>1755.1999510000001</v>
      </c>
      <c r="FU897" s="451">
        <v>41690</v>
      </c>
      <c r="FV897" s="457">
        <v>180.48</v>
      </c>
      <c r="FW897" s="457"/>
    </row>
    <row r="898" spans="135:179" x14ac:dyDescent="0.35">
      <c r="EE898" s="451">
        <v>41673</v>
      </c>
      <c r="EF898" s="62">
        <v>166.98</v>
      </c>
      <c r="EG898" s="62">
        <v>1741.8900149999999</v>
      </c>
      <c r="FU898" s="451">
        <v>41689</v>
      </c>
      <c r="FV898" s="457">
        <v>179.56</v>
      </c>
      <c r="FW898" s="457"/>
    </row>
    <row r="899" spans="135:179" x14ac:dyDescent="0.35">
      <c r="EE899" s="451">
        <v>41670</v>
      </c>
      <c r="EF899" s="62">
        <v>169.07</v>
      </c>
      <c r="EG899" s="62">
        <v>1782.589966</v>
      </c>
      <c r="FU899" s="451">
        <v>41688</v>
      </c>
      <c r="FV899" s="457">
        <v>173.18</v>
      </c>
      <c r="FW899" s="457"/>
    </row>
    <row r="900" spans="135:179" x14ac:dyDescent="0.35">
      <c r="EE900" s="451">
        <v>41669</v>
      </c>
      <c r="EF900" s="62">
        <v>167.8</v>
      </c>
      <c r="EG900" s="62">
        <v>1794.1899410000001</v>
      </c>
      <c r="FU900" s="451">
        <v>41684</v>
      </c>
      <c r="FV900" s="457">
        <v>178.22</v>
      </c>
      <c r="FW900" s="457"/>
    </row>
    <row r="901" spans="135:179" x14ac:dyDescent="0.35">
      <c r="EE901" s="451">
        <v>41668</v>
      </c>
      <c r="EF901" s="62">
        <v>164.46</v>
      </c>
      <c r="EG901" s="62">
        <v>1774.1999510000001</v>
      </c>
      <c r="FU901" s="451">
        <v>41683</v>
      </c>
      <c r="FV901" s="457">
        <v>177.88</v>
      </c>
      <c r="FW901" s="457"/>
    </row>
    <row r="902" spans="135:179" x14ac:dyDescent="0.35">
      <c r="EE902" s="451">
        <v>41667</v>
      </c>
      <c r="EF902" s="62">
        <v>167.04</v>
      </c>
      <c r="EG902" s="62">
        <v>1792.5</v>
      </c>
      <c r="FU902" s="451">
        <v>41682</v>
      </c>
      <c r="FV902" s="457">
        <v>176.67</v>
      </c>
      <c r="FW902" s="457"/>
    </row>
    <row r="903" spans="135:179" x14ac:dyDescent="0.35">
      <c r="EE903" s="451">
        <v>41666</v>
      </c>
      <c r="EF903" s="62">
        <v>168.57</v>
      </c>
      <c r="EG903" s="62">
        <v>1781.5600589999999</v>
      </c>
      <c r="FU903" s="451">
        <v>41681</v>
      </c>
      <c r="FV903" s="457">
        <v>173.89</v>
      </c>
      <c r="FW903" s="457"/>
    </row>
    <row r="904" spans="135:179" x14ac:dyDescent="0.35">
      <c r="EE904" s="451">
        <v>41663</v>
      </c>
      <c r="EF904" s="62">
        <v>166.82</v>
      </c>
      <c r="EG904" s="62">
        <v>1790.290039</v>
      </c>
      <c r="FU904" s="451">
        <v>41680</v>
      </c>
      <c r="FV904" s="457">
        <v>174.58</v>
      </c>
      <c r="FW904" s="457"/>
    </row>
    <row r="905" spans="135:179" x14ac:dyDescent="0.35">
      <c r="EE905" s="451">
        <v>41662</v>
      </c>
      <c r="EF905" s="62">
        <v>168.94</v>
      </c>
      <c r="EG905" s="62">
        <v>1828.459961</v>
      </c>
      <c r="FU905" s="451">
        <v>41677</v>
      </c>
      <c r="FV905" s="457">
        <v>172.19</v>
      </c>
      <c r="FW905" s="457"/>
    </row>
    <row r="906" spans="135:179" x14ac:dyDescent="0.35">
      <c r="EE906" s="451">
        <v>41661</v>
      </c>
      <c r="EF906" s="62">
        <v>171.78</v>
      </c>
      <c r="EG906" s="62">
        <v>1844.8599850000001</v>
      </c>
      <c r="FU906" s="451">
        <v>41676</v>
      </c>
      <c r="FV906" s="457">
        <v>169.61</v>
      </c>
      <c r="FW906" s="457"/>
    </row>
    <row r="907" spans="135:179" x14ac:dyDescent="0.35">
      <c r="EE907" s="451">
        <v>41660</v>
      </c>
      <c r="EF907" s="62">
        <v>171.6</v>
      </c>
      <c r="EG907" s="62">
        <v>1843.8000489999999</v>
      </c>
      <c r="FU907" s="451">
        <v>41675</v>
      </c>
      <c r="FV907" s="457">
        <v>167.4</v>
      </c>
      <c r="FW907" s="457"/>
    </row>
    <row r="908" spans="135:179" x14ac:dyDescent="0.35">
      <c r="EE908" s="451">
        <v>41656</v>
      </c>
      <c r="EF908" s="62">
        <v>172.19</v>
      </c>
      <c r="EG908" s="62">
        <v>1838.6999510000001</v>
      </c>
      <c r="FU908" s="451">
        <v>41674</v>
      </c>
      <c r="FV908" s="457">
        <v>167.84</v>
      </c>
      <c r="FW908" s="457"/>
    </row>
    <row r="909" spans="135:179" x14ac:dyDescent="0.35">
      <c r="EE909" s="451">
        <v>41655</v>
      </c>
      <c r="EF909" s="62">
        <v>174.06</v>
      </c>
      <c r="EG909" s="62">
        <v>1845.8900149999999</v>
      </c>
      <c r="FU909" s="451">
        <v>41673</v>
      </c>
      <c r="FV909" s="457">
        <v>166.98</v>
      </c>
      <c r="FW909" s="457"/>
    </row>
    <row r="910" spans="135:179" x14ac:dyDescent="0.35">
      <c r="EE910" s="451">
        <v>41654</v>
      </c>
      <c r="EF910" s="62">
        <v>173.81</v>
      </c>
      <c r="EG910" s="62">
        <v>1848.380005</v>
      </c>
      <c r="FU910" s="451">
        <v>41670</v>
      </c>
      <c r="FV910" s="457">
        <v>169.07</v>
      </c>
      <c r="FW910" s="457"/>
    </row>
    <row r="911" spans="135:179" x14ac:dyDescent="0.35">
      <c r="EE911" s="451">
        <v>41653</v>
      </c>
      <c r="EF911" s="62">
        <v>174.17</v>
      </c>
      <c r="EG911" s="62">
        <v>1838.880005</v>
      </c>
      <c r="FU911" s="451">
        <v>41669</v>
      </c>
      <c r="FV911" s="457">
        <v>167.8</v>
      </c>
      <c r="FW911" s="457"/>
    </row>
    <row r="912" spans="135:179" x14ac:dyDescent="0.35">
      <c r="EE912" s="451">
        <v>41652</v>
      </c>
      <c r="EF912" s="62">
        <v>172.24</v>
      </c>
      <c r="EG912" s="62">
        <v>1819.1999510000001</v>
      </c>
      <c r="FU912" s="451">
        <v>41668</v>
      </c>
      <c r="FV912" s="457">
        <v>164.46</v>
      </c>
      <c r="FW912" s="457"/>
    </row>
    <row r="913" spans="135:179" x14ac:dyDescent="0.35">
      <c r="EE913" s="451">
        <v>41649</v>
      </c>
      <c r="EF913" s="62">
        <v>177.19</v>
      </c>
      <c r="EG913" s="62">
        <v>1842.369995</v>
      </c>
      <c r="FU913" s="451">
        <v>41667</v>
      </c>
      <c r="FV913" s="457">
        <v>167.04</v>
      </c>
      <c r="FW913" s="457"/>
    </row>
    <row r="914" spans="135:179" x14ac:dyDescent="0.35">
      <c r="EE914" s="451">
        <v>41648</v>
      </c>
      <c r="EF914" s="62">
        <v>177.33</v>
      </c>
      <c r="EG914" s="62">
        <v>1838.130005</v>
      </c>
      <c r="FU914" s="451">
        <v>41666</v>
      </c>
      <c r="FV914" s="457">
        <v>168.57</v>
      </c>
      <c r="FW914" s="457"/>
    </row>
    <row r="915" spans="135:179" x14ac:dyDescent="0.35">
      <c r="EE915" s="451">
        <v>41647</v>
      </c>
      <c r="EF915" s="62">
        <v>181.73500000000001</v>
      </c>
      <c r="EG915" s="62">
        <v>1837.48999</v>
      </c>
      <c r="FU915" s="451">
        <v>41663</v>
      </c>
      <c r="FV915" s="457">
        <v>166.82</v>
      </c>
      <c r="FW915" s="457"/>
    </row>
    <row r="916" spans="135:179" x14ac:dyDescent="0.35">
      <c r="EE916" s="451">
        <v>41646</v>
      </c>
      <c r="EF916" s="62">
        <v>174.13</v>
      </c>
      <c r="EG916" s="62">
        <v>1837.880005</v>
      </c>
      <c r="FU916" s="451">
        <v>41662</v>
      </c>
      <c r="FV916" s="457">
        <v>168.94</v>
      </c>
      <c r="FW916" s="457"/>
    </row>
    <row r="917" spans="135:179" x14ac:dyDescent="0.35">
      <c r="EE917" s="451">
        <v>41645</v>
      </c>
      <c r="EF917" s="62">
        <v>173.6</v>
      </c>
      <c r="EG917" s="62">
        <v>1826.7700199999999</v>
      </c>
      <c r="FU917" s="451">
        <v>41661</v>
      </c>
      <c r="FV917" s="457">
        <v>171.78</v>
      </c>
      <c r="FW917" s="457"/>
    </row>
    <row r="918" spans="135:179" x14ac:dyDescent="0.35">
      <c r="EE918" s="451">
        <v>41642</v>
      </c>
      <c r="EF918" s="62">
        <v>176.07</v>
      </c>
      <c r="EG918" s="62">
        <v>1831.369995</v>
      </c>
      <c r="FU918" s="451">
        <v>41660</v>
      </c>
      <c r="FV918" s="457">
        <v>171.6</v>
      </c>
      <c r="FW918" s="457"/>
    </row>
    <row r="919" spans="135:179" x14ac:dyDescent="0.35">
      <c r="EE919" s="451">
        <v>41641</v>
      </c>
      <c r="EF919" s="62">
        <v>176.07</v>
      </c>
      <c r="EG919" s="62">
        <v>1831.9799800000001</v>
      </c>
      <c r="FU919" s="451">
        <v>41656</v>
      </c>
      <c r="FV919" s="457">
        <v>172.19</v>
      </c>
      <c r="FW919" s="457"/>
    </row>
    <row r="920" spans="135:179" x14ac:dyDescent="0.35">
      <c r="EE920" s="451">
        <v>41639</v>
      </c>
      <c r="EF920" s="62">
        <v>176.69</v>
      </c>
      <c r="EG920" s="62">
        <v>1848.3599850000001</v>
      </c>
      <c r="FU920" s="451">
        <v>41655</v>
      </c>
      <c r="FV920" s="457">
        <v>174.06</v>
      </c>
      <c r="FW920" s="457"/>
    </row>
    <row r="921" spans="135:179" x14ac:dyDescent="0.35">
      <c r="EE921" s="451">
        <v>41638</v>
      </c>
      <c r="EF921" s="62">
        <v>177.37</v>
      </c>
      <c r="EG921" s="62">
        <v>1841.0699460000001</v>
      </c>
      <c r="FU921" s="451">
        <v>41654</v>
      </c>
      <c r="FV921" s="457">
        <v>173.81</v>
      </c>
      <c r="FW921" s="457"/>
    </row>
    <row r="922" spans="135:179" x14ac:dyDescent="0.35">
      <c r="EE922" s="451">
        <v>41635</v>
      </c>
      <c r="EF922" s="62">
        <v>176.06</v>
      </c>
      <c r="EG922" s="62">
        <v>1841.400024</v>
      </c>
      <c r="FU922" s="451">
        <v>41653</v>
      </c>
      <c r="FV922" s="457">
        <v>174.17</v>
      </c>
      <c r="FW922" s="457"/>
    </row>
    <row r="923" spans="135:179" x14ac:dyDescent="0.35">
      <c r="EE923" s="451">
        <v>41634</v>
      </c>
      <c r="EF923" s="62">
        <v>176.17</v>
      </c>
      <c r="EG923" s="62">
        <v>1842.0200199999999</v>
      </c>
      <c r="FU923" s="451">
        <v>41652</v>
      </c>
      <c r="FV923" s="457">
        <v>172.24</v>
      </c>
      <c r="FW923" s="457"/>
    </row>
    <row r="924" spans="135:179" x14ac:dyDescent="0.35">
      <c r="EE924" s="451">
        <v>41632</v>
      </c>
      <c r="EF924" s="62">
        <v>176.09</v>
      </c>
      <c r="EG924" s="62">
        <v>1833.3199460000001</v>
      </c>
      <c r="FU924" s="451">
        <v>41649</v>
      </c>
      <c r="FV924" s="457">
        <v>177.19</v>
      </c>
      <c r="FW924" s="457"/>
    </row>
    <row r="925" spans="135:179" x14ac:dyDescent="0.35">
      <c r="EE925" s="451">
        <v>41631</v>
      </c>
      <c r="EF925" s="62">
        <v>176.45</v>
      </c>
      <c r="EG925" s="62">
        <v>1827.98999</v>
      </c>
      <c r="FU925" s="451">
        <v>41648</v>
      </c>
      <c r="FV925" s="457">
        <v>177.33</v>
      </c>
      <c r="FW925" s="457"/>
    </row>
    <row r="926" spans="135:179" x14ac:dyDescent="0.35">
      <c r="EE926" s="451">
        <v>41628</v>
      </c>
      <c r="EF926" s="62">
        <v>175.13</v>
      </c>
      <c r="EG926" s="62">
        <v>1818.3199460000001</v>
      </c>
      <c r="FU926" s="451">
        <v>41647</v>
      </c>
      <c r="FV926" s="457">
        <v>181.73500000000001</v>
      </c>
      <c r="FW926" s="457"/>
    </row>
    <row r="927" spans="135:179" x14ac:dyDescent="0.35">
      <c r="EE927" s="451">
        <v>41627</v>
      </c>
      <c r="EF927" s="62">
        <v>168.42</v>
      </c>
      <c r="EG927" s="62">
        <v>1809.599976</v>
      </c>
      <c r="FU927" s="451">
        <v>41646</v>
      </c>
      <c r="FV927" s="457">
        <v>174.13</v>
      </c>
      <c r="FW927" s="457"/>
    </row>
    <row r="928" spans="135:179" x14ac:dyDescent="0.35">
      <c r="EE928" s="451">
        <v>41626</v>
      </c>
      <c r="EF928" s="62">
        <v>169.53</v>
      </c>
      <c r="EG928" s="62">
        <v>1810.650024</v>
      </c>
      <c r="FU928" s="451">
        <v>41645</v>
      </c>
      <c r="FV928" s="457">
        <v>173.6</v>
      </c>
      <c r="FW928" s="457"/>
    </row>
    <row r="929" spans="135:179" x14ac:dyDescent="0.35">
      <c r="EE929" s="451">
        <v>41625</v>
      </c>
      <c r="EF929" s="62">
        <v>168.95</v>
      </c>
      <c r="EG929" s="62">
        <v>1781</v>
      </c>
      <c r="FU929" s="451">
        <v>41642</v>
      </c>
      <c r="FV929" s="457">
        <v>176.07</v>
      </c>
      <c r="FW929" s="457"/>
    </row>
    <row r="930" spans="135:179" x14ac:dyDescent="0.35">
      <c r="EE930" s="451">
        <v>41624</v>
      </c>
      <c r="EF930" s="62">
        <v>171.67</v>
      </c>
      <c r="EG930" s="62">
        <v>1786.540039</v>
      </c>
      <c r="FU930" s="451">
        <v>41641</v>
      </c>
      <c r="FV930" s="457">
        <v>176.07</v>
      </c>
      <c r="FW930" s="457">
        <f>FX8</f>
        <v>178.33333333333334</v>
      </c>
    </row>
    <row r="931" spans="135:179" x14ac:dyDescent="0.35">
      <c r="EE931" s="451">
        <v>41621</v>
      </c>
      <c r="EF931" s="62">
        <v>169.52</v>
      </c>
      <c r="EG931" s="62">
        <v>1775.3199460000001</v>
      </c>
      <c r="FU931" s="451"/>
    </row>
    <row r="932" spans="135:179" x14ac:dyDescent="0.35">
      <c r="EE932" s="451">
        <v>41620</v>
      </c>
      <c r="EF932" s="62">
        <v>172.34</v>
      </c>
      <c r="EG932" s="62">
        <v>1775.5</v>
      </c>
      <c r="FU932" s="451"/>
    </row>
    <row r="933" spans="135:179" x14ac:dyDescent="0.35">
      <c r="EE933" s="451">
        <v>41619</v>
      </c>
      <c r="EF933" s="62">
        <v>174.25</v>
      </c>
      <c r="EG933" s="62">
        <v>1782.219971</v>
      </c>
      <c r="FU933" s="451"/>
    </row>
    <row r="934" spans="135:179" x14ac:dyDescent="0.35">
      <c r="EE934" s="451">
        <v>41618</v>
      </c>
      <c r="EF934" s="62">
        <v>176.96</v>
      </c>
      <c r="EG934" s="62">
        <v>1802.619995</v>
      </c>
      <c r="FU934" s="451"/>
    </row>
    <row r="935" spans="135:179" x14ac:dyDescent="0.35">
      <c r="EE935" s="451">
        <v>41617</v>
      </c>
      <c r="EF935" s="62">
        <v>176.9</v>
      </c>
      <c r="EG935" s="62">
        <v>1808.369995</v>
      </c>
      <c r="FU935" s="451"/>
    </row>
    <row r="936" spans="135:179" x14ac:dyDescent="0.35">
      <c r="EE936" s="451">
        <v>41614</v>
      </c>
      <c r="EF936" s="62">
        <v>177.4</v>
      </c>
      <c r="EG936" s="62">
        <v>1805.089966</v>
      </c>
      <c r="FU936" s="451"/>
    </row>
    <row r="937" spans="135:179" x14ac:dyDescent="0.35">
      <c r="EE937" s="451">
        <v>41613</v>
      </c>
      <c r="EF937" s="62">
        <v>176.52</v>
      </c>
      <c r="EG937" s="62">
        <v>1785.030029</v>
      </c>
      <c r="FU937" s="451"/>
    </row>
    <row r="938" spans="135:179" x14ac:dyDescent="0.35">
      <c r="EE938" s="451">
        <v>41612</v>
      </c>
      <c r="EF938" s="62">
        <v>176.3</v>
      </c>
      <c r="EG938" s="62">
        <v>1792.8100589999999</v>
      </c>
      <c r="FU938" s="451"/>
    </row>
    <row r="939" spans="135:179" x14ac:dyDescent="0.35">
      <c r="EE939" s="451">
        <v>41611</v>
      </c>
      <c r="EF939" s="62">
        <v>176.15</v>
      </c>
      <c r="EG939" s="62">
        <v>1795.150024</v>
      </c>
      <c r="FU939" s="451"/>
    </row>
    <row r="940" spans="135:179" x14ac:dyDescent="0.35">
      <c r="EE940" s="451">
        <v>41610</v>
      </c>
      <c r="EF940" s="62">
        <v>177.9</v>
      </c>
      <c r="EG940" s="62">
        <v>1800.900024</v>
      </c>
      <c r="FU940" s="451"/>
    </row>
    <row r="941" spans="135:179" x14ac:dyDescent="0.35">
      <c r="EE941" s="451">
        <v>41607</v>
      </c>
      <c r="EF941" s="62">
        <v>176.89</v>
      </c>
      <c r="EG941" s="62">
        <v>1805.8100589999999</v>
      </c>
      <c r="FU941" s="451"/>
    </row>
    <row r="942" spans="135:179" x14ac:dyDescent="0.35">
      <c r="EE942" s="451">
        <v>41605</v>
      </c>
      <c r="EF942" s="62">
        <v>177.35</v>
      </c>
      <c r="EG942" s="62">
        <v>1807.2299800000001</v>
      </c>
      <c r="FU942" s="451"/>
    </row>
    <row r="943" spans="135:179" x14ac:dyDescent="0.35">
      <c r="EE943" s="451">
        <v>41604</v>
      </c>
      <c r="EF943" s="62">
        <v>178</v>
      </c>
      <c r="EG943" s="62">
        <v>1802.75</v>
      </c>
      <c r="FU943" s="451"/>
    </row>
    <row r="944" spans="135:179" x14ac:dyDescent="0.35">
      <c r="EE944" s="451">
        <v>41603</v>
      </c>
      <c r="EF944" s="62">
        <v>178.86</v>
      </c>
      <c r="EG944" s="62">
        <v>1802.4799800000001</v>
      </c>
      <c r="FU944" s="451"/>
    </row>
    <row r="945" spans="135:177" x14ac:dyDescent="0.35">
      <c r="EE945" s="451">
        <v>41600</v>
      </c>
      <c r="EF945" s="62">
        <v>178.92</v>
      </c>
      <c r="EG945" s="62">
        <v>1804.76001</v>
      </c>
      <c r="FU945" s="451"/>
    </row>
    <row r="946" spans="135:177" x14ac:dyDescent="0.35">
      <c r="EE946" s="451">
        <v>41599</v>
      </c>
      <c r="EF946" s="62">
        <v>176.11</v>
      </c>
      <c r="EG946" s="62">
        <v>1795.849976</v>
      </c>
      <c r="FU946" s="451"/>
    </row>
    <row r="947" spans="135:177" x14ac:dyDescent="0.35">
      <c r="EE947" s="451">
        <v>41598</v>
      </c>
      <c r="EF947" s="62">
        <v>172.48</v>
      </c>
      <c r="EG947" s="62">
        <v>1781.369995</v>
      </c>
      <c r="FU947" s="451"/>
    </row>
    <row r="948" spans="135:177" x14ac:dyDescent="0.35">
      <c r="EE948" s="451">
        <v>41597</v>
      </c>
      <c r="EF948" s="62">
        <v>172.45</v>
      </c>
      <c r="EG948" s="62">
        <v>1787.869995</v>
      </c>
      <c r="FU948" s="451"/>
    </row>
    <row r="949" spans="135:177" x14ac:dyDescent="0.35">
      <c r="EE949" s="451">
        <v>41596</v>
      </c>
      <c r="EF949" s="62">
        <v>170.26</v>
      </c>
      <c r="EG949" s="62">
        <v>1791.530029</v>
      </c>
      <c r="FU949" s="451"/>
    </row>
    <row r="950" spans="135:177" x14ac:dyDescent="0.35">
      <c r="EE950" s="451">
        <v>41593</v>
      </c>
      <c r="EF950" s="62">
        <v>170.2</v>
      </c>
      <c r="EG950" s="62">
        <v>1798.1800539999999</v>
      </c>
      <c r="FU950" s="451"/>
    </row>
    <row r="951" spans="135:177" x14ac:dyDescent="0.35">
      <c r="EE951" s="451">
        <v>41592</v>
      </c>
      <c r="EF951" s="62">
        <v>170.12</v>
      </c>
      <c r="EG951" s="62">
        <v>1790.619995</v>
      </c>
      <c r="FU951" s="451"/>
    </row>
    <row r="952" spans="135:177" x14ac:dyDescent="0.35">
      <c r="EE952" s="451">
        <v>41591</v>
      </c>
      <c r="EF952" s="62">
        <v>168.53</v>
      </c>
      <c r="EG952" s="62">
        <v>1782</v>
      </c>
      <c r="FU952" s="451"/>
    </row>
    <row r="953" spans="135:177" x14ac:dyDescent="0.35">
      <c r="EE953" s="451">
        <v>41590</v>
      </c>
      <c r="EF953" s="62">
        <v>167.08</v>
      </c>
      <c r="EG953" s="62">
        <v>1767.6899410000001</v>
      </c>
      <c r="FU953" s="451"/>
    </row>
    <row r="954" spans="135:177" x14ac:dyDescent="0.35">
      <c r="EE954" s="451">
        <v>41589</v>
      </c>
      <c r="EF954" s="62">
        <v>166.87</v>
      </c>
      <c r="EG954" s="62">
        <v>1771.8900149999999</v>
      </c>
      <c r="FU954" s="451"/>
    </row>
    <row r="955" spans="135:177" x14ac:dyDescent="0.35">
      <c r="EE955" s="451">
        <v>41586</v>
      </c>
      <c r="EF955" s="62">
        <v>166.92</v>
      </c>
      <c r="EG955" s="62">
        <v>1770.6099850000001</v>
      </c>
      <c r="FU955" s="451"/>
    </row>
    <row r="956" spans="135:177" x14ac:dyDescent="0.35">
      <c r="EE956" s="451">
        <v>41585</v>
      </c>
      <c r="EF956" s="62">
        <v>167</v>
      </c>
      <c r="EG956" s="62">
        <v>1747.150024</v>
      </c>
      <c r="FU956" s="451"/>
    </row>
    <row r="957" spans="135:177" x14ac:dyDescent="0.35">
      <c r="EE957" s="451">
        <v>41584</v>
      </c>
      <c r="EF957" s="62">
        <v>167.34</v>
      </c>
      <c r="EG957" s="62">
        <v>1770.48999</v>
      </c>
      <c r="FU957" s="451"/>
    </row>
    <row r="958" spans="135:177" x14ac:dyDescent="0.35">
      <c r="EE958" s="451">
        <v>41583</v>
      </c>
      <c r="EF958" s="62">
        <v>167.01</v>
      </c>
      <c r="EG958" s="62">
        <v>1762.969971</v>
      </c>
      <c r="FU958" s="451"/>
    </row>
    <row r="959" spans="135:177" x14ac:dyDescent="0.35">
      <c r="EE959" s="451">
        <v>41582</v>
      </c>
      <c r="EF959" s="62">
        <v>164.18</v>
      </c>
      <c r="EG959" s="62">
        <v>1767.9300539999999</v>
      </c>
      <c r="FU959" s="451"/>
    </row>
    <row r="960" spans="135:177" x14ac:dyDescent="0.35">
      <c r="EE960" s="451">
        <v>41579</v>
      </c>
      <c r="EF960" s="62">
        <v>163.86</v>
      </c>
      <c r="EG960" s="62">
        <v>1761.6400149999999</v>
      </c>
      <c r="FU960" s="451"/>
    </row>
    <row r="961" spans="135:177" x14ac:dyDescent="0.35">
      <c r="EE961" s="451">
        <v>41578</v>
      </c>
      <c r="EF961" s="62">
        <v>157.91999999999999</v>
      </c>
      <c r="EG961" s="62">
        <v>1756.540039</v>
      </c>
      <c r="FU961" s="451"/>
    </row>
    <row r="962" spans="135:177" x14ac:dyDescent="0.35">
      <c r="EE962" s="451">
        <v>41577</v>
      </c>
      <c r="EF962" s="62">
        <v>156.65</v>
      </c>
      <c r="EG962" s="62">
        <v>1763.3100589999999</v>
      </c>
      <c r="FU962" s="451"/>
    </row>
    <row r="963" spans="135:177" x14ac:dyDescent="0.35">
      <c r="EE963" s="451">
        <v>41576</v>
      </c>
      <c r="EF963" s="62">
        <v>158.62</v>
      </c>
      <c r="EG963" s="62">
        <v>1771.9499510000001</v>
      </c>
      <c r="FU963" s="451"/>
    </row>
    <row r="964" spans="135:177" x14ac:dyDescent="0.35">
      <c r="EE964" s="451">
        <v>41575</v>
      </c>
      <c r="EF964" s="62">
        <v>159.18799999999999</v>
      </c>
      <c r="EG964" s="62">
        <v>1762.1099850000001</v>
      </c>
      <c r="FU964" s="451"/>
    </row>
    <row r="965" spans="135:177" x14ac:dyDescent="0.35">
      <c r="EE965" s="451">
        <v>41572</v>
      </c>
      <c r="EF965" s="62">
        <v>153.69999999999999</v>
      </c>
      <c r="EG965" s="62">
        <v>1759.7700199999999</v>
      </c>
      <c r="FU965" s="451"/>
    </row>
    <row r="966" spans="135:177" x14ac:dyDescent="0.35">
      <c r="EE966" s="451">
        <v>41571</v>
      </c>
      <c r="EF966" s="62">
        <v>153.94</v>
      </c>
      <c r="EG966" s="62">
        <v>1752.0699460000001</v>
      </c>
      <c r="FU966" s="451"/>
    </row>
    <row r="967" spans="135:177" x14ac:dyDescent="0.35">
      <c r="EE967" s="451">
        <v>41570</v>
      </c>
      <c r="EF967" s="62">
        <v>153.15</v>
      </c>
      <c r="EG967" s="62">
        <v>1746.380005</v>
      </c>
      <c r="FU967" s="451"/>
    </row>
    <row r="968" spans="135:177" x14ac:dyDescent="0.35">
      <c r="EE968" s="451">
        <v>41569</v>
      </c>
      <c r="EF968" s="62">
        <v>162.44</v>
      </c>
      <c r="EG968" s="62">
        <v>1754.670044</v>
      </c>
      <c r="FU968" s="451"/>
    </row>
    <row r="969" spans="135:177" x14ac:dyDescent="0.35">
      <c r="EE969" s="451">
        <v>41568</v>
      </c>
      <c r="EF969" s="62">
        <v>162.76</v>
      </c>
      <c r="EG969" s="62">
        <v>1744.660034</v>
      </c>
      <c r="FU969" s="451"/>
    </row>
    <row r="970" spans="135:177" x14ac:dyDescent="0.35">
      <c r="EE970" s="451">
        <v>41565</v>
      </c>
      <c r="EF970" s="62">
        <v>159.9</v>
      </c>
      <c r="EG970" s="62">
        <v>1744.5</v>
      </c>
      <c r="FU970" s="451"/>
    </row>
    <row r="971" spans="135:177" x14ac:dyDescent="0.35">
      <c r="EE971" s="451">
        <v>41564</v>
      </c>
      <c r="EF971" s="62">
        <v>160.548</v>
      </c>
      <c r="EG971" s="62">
        <v>1733.150024</v>
      </c>
      <c r="FU971" s="451"/>
    </row>
    <row r="972" spans="135:177" x14ac:dyDescent="0.35">
      <c r="EE972" s="451">
        <v>41563</v>
      </c>
      <c r="EF972" s="62">
        <v>161.71</v>
      </c>
      <c r="EG972" s="62">
        <v>1721.540039</v>
      </c>
      <c r="FU972" s="451"/>
    </row>
    <row r="973" spans="135:177" x14ac:dyDescent="0.35">
      <c r="EE973" s="451">
        <v>41562</v>
      </c>
      <c r="EF973" s="62">
        <v>160.55000000000001</v>
      </c>
      <c r="EG973" s="62">
        <v>1698.0600589999999</v>
      </c>
      <c r="FU973" s="451"/>
    </row>
    <row r="974" spans="135:177" x14ac:dyDescent="0.35">
      <c r="EE974" s="451">
        <v>41561</v>
      </c>
      <c r="EF974" s="62">
        <v>159.93</v>
      </c>
      <c r="EG974" s="62">
        <v>1710.1400149999999</v>
      </c>
      <c r="FU974" s="451"/>
    </row>
    <row r="975" spans="135:177" x14ac:dyDescent="0.35">
      <c r="EE975" s="451">
        <v>41558</v>
      </c>
      <c r="EF975" s="62">
        <v>159.57</v>
      </c>
      <c r="EG975" s="62">
        <v>1703.1999510000001</v>
      </c>
      <c r="FU975" s="451"/>
    </row>
    <row r="976" spans="135:177" x14ac:dyDescent="0.35">
      <c r="EE976" s="451">
        <v>41557</v>
      </c>
      <c r="EF976" s="62">
        <v>159.55000000000001</v>
      </c>
      <c r="EG976" s="62">
        <v>1692.5600589999999</v>
      </c>
      <c r="FU976" s="451"/>
    </row>
    <row r="977" spans="135:177" x14ac:dyDescent="0.35">
      <c r="EE977" s="451">
        <v>41556</v>
      </c>
      <c r="EF977" s="62">
        <v>158.83000000000001</v>
      </c>
      <c r="EG977" s="62">
        <v>1656.400024</v>
      </c>
      <c r="FU977" s="451"/>
    </row>
    <row r="978" spans="135:177" x14ac:dyDescent="0.35">
      <c r="EE978" s="451">
        <v>41555</v>
      </c>
      <c r="EF978" s="62">
        <v>156.59</v>
      </c>
      <c r="EG978" s="62">
        <v>1655.4499510000001</v>
      </c>
      <c r="FU978" s="451"/>
    </row>
    <row r="979" spans="135:177" x14ac:dyDescent="0.35">
      <c r="EE979" s="451">
        <v>41554</v>
      </c>
      <c r="EF979" s="62">
        <v>158.58000000000001</v>
      </c>
      <c r="EG979" s="62">
        <v>1676.119995</v>
      </c>
      <c r="FU979" s="451"/>
    </row>
    <row r="980" spans="135:177" x14ac:dyDescent="0.35">
      <c r="EE980" s="451">
        <v>41551</v>
      </c>
      <c r="EF980" s="62">
        <v>159.16999999999999</v>
      </c>
      <c r="EG980" s="62">
        <v>1690.5</v>
      </c>
      <c r="FU980" s="451"/>
    </row>
    <row r="981" spans="135:177" x14ac:dyDescent="0.35">
      <c r="EE981" s="451">
        <v>41550</v>
      </c>
      <c r="EF981" s="62">
        <v>156.9</v>
      </c>
      <c r="EG981" s="62">
        <v>1678.660034</v>
      </c>
      <c r="FU981" s="451"/>
    </row>
    <row r="982" spans="135:177" x14ac:dyDescent="0.35">
      <c r="EE982" s="451">
        <v>41549</v>
      </c>
      <c r="EF982" s="62">
        <v>160.75</v>
      </c>
      <c r="EG982" s="62">
        <v>1693.869995</v>
      </c>
      <c r="FU982" s="451"/>
    </row>
    <row r="983" spans="135:177" x14ac:dyDescent="0.35">
      <c r="EE983" s="451">
        <v>41548</v>
      </c>
      <c r="EF983" s="62">
        <v>161.97</v>
      </c>
      <c r="EG983" s="62">
        <v>1695</v>
      </c>
      <c r="FU983" s="451"/>
    </row>
    <row r="984" spans="135:177" x14ac:dyDescent="0.35">
      <c r="EE984" s="451">
        <v>41547</v>
      </c>
      <c r="EF984" s="62">
        <v>158.53</v>
      </c>
      <c r="EG984" s="62">
        <v>1681.5500489999999</v>
      </c>
      <c r="FU984" s="451"/>
    </row>
    <row r="985" spans="135:177" x14ac:dyDescent="0.35">
      <c r="EE985" s="451">
        <v>41544</v>
      </c>
      <c r="EF985" s="62">
        <v>164.03</v>
      </c>
      <c r="EG985" s="62">
        <v>1691.75</v>
      </c>
      <c r="FU985" s="451"/>
    </row>
    <row r="986" spans="135:177" x14ac:dyDescent="0.35">
      <c r="EE986" s="451">
        <v>41543</v>
      </c>
      <c r="EF986" s="62">
        <v>165.43</v>
      </c>
      <c r="EG986" s="62">
        <v>1698.670044</v>
      </c>
      <c r="FU986" s="451"/>
    </row>
    <row r="987" spans="135:177" x14ac:dyDescent="0.35">
      <c r="EE987" s="451">
        <v>41542</v>
      </c>
      <c r="EF987" s="62">
        <v>165.36</v>
      </c>
      <c r="EG987" s="62">
        <v>1692.7700199999999</v>
      </c>
      <c r="FU987" s="451"/>
    </row>
    <row r="988" spans="135:177" x14ac:dyDescent="0.35">
      <c r="EE988" s="451">
        <v>41541</v>
      </c>
      <c r="EF988" s="62">
        <v>168.65</v>
      </c>
      <c r="EG988" s="62">
        <v>1697.420044</v>
      </c>
      <c r="FU988" s="451"/>
    </row>
    <row r="989" spans="135:177" x14ac:dyDescent="0.35">
      <c r="EE989" s="451">
        <v>41540</v>
      </c>
      <c r="EF989" s="62">
        <v>168.8</v>
      </c>
      <c r="EG989" s="62">
        <v>1701.839966</v>
      </c>
      <c r="FU989" s="451"/>
    </row>
    <row r="990" spans="135:177" x14ac:dyDescent="0.35">
      <c r="EE990" s="451">
        <v>41537</v>
      </c>
      <c r="EF990" s="62">
        <v>168.43</v>
      </c>
      <c r="EG990" s="62">
        <v>1709.910034</v>
      </c>
      <c r="FU990" s="451"/>
    </row>
    <row r="991" spans="135:177" x14ac:dyDescent="0.35">
      <c r="EE991" s="451">
        <v>41536</v>
      </c>
      <c r="EF991" s="62">
        <v>170.23</v>
      </c>
      <c r="EG991" s="62">
        <v>1722.339966</v>
      </c>
      <c r="FU991" s="451"/>
    </row>
    <row r="992" spans="135:177" x14ac:dyDescent="0.35">
      <c r="EE992" s="451">
        <v>41535</v>
      </c>
      <c r="EF992" s="62">
        <v>172.89</v>
      </c>
      <c r="EG992" s="62">
        <v>1725.5200199999999</v>
      </c>
      <c r="FU992" s="451"/>
    </row>
    <row r="993" spans="135:177" x14ac:dyDescent="0.35">
      <c r="EE993" s="451">
        <v>41534</v>
      </c>
      <c r="EF993" s="62">
        <v>171.64</v>
      </c>
      <c r="EG993" s="62">
        <v>1704.76001</v>
      </c>
      <c r="FU993" s="451"/>
    </row>
    <row r="994" spans="135:177" x14ac:dyDescent="0.35">
      <c r="EE994" s="451">
        <v>41533</v>
      </c>
      <c r="EF994" s="62">
        <v>168.52</v>
      </c>
      <c r="EG994" s="62">
        <v>1697.599976</v>
      </c>
      <c r="FU994" s="451"/>
    </row>
    <row r="995" spans="135:177" x14ac:dyDescent="0.35">
      <c r="EE995" s="451">
        <v>41530</v>
      </c>
      <c r="EF995" s="62">
        <v>166.98</v>
      </c>
      <c r="EG995" s="62">
        <v>1687.98999</v>
      </c>
      <c r="FU995" s="451"/>
    </row>
    <row r="996" spans="135:177" x14ac:dyDescent="0.35">
      <c r="EE996" s="451">
        <v>41529</v>
      </c>
      <c r="EF996" s="62">
        <v>168.46</v>
      </c>
      <c r="EG996" s="62">
        <v>1683.420044</v>
      </c>
      <c r="FU996" s="451"/>
    </row>
    <row r="997" spans="135:177" x14ac:dyDescent="0.35">
      <c r="EE997" s="451">
        <v>41528</v>
      </c>
      <c r="EF997" s="62">
        <v>167.93</v>
      </c>
      <c r="EG997" s="62">
        <v>1689.130005</v>
      </c>
      <c r="FU997" s="451"/>
    </row>
    <row r="998" spans="135:177" x14ac:dyDescent="0.35">
      <c r="EE998" s="451">
        <v>41527</v>
      </c>
      <c r="EF998" s="62">
        <v>164.63</v>
      </c>
      <c r="EG998" s="62">
        <v>1683.98999</v>
      </c>
      <c r="FU998" s="451"/>
    </row>
    <row r="999" spans="135:177" x14ac:dyDescent="0.35">
      <c r="EE999" s="451">
        <v>41526</v>
      </c>
      <c r="EF999" s="62">
        <v>167.33</v>
      </c>
      <c r="EG999" s="62">
        <v>1671.709961</v>
      </c>
      <c r="FU999" s="451"/>
    </row>
    <row r="1000" spans="135:177" x14ac:dyDescent="0.35">
      <c r="EE1000" s="451">
        <v>41523</v>
      </c>
      <c r="EF1000" s="62">
        <v>165.25</v>
      </c>
      <c r="EG1000" s="62">
        <v>1655.170044</v>
      </c>
      <c r="FU1000" s="451"/>
    </row>
    <row r="1001" spans="135:177" x14ac:dyDescent="0.35">
      <c r="EE1001" s="451">
        <v>41522</v>
      </c>
      <c r="EF1001" s="62">
        <v>166.15</v>
      </c>
      <c r="EG1001" s="62">
        <v>1655.079956</v>
      </c>
      <c r="FU1001" s="451"/>
    </row>
    <row r="1002" spans="135:177" x14ac:dyDescent="0.35">
      <c r="EE1002" s="451">
        <v>41521</v>
      </c>
      <c r="EF1002" s="62">
        <v>165.4</v>
      </c>
      <c r="EG1002" s="62">
        <v>1653.079956</v>
      </c>
      <c r="FU1002" s="451"/>
    </row>
    <row r="1003" spans="135:177" x14ac:dyDescent="0.35">
      <c r="EE1003" s="451">
        <v>41520</v>
      </c>
      <c r="EF1003" s="62">
        <v>164.28</v>
      </c>
      <c r="EG1003" s="62">
        <v>1639.7700199999999</v>
      </c>
      <c r="FU1003" s="451"/>
    </row>
    <row r="1004" spans="135:177" x14ac:dyDescent="0.35">
      <c r="EE1004" s="451">
        <v>41516</v>
      </c>
      <c r="EF1004" s="62">
        <v>164.02</v>
      </c>
      <c r="EG1004" s="62">
        <v>1632.969971</v>
      </c>
      <c r="FU1004" s="451"/>
    </row>
    <row r="1005" spans="135:177" x14ac:dyDescent="0.35">
      <c r="EE1005" s="451">
        <v>41515</v>
      </c>
      <c r="EF1005" s="62">
        <v>164.99</v>
      </c>
      <c r="EG1005" s="62">
        <v>1638.170044</v>
      </c>
      <c r="FU1005" s="451"/>
    </row>
    <row r="1006" spans="135:177" x14ac:dyDescent="0.35">
      <c r="EE1006" s="451">
        <v>41514</v>
      </c>
      <c r="EF1006" s="62">
        <v>165.21</v>
      </c>
      <c r="EG1006" s="62">
        <v>1634.959961</v>
      </c>
      <c r="FU1006" s="451"/>
    </row>
    <row r="1007" spans="135:177" x14ac:dyDescent="0.35">
      <c r="EE1007" s="451">
        <v>41513</v>
      </c>
      <c r="EF1007" s="62">
        <v>166.88</v>
      </c>
      <c r="EG1007" s="62">
        <v>1630.4799800000001</v>
      </c>
      <c r="FU1007" s="451"/>
    </row>
    <row r="1008" spans="135:177" x14ac:dyDescent="0.35">
      <c r="EE1008" s="451">
        <v>41512</v>
      </c>
      <c r="EF1008" s="62">
        <v>168.03</v>
      </c>
      <c r="EG1008" s="62">
        <v>1656.780029</v>
      </c>
      <c r="FU1008" s="451"/>
    </row>
    <row r="1009" spans="135:177" x14ac:dyDescent="0.35">
      <c r="EE1009" s="451">
        <v>41509</v>
      </c>
      <c r="EF1009" s="62">
        <v>168.53</v>
      </c>
      <c r="EG1009" s="62">
        <v>1663.5</v>
      </c>
      <c r="FU1009" s="451"/>
    </row>
    <row r="1010" spans="135:177" x14ac:dyDescent="0.35">
      <c r="EE1010" s="451">
        <v>41508</v>
      </c>
      <c r="EF1010" s="62">
        <v>172</v>
      </c>
      <c r="EG1010" s="62">
        <v>1656.959961</v>
      </c>
      <c r="FU1010" s="451"/>
    </row>
    <row r="1011" spans="135:177" x14ac:dyDescent="0.35">
      <c r="EE1011" s="451">
        <v>41507</v>
      </c>
      <c r="EF1011" s="62">
        <v>170.63</v>
      </c>
      <c r="EG1011" s="62">
        <v>1642.8000489999999</v>
      </c>
      <c r="FU1011" s="451"/>
    </row>
    <row r="1012" spans="135:177" x14ac:dyDescent="0.35">
      <c r="EE1012" s="451">
        <v>41506</v>
      </c>
      <c r="EF1012" s="62">
        <v>173.72</v>
      </c>
      <c r="EG1012" s="62">
        <v>1652.349976</v>
      </c>
      <c r="FU1012" s="451"/>
    </row>
    <row r="1013" spans="135:177" x14ac:dyDescent="0.35">
      <c r="EE1013" s="451">
        <v>41505</v>
      </c>
      <c r="EF1013" s="62">
        <v>173.66</v>
      </c>
      <c r="EG1013" s="62">
        <v>1646.0600589999999</v>
      </c>
      <c r="FU1013" s="451"/>
    </row>
    <row r="1014" spans="135:177" x14ac:dyDescent="0.35">
      <c r="EE1014" s="451">
        <v>41502</v>
      </c>
      <c r="EF1014" s="62">
        <v>172.41</v>
      </c>
      <c r="EG1014" s="62">
        <v>1655.829956</v>
      </c>
      <c r="FU1014" s="451"/>
    </row>
    <row r="1015" spans="135:177" x14ac:dyDescent="0.35">
      <c r="EE1015" s="451">
        <v>41501</v>
      </c>
      <c r="EF1015" s="62">
        <v>172.05</v>
      </c>
      <c r="EG1015" s="62">
        <v>1661.3199460000001</v>
      </c>
      <c r="FU1015" s="451"/>
    </row>
    <row r="1016" spans="135:177" x14ac:dyDescent="0.35">
      <c r="EE1016" s="451">
        <v>41500</v>
      </c>
      <c r="EF1016" s="62">
        <v>173.79</v>
      </c>
      <c r="EG1016" s="62">
        <v>1685.3900149999999</v>
      </c>
      <c r="FU1016" s="451"/>
    </row>
    <row r="1017" spans="135:177" x14ac:dyDescent="0.35">
      <c r="EE1017" s="451">
        <v>41499</v>
      </c>
      <c r="EF1017" s="62">
        <v>175.36</v>
      </c>
      <c r="EG1017" s="62">
        <v>1694.160034</v>
      </c>
      <c r="FU1017" s="451"/>
    </row>
    <row r="1018" spans="135:177" x14ac:dyDescent="0.35">
      <c r="EE1018" s="451">
        <v>41498</v>
      </c>
      <c r="EF1018" s="62">
        <v>174.98</v>
      </c>
      <c r="EG1018" s="62">
        <v>1689.469971</v>
      </c>
      <c r="FU1018" s="451"/>
    </row>
    <row r="1019" spans="135:177" x14ac:dyDescent="0.35">
      <c r="EE1019" s="451">
        <v>41495</v>
      </c>
      <c r="EF1019" s="62">
        <v>175.81</v>
      </c>
      <c r="EG1019" s="62">
        <v>1691.420044</v>
      </c>
      <c r="FU1019" s="451"/>
    </row>
    <row r="1020" spans="135:177" x14ac:dyDescent="0.35">
      <c r="EE1020" s="451">
        <v>41494</v>
      </c>
      <c r="EF1020" s="62">
        <v>175.57</v>
      </c>
      <c r="EG1020" s="62">
        <v>1697.4799800000001</v>
      </c>
      <c r="FU1020" s="451"/>
    </row>
    <row r="1021" spans="135:177" x14ac:dyDescent="0.35">
      <c r="EE1021" s="451">
        <v>41493</v>
      </c>
      <c r="EF1021" s="62">
        <v>173.06</v>
      </c>
      <c r="EG1021" s="62">
        <v>1690.910034</v>
      </c>
      <c r="FU1021" s="451"/>
    </row>
    <row r="1022" spans="135:177" x14ac:dyDescent="0.35">
      <c r="EE1022" s="451">
        <v>41492</v>
      </c>
      <c r="EF1022" s="62">
        <v>170.97</v>
      </c>
      <c r="EG1022" s="62">
        <v>1697.369995</v>
      </c>
      <c r="FU1022" s="451"/>
    </row>
    <row r="1023" spans="135:177" x14ac:dyDescent="0.35">
      <c r="EE1023" s="451">
        <v>41491</v>
      </c>
      <c r="EF1023" s="62">
        <v>171.57</v>
      </c>
      <c r="EG1023" s="62">
        <v>1707.1400149999999</v>
      </c>
      <c r="FU1023" s="451"/>
    </row>
    <row r="1024" spans="135:177" x14ac:dyDescent="0.35">
      <c r="EE1024" s="451">
        <v>41488</v>
      </c>
      <c r="EF1024" s="62">
        <v>170.00700000000001</v>
      </c>
      <c r="EG1024" s="62">
        <v>1709.670044</v>
      </c>
      <c r="FU1024" s="451"/>
    </row>
    <row r="1025" spans="135:177" x14ac:dyDescent="0.35">
      <c r="EE1025" s="451">
        <v>41487</v>
      </c>
      <c r="EF1025" s="62">
        <v>170.46</v>
      </c>
      <c r="EG1025" s="62">
        <v>1706.869995</v>
      </c>
      <c r="FU1025" s="451"/>
    </row>
    <row r="1026" spans="135:177" x14ac:dyDescent="0.35">
      <c r="EE1026" s="451">
        <v>41486</v>
      </c>
      <c r="EF1026" s="62">
        <v>167.19</v>
      </c>
      <c r="EG1026" s="62">
        <v>1685.7299800000001</v>
      </c>
      <c r="FU1026" s="451"/>
    </row>
    <row r="1027" spans="135:177" x14ac:dyDescent="0.35">
      <c r="EE1027" s="451">
        <v>41485</v>
      </c>
      <c r="EF1027" s="62">
        <v>166.19</v>
      </c>
      <c r="EG1027" s="62">
        <v>1685.959961</v>
      </c>
      <c r="FU1027" s="451"/>
    </row>
    <row r="1028" spans="135:177" x14ac:dyDescent="0.35">
      <c r="EE1028" s="451">
        <v>41484</v>
      </c>
      <c r="EF1028" s="62">
        <v>166.36</v>
      </c>
      <c r="EG1028" s="62">
        <v>1685.329956</v>
      </c>
      <c r="FU1028" s="451"/>
    </row>
    <row r="1029" spans="135:177" x14ac:dyDescent="0.35">
      <c r="EE1029" s="451">
        <v>41481</v>
      </c>
      <c r="EF1029" s="62">
        <v>168.65</v>
      </c>
      <c r="EG1029" s="62">
        <v>1691.650024</v>
      </c>
      <c r="FU1029" s="451"/>
    </row>
    <row r="1030" spans="135:177" x14ac:dyDescent="0.35">
      <c r="EE1030" s="451">
        <v>41480</v>
      </c>
      <c r="EF1030" s="62">
        <v>167.65</v>
      </c>
      <c r="EG1030" s="62">
        <v>1690.25</v>
      </c>
      <c r="FU1030" s="451"/>
    </row>
    <row r="1031" spans="135:177" x14ac:dyDescent="0.35">
      <c r="EE1031" s="451">
        <v>41479</v>
      </c>
      <c r="EF1031" s="62">
        <v>169.62</v>
      </c>
      <c r="EG1031" s="62">
        <v>1685.9399410000001</v>
      </c>
      <c r="FU1031" s="451"/>
    </row>
    <row r="1032" spans="135:177" x14ac:dyDescent="0.35">
      <c r="EE1032" s="451">
        <v>41478</v>
      </c>
      <c r="EF1032" s="62">
        <v>182.01</v>
      </c>
      <c r="EG1032" s="62">
        <v>1692.3900149999999</v>
      </c>
      <c r="FU1032" s="451"/>
    </row>
    <row r="1033" spans="135:177" x14ac:dyDescent="0.35">
      <c r="EE1033" s="451">
        <v>41477</v>
      </c>
      <c r="EF1033" s="62">
        <v>186.67</v>
      </c>
      <c r="EG1033" s="62">
        <v>1695.530029</v>
      </c>
      <c r="FU1033" s="451"/>
    </row>
    <row r="1034" spans="135:177" x14ac:dyDescent="0.35">
      <c r="EE1034" s="451">
        <v>41474</v>
      </c>
      <c r="EF1034" s="62">
        <v>186.3</v>
      </c>
      <c r="EG1034" s="62">
        <v>1692.089966</v>
      </c>
      <c r="FU1034" s="451"/>
    </row>
    <row r="1035" spans="135:177" x14ac:dyDescent="0.35">
      <c r="EE1035" s="451">
        <v>41473</v>
      </c>
      <c r="EF1035" s="62">
        <v>187</v>
      </c>
      <c r="EG1035" s="62">
        <v>1689.369995</v>
      </c>
      <c r="FU1035" s="451"/>
    </row>
    <row r="1036" spans="135:177" x14ac:dyDescent="0.35">
      <c r="EE1036" s="451">
        <v>41472</v>
      </c>
      <c r="EF1036" s="62">
        <v>185.51</v>
      </c>
      <c r="EG1036" s="62">
        <v>1680.910034</v>
      </c>
      <c r="FU1036" s="451"/>
    </row>
    <row r="1037" spans="135:177" x14ac:dyDescent="0.35">
      <c r="EE1037" s="451">
        <v>41471</v>
      </c>
      <c r="EF1037" s="62">
        <v>188.46</v>
      </c>
      <c r="EG1037" s="62">
        <v>1676.26001</v>
      </c>
      <c r="FU1037" s="451"/>
    </row>
    <row r="1038" spans="135:177" x14ac:dyDescent="0.35">
      <c r="EE1038" s="451">
        <v>41470</v>
      </c>
      <c r="EF1038" s="62">
        <v>189.4</v>
      </c>
      <c r="EG1038" s="62">
        <v>1682.5</v>
      </c>
      <c r="FU1038" s="451"/>
    </row>
    <row r="1039" spans="135:177" x14ac:dyDescent="0.35">
      <c r="EE1039" s="451">
        <v>41467</v>
      </c>
      <c r="EF1039" s="62">
        <v>189.73</v>
      </c>
      <c r="EG1039" s="62">
        <v>1680.1899410000001</v>
      </c>
      <c r="FU1039" s="451"/>
    </row>
    <row r="1040" spans="135:177" x14ac:dyDescent="0.35">
      <c r="EE1040" s="451">
        <v>41466</v>
      </c>
      <c r="EF1040" s="62">
        <v>189.19</v>
      </c>
      <c r="EG1040" s="62">
        <v>1675.0200199999999</v>
      </c>
      <c r="FU1040" s="451"/>
    </row>
    <row r="1041" spans="135:177" x14ac:dyDescent="0.35">
      <c r="EE1041" s="451">
        <v>41465</v>
      </c>
      <c r="EF1041" s="62">
        <v>188.32</v>
      </c>
      <c r="EG1041" s="62">
        <v>1652.619995</v>
      </c>
      <c r="FU1041" s="451"/>
    </row>
    <row r="1042" spans="135:177" x14ac:dyDescent="0.35">
      <c r="EE1042" s="451">
        <v>41464</v>
      </c>
      <c r="EF1042" s="62">
        <v>188.12</v>
      </c>
      <c r="EG1042" s="62">
        <v>1652.3199460000001</v>
      </c>
      <c r="FU1042" s="451"/>
    </row>
    <row r="1043" spans="135:177" x14ac:dyDescent="0.35">
      <c r="EE1043" s="451">
        <v>41463</v>
      </c>
      <c r="EF1043" s="62">
        <v>190.71</v>
      </c>
      <c r="EG1043" s="62">
        <v>1640.459961</v>
      </c>
      <c r="FU1043" s="451"/>
    </row>
    <row r="1044" spans="135:177" x14ac:dyDescent="0.35">
      <c r="EE1044" s="451">
        <v>41460</v>
      </c>
      <c r="EF1044" s="62">
        <v>190.52</v>
      </c>
      <c r="EG1044" s="62">
        <v>1631.8900149999999</v>
      </c>
      <c r="FU1044" s="451"/>
    </row>
    <row r="1045" spans="135:177" x14ac:dyDescent="0.35">
      <c r="EE1045" s="451">
        <v>41458</v>
      </c>
      <c r="EF1045" s="62">
        <v>189.52</v>
      </c>
      <c r="EG1045" s="62">
        <v>1615.410034</v>
      </c>
      <c r="FU1045" s="451"/>
    </row>
    <row r="1046" spans="135:177" x14ac:dyDescent="0.35">
      <c r="EE1046" s="451">
        <v>41457</v>
      </c>
      <c r="EF1046" s="62">
        <v>189.44</v>
      </c>
      <c r="EG1046" s="62">
        <v>1614.079956</v>
      </c>
      <c r="FU1046" s="451"/>
    </row>
    <row r="1047" spans="135:177" x14ac:dyDescent="0.35">
      <c r="EE1047" s="451">
        <v>41456</v>
      </c>
      <c r="EF1047" s="62">
        <v>186.91</v>
      </c>
      <c r="EG1047" s="62">
        <v>1614.959961</v>
      </c>
      <c r="FU1047" s="451"/>
    </row>
    <row r="1048" spans="135:177" x14ac:dyDescent="0.35">
      <c r="EE1048" s="451">
        <v>41453</v>
      </c>
      <c r="EF1048" s="62">
        <v>185.94</v>
      </c>
      <c r="EG1048" s="62">
        <v>1606.280029</v>
      </c>
      <c r="FU1048" s="451"/>
    </row>
    <row r="1049" spans="135:177" x14ac:dyDescent="0.35">
      <c r="EE1049" s="451">
        <v>41452</v>
      </c>
      <c r="EF1049" s="62">
        <v>185</v>
      </c>
      <c r="EG1049" s="62">
        <v>1613.1999510000001</v>
      </c>
      <c r="FU1049" s="451"/>
    </row>
    <row r="1050" spans="135:177" x14ac:dyDescent="0.35">
      <c r="EE1050" s="451">
        <v>41451</v>
      </c>
      <c r="EF1050" s="62">
        <v>182</v>
      </c>
      <c r="EG1050" s="62">
        <v>1603.26001</v>
      </c>
      <c r="FU1050" s="451"/>
    </row>
    <row r="1051" spans="135:177" x14ac:dyDescent="0.35">
      <c r="EE1051" s="451">
        <v>41450</v>
      </c>
      <c r="EF1051" s="62">
        <v>179.72</v>
      </c>
      <c r="EG1051" s="62">
        <v>1588.030029</v>
      </c>
      <c r="FU1051" s="451"/>
    </row>
    <row r="1052" spans="135:177" x14ac:dyDescent="0.35">
      <c r="EE1052" s="451">
        <v>41449</v>
      </c>
      <c r="EF1052" s="62">
        <v>179.35</v>
      </c>
      <c r="EG1052" s="62">
        <v>1573.089966</v>
      </c>
      <c r="FU1052" s="451"/>
    </row>
    <row r="1053" spans="135:177" x14ac:dyDescent="0.35">
      <c r="EE1053" s="451">
        <v>41446</v>
      </c>
      <c r="EF1053" s="62">
        <v>179.06</v>
      </c>
      <c r="EG1053" s="62">
        <v>1592.4300539999999</v>
      </c>
      <c r="FU1053" s="451"/>
    </row>
    <row r="1054" spans="135:177" x14ac:dyDescent="0.35">
      <c r="EE1054" s="451">
        <v>41445</v>
      </c>
      <c r="EF1054" s="62">
        <v>183.05</v>
      </c>
      <c r="EG1054" s="62">
        <v>1588.1899410000001</v>
      </c>
      <c r="FU1054" s="451"/>
    </row>
    <row r="1055" spans="135:177" x14ac:dyDescent="0.35">
      <c r="EE1055" s="451">
        <v>41444</v>
      </c>
      <c r="EF1055" s="62">
        <v>186.94</v>
      </c>
      <c r="EG1055" s="62">
        <v>1628.9300539999999</v>
      </c>
      <c r="FU1055" s="451"/>
    </row>
    <row r="1056" spans="135:177" x14ac:dyDescent="0.35">
      <c r="EE1056" s="451">
        <v>41443</v>
      </c>
      <c r="EF1056" s="62">
        <v>187.66</v>
      </c>
      <c r="EG1056" s="62">
        <v>1651.8100589999999</v>
      </c>
      <c r="FU1056" s="451"/>
    </row>
    <row r="1057" spans="135:177" x14ac:dyDescent="0.35">
      <c r="EE1057" s="451">
        <v>41442</v>
      </c>
      <c r="EF1057" s="62">
        <v>186.14</v>
      </c>
      <c r="EG1057" s="62">
        <v>1639.040039</v>
      </c>
      <c r="FU1057" s="451"/>
    </row>
    <row r="1058" spans="135:177" x14ac:dyDescent="0.35">
      <c r="EE1058" s="451">
        <v>41439</v>
      </c>
      <c r="EF1058" s="62">
        <v>187.11</v>
      </c>
      <c r="EG1058" s="62">
        <v>1626.7299800000001</v>
      </c>
      <c r="FU1058" s="451"/>
    </row>
    <row r="1059" spans="135:177" x14ac:dyDescent="0.35">
      <c r="EE1059" s="451">
        <v>41438</v>
      </c>
      <c r="EF1059" s="62">
        <v>185.1</v>
      </c>
      <c r="EG1059" s="62">
        <v>1636.3599850000001</v>
      </c>
      <c r="FU1059" s="451"/>
    </row>
    <row r="1060" spans="135:177" x14ac:dyDescent="0.35">
      <c r="EE1060" s="451">
        <v>41437</v>
      </c>
      <c r="EF1060" s="62">
        <v>188.58</v>
      </c>
      <c r="EG1060" s="62">
        <v>1612.5200199999999</v>
      </c>
      <c r="FU1060" s="451"/>
    </row>
    <row r="1061" spans="135:177" x14ac:dyDescent="0.35">
      <c r="EE1061" s="451">
        <v>41436</v>
      </c>
      <c r="EF1061" s="62">
        <v>190.57</v>
      </c>
      <c r="EG1061" s="62">
        <v>1626.130005</v>
      </c>
      <c r="FU1061" s="451"/>
    </row>
    <row r="1062" spans="135:177" x14ac:dyDescent="0.35">
      <c r="EE1062" s="451">
        <v>41435</v>
      </c>
      <c r="EF1062" s="62">
        <v>191.93</v>
      </c>
      <c r="EG1062" s="62">
        <v>1642.8100589999999</v>
      </c>
      <c r="FU1062" s="451"/>
    </row>
    <row r="1063" spans="135:177" x14ac:dyDescent="0.35">
      <c r="EE1063" s="451">
        <v>41432</v>
      </c>
      <c r="EF1063" s="62">
        <v>190.41</v>
      </c>
      <c r="EG1063" s="62">
        <v>1643.380005</v>
      </c>
      <c r="FU1063" s="451"/>
    </row>
    <row r="1064" spans="135:177" x14ac:dyDescent="0.35">
      <c r="EE1064" s="451">
        <v>41431</v>
      </c>
      <c r="EF1064" s="62">
        <v>189.31</v>
      </c>
      <c r="EG1064" s="62">
        <v>1622.5600589999999</v>
      </c>
      <c r="FU1064" s="451"/>
    </row>
    <row r="1065" spans="135:177" x14ac:dyDescent="0.35">
      <c r="EE1065" s="451">
        <v>41430</v>
      </c>
      <c r="EF1065" s="62">
        <v>187.5</v>
      </c>
      <c r="EG1065" s="62">
        <v>1608.900024</v>
      </c>
      <c r="FU1065" s="451"/>
    </row>
    <row r="1066" spans="135:177" x14ac:dyDescent="0.35">
      <c r="EE1066" s="451">
        <v>41429</v>
      </c>
      <c r="EF1066" s="62">
        <v>190.79</v>
      </c>
      <c r="EG1066" s="62">
        <v>1631.380005</v>
      </c>
      <c r="FU1066" s="451"/>
    </row>
    <row r="1067" spans="135:177" x14ac:dyDescent="0.35">
      <c r="EE1067" s="451">
        <v>41428</v>
      </c>
      <c r="EF1067" s="62">
        <v>192.02</v>
      </c>
      <c r="EG1067" s="62">
        <v>1640.420044</v>
      </c>
      <c r="FU1067" s="451"/>
    </row>
    <row r="1068" spans="135:177" x14ac:dyDescent="0.35">
      <c r="EE1068" s="451">
        <v>41425</v>
      </c>
      <c r="EF1068" s="62">
        <v>191.83</v>
      </c>
      <c r="EG1068" s="62">
        <v>1630.73999</v>
      </c>
      <c r="FU1068" s="451"/>
    </row>
    <row r="1069" spans="135:177" x14ac:dyDescent="0.35">
      <c r="EE1069" s="451">
        <v>41424</v>
      </c>
      <c r="EF1069" s="62">
        <v>193.82</v>
      </c>
      <c r="EG1069" s="62">
        <v>1654.410034</v>
      </c>
      <c r="FU1069" s="451"/>
    </row>
    <row r="1070" spans="135:177" x14ac:dyDescent="0.35">
      <c r="EE1070" s="451">
        <v>41423</v>
      </c>
      <c r="EF1070" s="62">
        <v>192.4</v>
      </c>
      <c r="EG1070" s="62">
        <v>1648.3599850000001</v>
      </c>
      <c r="FU1070" s="451"/>
    </row>
    <row r="1071" spans="135:177" x14ac:dyDescent="0.35">
      <c r="EE1071" s="451">
        <v>41422</v>
      </c>
      <c r="EF1071" s="62">
        <v>193.28</v>
      </c>
      <c r="EG1071" s="62">
        <v>1660.0600589999999</v>
      </c>
      <c r="FU1071" s="451"/>
    </row>
    <row r="1072" spans="135:177" x14ac:dyDescent="0.35">
      <c r="EE1072" s="451">
        <v>41418</v>
      </c>
      <c r="EF1072" s="62">
        <v>190.19</v>
      </c>
      <c r="EG1072" s="62">
        <v>1649.599976</v>
      </c>
      <c r="FU1072" s="451"/>
    </row>
    <row r="1073" spans="135:177" x14ac:dyDescent="0.35">
      <c r="EE1073" s="451">
        <v>41417</v>
      </c>
      <c r="EF1073" s="62">
        <v>189.91</v>
      </c>
      <c r="EG1073" s="62">
        <v>1650.51001</v>
      </c>
      <c r="FU1073" s="451"/>
    </row>
    <row r="1074" spans="135:177" x14ac:dyDescent="0.35">
      <c r="EE1074" s="451">
        <v>41416</v>
      </c>
      <c r="EF1074" s="62">
        <v>189.66</v>
      </c>
      <c r="EG1074" s="62">
        <v>1655.349976</v>
      </c>
      <c r="FU1074" s="451"/>
    </row>
    <row r="1075" spans="135:177" x14ac:dyDescent="0.35">
      <c r="EE1075" s="451">
        <v>41415</v>
      </c>
      <c r="EF1075" s="62">
        <v>192.65</v>
      </c>
      <c r="EG1075" s="62">
        <v>1669.160034</v>
      </c>
      <c r="FU1075" s="451"/>
    </row>
    <row r="1076" spans="135:177" x14ac:dyDescent="0.35">
      <c r="EE1076" s="451">
        <v>41414</v>
      </c>
      <c r="EF1076" s="62">
        <v>190.34</v>
      </c>
      <c r="EG1076" s="62">
        <v>1666.290039</v>
      </c>
      <c r="FU1076" s="451"/>
    </row>
    <row r="1077" spans="135:177" x14ac:dyDescent="0.35">
      <c r="EE1077" s="451">
        <v>41411</v>
      </c>
      <c r="EF1077" s="62">
        <v>186.6</v>
      </c>
      <c r="EG1077" s="62">
        <v>1667.469971</v>
      </c>
      <c r="FU1077" s="451"/>
    </row>
    <row r="1078" spans="135:177" x14ac:dyDescent="0.35">
      <c r="EE1078" s="451">
        <v>41410</v>
      </c>
      <c r="EF1078" s="62">
        <v>184.78</v>
      </c>
      <c r="EG1078" s="62">
        <v>1650.469971</v>
      </c>
      <c r="FU1078" s="451"/>
    </row>
    <row r="1079" spans="135:177" x14ac:dyDescent="0.35">
      <c r="EE1079" s="451">
        <v>41409</v>
      </c>
      <c r="EF1079" s="62">
        <v>185.07</v>
      </c>
      <c r="EG1079" s="62">
        <v>1658.780029</v>
      </c>
      <c r="FU1079" s="451"/>
    </row>
    <row r="1080" spans="135:177" x14ac:dyDescent="0.35">
      <c r="EE1080" s="451">
        <v>41408</v>
      </c>
      <c r="EF1080" s="62">
        <v>184.99</v>
      </c>
      <c r="EG1080" s="62">
        <v>1650.339966</v>
      </c>
      <c r="FU1080" s="451"/>
    </row>
    <row r="1081" spans="135:177" x14ac:dyDescent="0.35">
      <c r="EE1081" s="451">
        <v>41407</v>
      </c>
      <c r="EF1081" s="62">
        <v>182.04</v>
      </c>
      <c r="EG1081" s="62">
        <v>1633.7700199999999</v>
      </c>
      <c r="FU1081" s="451"/>
    </row>
    <row r="1082" spans="135:177" x14ac:dyDescent="0.35">
      <c r="EE1082" s="451">
        <v>41404</v>
      </c>
      <c r="EF1082" s="62">
        <v>181.83</v>
      </c>
      <c r="EG1082" s="62">
        <v>1633.6999510000001</v>
      </c>
      <c r="FU1082" s="451"/>
    </row>
    <row r="1083" spans="135:177" x14ac:dyDescent="0.35">
      <c r="EE1083" s="451">
        <v>41403</v>
      </c>
      <c r="EF1083" s="62">
        <v>180.7</v>
      </c>
      <c r="EG1083" s="62">
        <v>1626.670044</v>
      </c>
      <c r="FU1083" s="451"/>
    </row>
    <row r="1084" spans="135:177" x14ac:dyDescent="0.35">
      <c r="EE1084" s="451">
        <v>41402</v>
      </c>
      <c r="EF1084" s="62">
        <v>183.55</v>
      </c>
      <c r="EG1084" s="62">
        <v>1632.6899410000001</v>
      </c>
      <c r="FU1084" s="451"/>
    </row>
    <row r="1085" spans="135:177" x14ac:dyDescent="0.35">
      <c r="EE1085" s="451">
        <v>41401</v>
      </c>
      <c r="EF1085" s="62">
        <v>183.74</v>
      </c>
      <c r="EG1085" s="62">
        <v>1625.959961</v>
      </c>
      <c r="FU1085" s="451"/>
    </row>
    <row r="1086" spans="135:177" x14ac:dyDescent="0.35">
      <c r="EE1086" s="451">
        <v>41400</v>
      </c>
      <c r="EF1086" s="62">
        <v>182.98</v>
      </c>
      <c r="EG1086" s="62">
        <v>1617.5</v>
      </c>
      <c r="FU1086" s="451"/>
    </row>
    <row r="1087" spans="135:177" x14ac:dyDescent="0.35">
      <c r="EE1087" s="451">
        <v>41397</v>
      </c>
      <c r="EF1087" s="62">
        <v>180.84</v>
      </c>
      <c r="EG1087" s="62">
        <v>1614.420044</v>
      </c>
      <c r="FU1087" s="451"/>
    </row>
    <row r="1088" spans="135:177" x14ac:dyDescent="0.35">
      <c r="EE1088" s="451">
        <v>41396</v>
      </c>
      <c r="EF1088" s="62">
        <v>178.38</v>
      </c>
      <c r="EG1088" s="62">
        <v>1597.589966</v>
      </c>
      <c r="FU1088" s="451"/>
    </row>
    <row r="1089" spans="135:177" x14ac:dyDescent="0.35">
      <c r="EE1089" s="451">
        <v>41395</v>
      </c>
      <c r="EF1089" s="62">
        <v>177.15</v>
      </c>
      <c r="EG1089" s="62">
        <v>1582.6999510000001</v>
      </c>
      <c r="FU1089" s="451"/>
    </row>
    <row r="1090" spans="135:177" x14ac:dyDescent="0.35">
      <c r="EE1090" s="451">
        <v>41394</v>
      </c>
      <c r="EF1090" s="62">
        <v>177.23</v>
      </c>
      <c r="EG1090" s="62">
        <v>1597.5699460000001</v>
      </c>
      <c r="FU1090" s="451"/>
    </row>
    <row r="1091" spans="135:177" x14ac:dyDescent="0.35">
      <c r="EE1091" s="451">
        <v>41393</v>
      </c>
      <c r="EF1091" s="62">
        <v>173.73</v>
      </c>
      <c r="EG1091" s="62">
        <v>1593.6099850000001</v>
      </c>
      <c r="FU1091" s="451"/>
    </row>
    <row r="1092" spans="135:177" x14ac:dyDescent="0.35">
      <c r="EE1092" s="451">
        <v>41390</v>
      </c>
      <c r="EF1092" s="62">
        <v>173.34</v>
      </c>
      <c r="EG1092" s="62">
        <v>1582.23999</v>
      </c>
      <c r="FU1092" s="451"/>
    </row>
    <row r="1093" spans="135:177" x14ac:dyDescent="0.35">
      <c r="EE1093" s="451">
        <v>41389</v>
      </c>
      <c r="EF1093" s="62">
        <v>173.87</v>
      </c>
      <c r="EG1093" s="62">
        <v>1585.160034</v>
      </c>
      <c r="FU1093" s="451"/>
    </row>
    <row r="1094" spans="135:177" x14ac:dyDescent="0.35">
      <c r="EE1094" s="451">
        <v>41388</v>
      </c>
      <c r="EF1094" s="62">
        <v>176.97</v>
      </c>
      <c r="EG1094" s="62">
        <v>1578.790039</v>
      </c>
      <c r="FU1094" s="451"/>
    </row>
    <row r="1095" spans="135:177" x14ac:dyDescent="0.35">
      <c r="EE1095" s="451">
        <v>41387</v>
      </c>
      <c r="EF1095" s="62">
        <v>180.44</v>
      </c>
      <c r="EG1095" s="62">
        <v>1578.780029</v>
      </c>
      <c r="FU1095" s="451"/>
    </row>
    <row r="1096" spans="135:177" x14ac:dyDescent="0.35">
      <c r="EE1096" s="451">
        <v>41386</v>
      </c>
      <c r="EF1096" s="62">
        <v>179.15</v>
      </c>
      <c r="EG1096" s="62">
        <v>1562.5</v>
      </c>
      <c r="FU1096" s="451"/>
    </row>
    <row r="1097" spans="135:177" x14ac:dyDescent="0.35">
      <c r="EE1097" s="451">
        <v>41383</v>
      </c>
      <c r="EF1097" s="62">
        <v>181.17</v>
      </c>
      <c r="EG1097" s="62">
        <v>1555.25</v>
      </c>
      <c r="FU1097" s="451"/>
    </row>
    <row r="1098" spans="135:177" x14ac:dyDescent="0.35">
      <c r="EE1098" s="451">
        <v>41382</v>
      </c>
      <c r="EF1098" s="62">
        <v>179.49</v>
      </c>
      <c r="EG1098" s="62">
        <v>1541.6099850000001</v>
      </c>
      <c r="FU1098" s="451"/>
    </row>
    <row r="1099" spans="135:177" x14ac:dyDescent="0.35">
      <c r="EE1099" s="451">
        <v>41381</v>
      </c>
      <c r="EF1099" s="62">
        <v>181.82</v>
      </c>
      <c r="EG1099" s="62">
        <v>1552.01001</v>
      </c>
      <c r="FU1099" s="451"/>
    </row>
    <row r="1100" spans="135:177" x14ac:dyDescent="0.35">
      <c r="EE1100" s="451">
        <v>41380</v>
      </c>
      <c r="EF1100" s="62">
        <v>181.95</v>
      </c>
      <c r="EG1100" s="62">
        <v>1574.5699460000001</v>
      </c>
      <c r="FU1100" s="451"/>
    </row>
    <row r="1101" spans="135:177" x14ac:dyDescent="0.35">
      <c r="EE1101" s="451">
        <v>41379</v>
      </c>
      <c r="EF1101" s="62">
        <v>182.55</v>
      </c>
      <c r="EG1101" s="62">
        <v>1552.3599850000001</v>
      </c>
      <c r="FU1101" s="451"/>
    </row>
    <row r="1102" spans="135:177" x14ac:dyDescent="0.35">
      <c r="EE1102" s="451">
        <v>41376</v>
      </c>
      <c r="EF1102" s="62">
        <v>184.21</v>
      </c>
      <c r="EG1102" s="62">
        <v>1588.849976</v>
      </c>
      <c r="FU1102" s="451"/>
    </row>
    <row r="1103" spans="135:177" x14ac:dyDescent="0.35">
      <c r="EE1103" s="451">
        <v>41375</v>
      </c>
      <c r="EF1103" s="62">
        <v>183.66</v>
      </c>
      <c r="EG1103" s="62">
        <v>1593.369995</v>
      </c>
      <c r="FU1103" s="451"/>
    </row>
    <row r="1104" spans="135:177" x14ac:dyDescent="0.35">
      <c r="EE1104" s="451">
        <v>41374</v>
      </c>
      <c r="EF1104" s="62">
        <v>182.56</v>
      </c>
      <c r="EG1104" s="62">
        <v>1587.7299800000001</v>
      </c>
      <c r="FU1104" s="451"/>
    </row>
    <row r="1105" spans="135:177" x14ac:dyDescent="0.35">
      <c r="EE1105" s="451">
        <v>41373</v>
      </c>
      <c r="EF1105" s="62">
        <v>179.89</v>
      </c>
      <c r="EG1105" s="62">
        <v>1568.6099850000001</v>
      </c>
      <c r="FU1105" s="451"/>
    </row>
    <row r="1106" spans="135:177" x14ac:dyDescent="0.35">
      <c r="EE1106" s="451">
        <v>41372</v>
      </c>
      <c r="EF1106" s="62">
        <v>179.15</v>
      </c>
      <c r="EG1106" s="62">
        <v>1563.0699460000001</v>
      </c>
      <c r="FU1106" s="451"/>
    </row>
    <row r="1107" spans="135:177" x14ac:dyDescent="0.35">
      <c r="EE1107" s="451">
        <v>41369</v>
      </c>
      <c r="EF1107" s="62">
        <v>177.2</v>
      </c>
      <c r="EG1107" s="62">
        <v>1553.280029</v>
      </c>
      <c r="FU1107" s="451"/>
    </row>
    <row r="1108" spans="135:177" x14ac:dyDescent="0.35">
      <c r="EE1108" s="451">
        <v>41368</v>
      </c>
      <c r="EF1108" s="62">
        <v>175.78</v>
      </c>
      <c r="EG1108" s="62">
        <v>1559.9799800000001</v>
      </c>
      <c r="FU1108" s="451"/>
    </row>
    <row r="1109" spans="135:177" x14ac:dyDescent="0.35">
      <c r="EE1109" s="451">
        <v>41367</v>
      </c>
      <c r="EF1109" s="62">
        <v>169.5</v>
      </c>
      <c r="EG1109" s="62">
        <v>1553.6899410000001</v>
      </c>
      <c r="FU1109" s="451"/>
    </row>
    <row r="1110" spans="135:177" x14ac:dyDescent="0.35">
      <c r="EE1110" s="451">
        <v>41366</v>
      </c>
      <c r="EF1110" s="62">
        <v>165.33</v>
      </c>
      <c r="EG1110" s="62">
        <v>1570.25</v>
      </c>
      <c r="FU1110" s="451"/>
    </row>
    <row r="1111" spans="135:177" x14ac:dyDescent="0.35">
      <c r="EE1111" s="451">
        <v>41365</v>
      </c>
      <c r="EF1111" s="62">
        <v>166.66</v>
      </c>
      <c r="EG1111" s="62">
        <v>1562.170044</v>
      </c>
      <c r="FU1111" s="451"/>
    </row>
    <row r="1112" spans="135:177" x14ac:dyDescent="0.35">
      <c r="EE1112" s="451">
        <v>41361</v>
      </c>
      <c r="EF1112" s="62">
        <v>165.24</v>
      </c>
      <c r="EG1112" s="62">
        <v>1569.1899410000001</v>
      </c>
      <c r="FU1112" s="451"/>
    </row>
    <row r="1113" spans="135:177" x14ac:dyDescent="0.35">
      <c r="EE1113" s="451">
        <v>41360</v>
      </c>
      <c r="EF1113" s="62">
        <v>163.76</v>
      </c>
      <c r="EG1113" s="62">
        <v>1562.849976</v>
      </c>
      <c r="FU1113" s="451"/>
    </row>
    <row r="1114" spans="135:177" x14ac:dyDescent="0.35">
      <c r="EE1114" s="451">
        <v>41359</v>
      </c>
      <c r="EF1114" s="62">
        <v>164.61</v>
      </c>
      <c r="EG1114" s="62">
        <v>1563.7700199999999</v>
      </c>
      <c r="FU1114" s="451"/>
    </row>
    <row r="1115" spans="135:177" x14ac:dyDescent="0.35">
      <c r="EE1115" s="451">
        <v>41358</v>
      </c>
      <c r="EF1115" s="62">
        <v>164.3</v>
      </c>
      <c r="EG1115" s="62">
        <v>1551.6899410000001</v>
      </c>
      <c r="FU1115" s="451"/>
    </row>
    <row r="1116" spans="135:177" x14ac:dyDescent="0.35">
      <c r="EE1116" s="451">
        <v>41355</v>
      </c>
      <c r="EF1116" s="62">
        <v>165.14</v>
      </c>
      <c r="EG1116" s="62">
        <v>1556.8900149999999</v>
      </c>
      <c r="FU1116" s="451"/>
    </row>
    <row r="1117" spans="135:177" x14ac:dyDescent="0.35">
      <c r="EE1117" s="451">
        <v>41354</v>
      </c>
      <c r="EF1117" s="62">
        <v>163.69</v>
      </c>
      <c r="EG1117" s="62">
        <v>1545.8000489999999</v>
      </c>
      <c r="FU1117" s="451"/>
    </row>
    <row r="1118" spans="135:177" x14ac:dyDescent="0.35">
      <c r="EE1118" s="451">
        <v>41353</v>
      </c>
      <c r="EF1118" s="62">
        <v>165.1</v>
      </c>
      <c r="EG1118" s="62">
        <v>1558.709961</v>
      </c>
      <c r="FU1118" s="451"/>
    </row>
    <row r="1119" spans="135:177" x14ac:dyDescent="0.35">
      <c r="EE1119" s="451">
        <v>41352</v>
      </c>
      <c r="EF1119" s="62">
        <v>161.19</v>
      </c>
      <c r="EG1119" s="62">
        <v>1548.339966</v>
      </c>
      <c r="FU1119" s="451"/>
    </row>
    <row r="1120" spans="135:177" x14ac:dyDescent="0.35">
      <c r="EE1120" s="451">
        <v>41351</v>
      </c>
      <c r="EF1120" s="62">
        <v>160.24</v>
      </c>
      <c r="EG1120" s="62">
        <v>1552.099976</v>
      </c>
      <c r="FU1120" s="451"/>
    </row>
    <row r="1121" spans="135:177" x14ac:dyDescent="0.35">
      <c r="EE1121" s="451">
        <v>41348</v>
      </c>
      <c r="EF1121" s="62">
        <v>162.27000000000001</v>
      </c>
      <c r="EG1121" s="62">
        <v>1560.6999510000001</v>
      </c>
      <c r="FU1121" s="451"/>
    </row>
    <row r="1122" spans="135:177" x14ac:dyDescent="0.35">
      <c r="EE1122" s="451">
        <v>41347</v>
      </c>
      <c r="EF1122" s="62">
        <v>165.01</v>
      </c>
      <c r="EG1122" s="62">
        <v>1563.2299800000001</v>
      </c>
      <c r="FU1122" s="451"/>
    </row>
    <row r="1123" spans="135:177" x14ac:dyDescent="0.35">
      <c r="EE1123" s="451">
        <v>41346</v>
      </c>
      <c r="EF1123" s="62">
        <v>165.3</v>
      </c>
      <c r="EG1123" s="62">
        <v>1554.5200199999999</v>
      </c>
      <c r="FU1123" s="451"/>
    </row>
    <row r="1124" spans="135:177" x14ac:dyDescent="0.35">
      <c r="EE1124" s="451">
        <v>41345</v>
      </c>
      <c r="EF1124" s="62">
        <v>164.4</v>
      </c>
      <c r="EG1124" s="62">
        <v>1552.4799800000001</v>
      </c>
      <c r="FU1124" s="451"/>
    </row>
    <row r="1125" spans="135:177" x14ac:dyDescent="0.35">
      <c r="EE1125" s="451">
        <v>41344</v>
      </c>
      <c r="EF1125" s="62">
        <v>164.15</v>
      </c>
      <c r="EG1125" s="62">
        <v>1556.219971</v>
      </c>
      <c r="FU1125" s="451"/>
    </row>
    <row r="1126" spans="135:177" x14ac:dyDescent="0.35">
      <c r="EE1126" s="451">
        <v>41341</v>
      </c>
      <c r="EF1126" s="62">
        <v>165.38</v>
      </c>
      <c r="EG1126" s="62">
        <v>1551.1800539999999</v>
      </c>
      <c r="FU1126" s="451"/>
    </row>
    <row r="1127" spans="135:177" x14ac:dyDescent="0.35">
      <c r="EE1127" s="451">
        <v>41340</v>
      </c>
      <c r="EF1127" s="62">
        <v>164.51</v>
      </c>
      <c r="EG1127" s="62">
        <v>1544.26001</v>
      </c>
      <c r="FU1127" s="451"/>
    </row>
    <row r="1128" spans="135:177" x14ac:dyDescent="0.35">
      <c r="EE1128" s="451">
        <v>41339</v>
      </c>
      <c r="EF1128" s="62">
        <v>164.01</v>
      </c>
      <c r="EG1128" s="62">
        <v>1541.459961</v>
      </c>
      <c r="FU1128" s="451"/>
    </row>
    <row r="1129" spans="135:177" x14ac:dyDescent="0.35">
      <c r="EE1129" s="451">
        <v>41338</v>
      </c>
      <c r="EF1129" s="62">
        <v>162.24</v>
      </c>
      <c r="EG1129" s="62">
        <v>1539.790039</v>
      </c>
      <c r="FU1129" s="451"/>
    </row>
    <row r="1130" spans="135:177" x14ac:dyDescent="0.35">
      <c r="EE1130" s="451">
        <v>41337</v>
      </c>
      <c r="EF1130" s="62">
        <v>161.59</v>
      </c>
      <c r="EG1130" s="62">
        <v>1525.1999510000001</v>
      </c>
      <c r="FU1130" s="451"/>
    </row>
    <row r="1131" spans="135:177" x14ac:dyDescent="0.35">
      <c r="EE1131" s="451">
        <v>41334</v>
      </c>
      <c r="EF1131" s="62">
        <v>160.5</v>
      </c>
      <c r="EG1131" s="62">
        <v>1518.1999510000001</v>
      </c>
      <c r="FU1131" s="451"/>
    </row>
    <row r="1132" spans="135:177" x14ac:dyDescent="0.35">
      <c r="EE1132" s="451">
        <v>41333</v>
      </c>
      <c r="EF1132" s="62">
        <v>160.94999999999999</v>
      </c>
      <c r="EG1132" s="62">
        <v>1514.6800539999999</v>
      </c>
      <c r="FU1132" s="451"/>
    </row>
    <row r="1133" spans="135:177" x14ac:dyDescent="0.35">
      <c r="EE1133" s="451">
        <v>41332</v>
      </c>
      <c r="EF1133" s="62">
        <v>161.53</v>
      </c>
      <c r="EG1133" s="62">
        <v>1515.98999</v>
      </c>
      <c r="FU1133" s="451"/>
    </row>
    <row r="1134" spans="135:177" x14ac:dyDescent="0.35">
      <c r="EE1134" s="451">
        <v>41331</v>
      </c>
      <c r="EF1134" s="62">
        <v>159.04</v>
      </c>
      <c r="EG1134" s="62">
        <v>1496.9399410000001</v>
      </c>
      <c r="FU1134" s="451"/>
    </row>
    <row r="1135" spans="135:177" x14ac:dyDescent="0.35">
      <c r="EE1135" s="451">
        <v>41330</v>
      </c>
      <c r="EF1135" s="62">
        <v>157.47</v>
      </c>
      <c r="EG1135" s="62">
        <v>1487.849976</v>
      </c>
      <c r="FU1135" s="451"/>
    </row>
    <row r="1136" spans="135:177" x14ac:dyDescent="0.35">
      <c r="EE1136" s="451">
        <v>41327</v>
      </c>
      <c r="EF1136" s="62">
        <v>157.16999999999999</v>
      </c>
      <c r="EG1136" s="62">
        <v>1515.599976</v>
      </c>
      <c r="FU1136" s="451"/>
    </row>
    <row r="1137" spans="135:177" x14ac:dyDescent="0.35">
      <c r="EE1137" s="451">
        <v>41326</v>
      </c>
      <c r="EF1137" s="62">
        <v>155.15</v>
      </c>
      <c r="EG1137" s="62">
        <v>1502.420044</v>
      </c>
      <c r="FU1137" s="451"/>
    </row>
    <row r="1138" spans="135:177" x14ac:dyDescent="0.35">
      <c r="EE1138" s="451">
        <v>41325</v>
      </c>
      <c r="EF1138" s="62">
        <v>155</v>
      </c>
      <c r="EG1138" s="62">
        <v>1511.9499510000001</v>
      </c>
      <c r="FU1138" s="451"/>
    </row>
    <row r="1139" spans="135:177" x14ac:dyDescent="0.35">
      <c r="EE1139" s="451">
        <v>41324</v>
      </c>
      <c r="EF1139" s="62">
        <v>157.61000000000001</v>
      </c>
      <c r="EG1139" s="62">
        <v>1530.9399410000001</v>
      </c>
      <c r="FU1139" s="451"/>
    </row>
    <row r="1140" spans="135:177" x14ac:dyDescent="0.35">
      <c r="EE1140" s="451">
        <v>41320</v>
      </c>
      <c r="EF1140" s="62">
        <v>159.34</v>
      </c>
      <c r="EG1140" s="62">
        <v>1519.790039</v>
      </c>
      <c r="FU1140" s="451"/>
    </row>
    <row r="1141" spans="135:177" x14ac:dyDescent="0.35">
      <c r="EE1141" s="451">
        <v>41319</v>
      </c>
      <c r="EF1141" s="62">
        <v>159.96</v>
      </c>
      <c r="EG1141" s="62">
        <v>1521.380005</v>
      </c>
      <c r="FU1141" s="451"/>
    </row>
    <row r="1142" spans="135:177" x14ac:dyDescent="0.35">
      <c r="EE1142" s="451">
        <v>41318</v>
      </c>
      <c r="EF1142" s="62">
        <v>160.63999999999999</v>
      </c>
      <c r="EG1142" s="62">
        <v>1520.329956</v>
      </c>
      <c r="FU1142" s="451"/>
    </row>
    <row r="1143" spans="135:177" x14ac:dyDescent="0.35">
      <c r="EE1143" s="451">
        <v>41317</v>
      </c>
      <c r="EF1143" s="62">
        <v>162.36000000000001</v>
      </c>
      <c r="EG1143" s="62">
        <v>1519.4300539999999</v>
      </c>
      <c r="FU1143" s="451"/>
    </row>
    <row r="1144" spans="135:177" x14ac:dyDescent="0.35">
      <c r="EE1144" s="451">
        <v>41316</v>
      </c>
      <c r="EF1144" s="62">
        <v>163.58000000000001</v>
      </c>
      <c r="EG1144" s="62">
        <v>1517.01001</v>
      </c>
      <c r="FU1144" s="451"/>
    </row>
    <row r="1145" spans="135:177" x14ac:dyDescent="0.35">
      <c r="EE1145" s="451">
        <v>41313</v>
      </c>
      <c r="EF1145" s="62">
        <v>162.9</v>
      </c>
      <c r="EG1145" s="62">
        <v>1517.9300539999999</v>
      </c>
      <c r="FU1145" s="451"/>
    </row>
    <row r="1146" spans="135:177" x14ac:dyDescent="0.35">
      <c r="EE1146" s="451">
        <v>41312</v>
      </c>
      <c r="EF1146" s="62">
        <v>162.43</v>
      </c>
      <c r="EG1146" s="62">
        <v>1509.3900149999999</v>
      </c>
      <c r="FU1146" s="451"/>
    </row>
    <row r="1147" spans="135:177" x14ac:dyDescent="0.35">
      <c r="EE1147" s="451">
        <v>41311</v>
      </c>
      <c r="EF1147" s="62">
        <v>164.27</v>
      </c>
      <c r="EG1147" s="62">
        <v>1512.119995</v>
      </c>
      <c r="FU1147" s="451"/>
    </row>
    <row r="1148" spans="135:177" x14ac:dyDescent="0.35">
      <c r="EE1148" s="451">
        <v>41310</v>
      </c>
      <c r="EF1148" s="62">
        <v>162.97</v>
      </c>
      <c r="EG1148" s="62">
        <v>1511.290039</v>
      </c>
      <c r="FU1148" s="451"/>
    </row>
    <row r="1149" spans="135:177" x14ac:dyDescent="0.35">
      <c r="EE1149" s="451">
        <v>41309</v>
      </c>
      <c r="EF1149" s="62">
        <v>163.4</v>
      </c>
      <c r="EG1149" s="62">
        <v>1495.709961</v>
      </c>
      <c r="FU1149" s="451"/>
    </row>
    <row r="1150" spans="135:177" x14ac:dyDescent="0.35">
      <c r="EE1150" s="451">
        <v>41306</v>
      </c>
      <c r="EF1150" s="62">
        <v>164.15</v>
      </c>
      <c r="EG1150" s="62">
        <v>1513.170044</v>
      </c>
      <c r="FU1150" s="451"/>
    </row>
    <row r="1151" spans="135:177" x14ac:dyDescent="0.35">
      <c r="EE1151" s="451">
        <v>41305</v>
      </c>
      <c r="EF1151" s="62">
        <v>159.81</v>
      </c>
      <c r="EG1151" s="62">
        <v>1498.1099850000001</v>
      </c>
      <c r="FU1151" s="451"/>
    </row>
    <row r="1152" spans="135:177" x14ac:dyDescent="0.35">
      <c r="EE1152" s="451">
        <v>41304</v>
      </c>
      <c r="EF1152" s="62">
        <v>158.19</v>
      </c>
      <c r="EG1152" s="62">
        <v>1501.959961</v>
      </c>
      <c r="FU1152" s="451"/>
    </row>
    <row r="1153" spans="135:177" x14ac:dyDescent="0.35">
      <c r="EE1153" s="451">
        <v>41303</v>
      </c>
      <c r="EF1153" s="62">
        <v>159.19999999999999</v>
      </c>
      <c r="EG1153" s="62">
        <v>1507.839966</v>
      </c>
      <c r="FU1153" s="451"/>
    </row>
    <row r="1154" spans="135:177" x14ac:dyDescent="0.35">
      <c r="EE1154" s="451">
        <v>41302</v>
      </c>
      <c r="EF1154" s="62">
        <v>161.4</v>
      </c>
      <c r="EG1154" s="62">
        <v>1500.1800539999999</v>
      </c>
      <c r="FU1154" s="451"/>
    </row>
    <row r="1155" spans="135:177" x14ac:dyDescent="0.35">
      <c r="EE1155" s="451">
        <v>41299</v>
      </c>
      <c r="EF1155" s="62">
        <v>160.12</v>
      </c>
      <c r="EG1155" s="62">
        <v>1502.959961</v>
      </c>
      <c r="FU1155" s="451"/>
    </row>
    <row r="1156" spans="135:177" x14ac:dyDescent="0.35">
      <c r="EE1156" s="451">
        <v>41298</v>
      </c>
      <c r="EF1156" s="62">
        <v>155.02000000000001</v>
      </c>
      <c r="EG1156" s="62">
        <v>1494.8199460000001</v>
      </c>
      <c r="FU1156" s="451"/>
    </row>
    <row r="1157" spans="135:177" x14ac:dyDescent="0.35">
      <c r="EE1157" s="451">
        <v>41297</v>
      </c>
      <c r="EF1157" s="62">
        <v>160.87</v>
      </c>
      <c r="EG1157" s="62">
        <v>1494.8100589999999</v>
      </c>
      <c r="FU1157" s="451"/>
    </row>
    <row r="1158" spans="135:177" x14ac:dyDescent="0.35">
      <c r="EE1158" s="451">
        <v>41296</v>
      </c>
      <c r="EF1158" s="62">
        <v>163.41999999999999</v>
      </c>
      <c r="EG1158" s="62">
        <v>1492.5600589999999</v>
      </c>
      <c r="FU1158" s="451"/>
    </row>
    <row r="1159" spans="135:177" x14ac:dyDescent="0.35">
      <c r="EE1159" s="451">
        <v>41292</v>
      </c>
      <c r="EF1159" s="62">
        <v>163.51</v>
      </c>
      <c r="EG1159" s="62">
        <v>1485.9799800000001</v>
      </c>
      <c r="FU1159" s="451"/>
    </row>
    <row r="1160" spans="135:177" x14ac:dyDescent="0.35">
      <c r="EE1160" s="451">
        <v>41291</v>
      </c>
      <c r="EF1160" s="62">
        <v>163.4</v>
      </c>
      <c r="EG1160" s="62">
        <v>1480.9399410000001</v>
      </c>
      <c r="FU1160" s="451"/>
    </row>
    <row r="1161" spans="135:177" x14ac:dyDescent="0.35">
      <c r="EE1161" s="451">
        <v>41290</v>
      </c>
      <c r="EF1161" s="62">
        <v>162.56</v>
      </c>
      <c r="EG1161" s="62">
        <v>1472.630005</v>
      </c>
      <c r="FU1161" s="451"/>
    </row>
    <row r="1162" spans="135:177" x14ac:dyDescent="0.35">
      <c r="EE1162" s="451">
        <v>41289</v>
      </c>
      <c r="EF1162" s="62">
        <v>164.21</v>
      </c>
      <c r="EG1162" s="62">
        <v>1472.339966</v>
      </c>
      <c r="FU1162" s="451"/>
    </row>
    <row r="1163" spans="135:177" x14ac:dyDescent="0.35">
      <c r="EE1163" s="451">
        <v>41288</v>
      </c>
      <c r="EF1163" s="62">
        <v>163.43</v>
      </c>
      <c r="EG1163" s="62">
        <v>1470.6800539999999</v>
      </c>
      <c r="FU1163" s="451"/>
    </row>
    <row r="1164" spans="135:177" x14ac:dyDescent="0.35">
      <c r="EE1164" s="451">
        <v>41285</v>
      </c>
      <c r="EF1164" s="62">
        <v>162.96</v>
      </c>
      <c r="EG1164" s="62">
        <v>1472.0500489999999</v>
      </c>
      <c r="FU1164" s="451"/>
    </row>
    <row r="1165" spans="135:177" x14ac:dyDescent="0.35">
      <c r="EE1165" s="451">
        <v>41284</v>
      </c>
      <c r="EF1165" s="62">
        <v>166.53</v>
      </c>
      <c r="EG1165" s="62">
        <v>1472.119995</v>
      </c>
      <c r="FU1165" s="451"/>
    </row>
    <row r="1166" spans="135:177" x14ac:dyDescent="0.35">
      <c r="EE1166" s="451">
        <v>41283</v>
      </c>
      <c r="EF1166" s="62">
        <v>166.06</v>
      </c>
      <c r="EG1166" s="62">
        <v>1461.0200199999999</v>
      </c>
      <c r="FU1166" s="451"/>
    </row>
    <row r="1167" spans="135:177" x14ac:dyDescent="0.35">
      <c r="EE1167" s="451">
        <v>41282</v>
      </c>
      <c r="EF1167" s="62">
        <v>164.27</v>
      </c>
      <c r="EG1167" s="62">
        <v>1457.150024</v>
      </c>
      <c r="FU1167" s="451"/>
    </row>
    <row r="1168" spans="135:177" x14ac:dyDescent="0.35">
      <c r="EE1168" s="451">
        <v>41281</v>
      </c>
      <c r="EF1168" s="62">
        <v>164.89</v>
      </c>
      <c r="EG1168" s="62">
        <v>1461.8900149999999</v>
      </c>
      <c r="FU1168" s="451"/>
    </row>
    <row r="1169" spans="135:177" x14ac:dyDescent="0.35">
      <c r="EE1169" s="451">
        <v>41278</v>
      </c>
      <c r="EF1169" s="62">
        <v>163.85</v>
      </c>
      <c r="EG1169" s="62">
        <v>1466.469971</v>
      </c>
      <c r="FU1169" s="451"/>
    </row>
    <row r="1170" spans="135:177" x14ac:dyDescent="0.35">
      <c r="EE1170" s="451">
        <v>41277</v>
      </c>
      <c r="EF1170" s="62">
        <v>163.04</v>
      </c>
      <c r="EG1170" s="62">
        <v>1459.369995</v>
      </c>
      <c r="FU1170" s="451"/>
    </row>
    <row r="1171" spans="135:177" x14ac:dyDescent="0.35">
      <c r="EE1171" s="451">
        <v>41276</v>
      </c>
      <c r="EF1171" s="62">
        <v>162.19</v>
      </c>
      <c r="EG1171" s="62">
        <v>1462.420044</v>
      </c>
      <c r="FU1171" s="451"/>
    </row>
    <row r="1172" spans="135:177" x14ac:dyDescent="0.35">
      <c r="EE1172" s="451">
        <v>41274</v>
      </c>
      <c r="EF1172" s="62">
        <v>158.83000000000001</v>
      </c>
      <c r="EG1172" s="62">
        <v>1426.1899410000001</v>
      </c>
      <c r="FU1172" s="451"/>
    </row>
    <row r="1173" spans="135:177" x14ac:dyDescent="0.35">
      <c r="EE1173" s="451">
        <v>41271</v>
      </c>
      <c r="EF1173" s="62">
        <v>156.81</v>
      </c>
      <c r="EG1173" s="62">
        <v>1402.4300539999999</v>
      </c>
      <c r="FU1173" s="451"/>
    </row>
    <row r="1174" spans="135:177" x14ac:dyDescent="0.35">
      <c r="EE1174" s="451">
        <v>41270</v>
      </c>
      <c r="EF1174" s="62">
        <v>156.97999999999999</v>
      </c>
      <c r="EG1174" s="62">
        <v>1418.099976</v>
      </c>
      <c r="FU1174" s="451"/>
    </row>
    <row r="1175" spans="135:177" x14ac:dyDescent="0.35">
      <c r="EE1175" s="451">
        <v>41269</v>
      </c>
      <c r="EF1175" s="62">
        <v>156.30000000000001</v>
      </c>
      <c r="EG1175" s="62">
        <v>1419.829956</v>
      </c>
      <c r="FU1175" s="451"/>
    </row>
    <row r="1176" spans="135:177" x14ac:dyDescent="0.35">
      <c r="EE1176" s="451">
        <v>41267</v>
      </c>
      <c r="EF1176" s="62">
        <v>158.34</v>
      </c>
      <c r="EG1176" s="62">
        <v>1426.660034</v>
      </c>
      <c r="FU1176" s="451"/>
    </row>
    <row r="1177" spans="135:177" x14ac:dyDescent="0.35">
      <c r="EE1177" s="451">
        <v>41264</v>
      </c>
      <c r="EF1177" s="62">
        <v>158.16999999999999</v>
      </c>
      <c r="EG1177" s="62">
        <v>1430.150024</v>
      </c>
      <c r="FU1177" s="451"/>
    </row>
    <row r="1178" spans="135:177" x14ac:dyDescent="0.35">
      <c r="EE1178" s="451">
        <v>41263</v>
      </c>
      <c r="EF1178" s="62">
        <v>166.24</v>
      </c>
      <c r="EG1178" s="62">
        <v>1443.6899410000001</v>
      </c>
      <c r="FU1178" s="451"/>
    </row>
    <row r="1179" spans="135:177" x14ac:dyDescent="0.35">
      <c r="EE1179" s="451">
        <v>41262</v>
      </c>
      <c r="EF1179" s="62">
        <v>167.62</v>
      </c>
      <c r="EG1179" s="62">
        <v>1435.8100589999999</v>
      </c>
      <c r="FU1179" s="451"/>
    </row>
    <row r="1180" spans="135:177" x14ac:dyDescent="0.35">
      <c r="EE1180" s="451">
        <v>41261</v>
      </c>
      <c r="EF1180" s="62">
        <v>166.00700000000001</v>
      </c>
      <c r="EG1180" s="62">
        <v>1446.790039</v>
      </c>
      <c r="FU1180" s="451"/>
    </row>
    <row r="1181" spans="135:177" x14ac:dyDescent="0.35">
      <c r="EE1181" s="451">
        <v>41260</v>
      </c>
      <c r="EF1181" s="62">
        <v>160.52000000000001</v>
      </c>
      <c r="EG1181" s="62">
        <v>1430.3599850000001</v>
      </c>
      <c r="FU1181" s="451"/>
    </row>
    <row r="1182" spans="135:177" x14ac:dyDescent="0.35">
      <c r="EE1182" s="451">
        <v>41257</v>
      </c>
      <c r="EF1182" s="62">
        <v>158.18</v>
      </c>
      <c r="EG1182" s="62">
        <v>1413.579956</v>
      </c>
      <c r="FU1182" s="451"/>
    </row>
    <row r="1183" spans="135:177" x14ac:dyDescent="0.35">
      <c r="EE1183" s="451">
        <v>41256</v>
      </c>
      <c r="EF1183" s="62">
        <v>158.86000000000001</v>
      </c>
      <c r="EG1183" s="62">
        <v>1419.4499510000001</v>
      </c>
      <c r="FU1183" s="451"/>
    </row>
    <row r="1184" spans="135:177" x14ac:dyDescent="0.35">
      <c r="EE1184" s="451">
        <v>41255</v>
      </c>
      <c r="EF1184" s="62">
        <v>158.77000000000001</v>
      </c>
      <c r="EG1184" s="62">
        <v>1428.4799800000001</v>
      </c>
      <c r="FU1184" s="451"/>
    </row>
    <row r="1185" spans="135:177" x14ac:dyDescent="0.35">
      <c r="EE1185" s="451">
        <v>41254</v>
      </c>
      <c r="EF1185" s="62">
        <v>160.04</v>
      </c>
      <c r="EG1185" s="62">
        <v>1427.839966</v>
      </c>
      <c r="FU1185" s="451"/>
    </row>
    <row r="1186" spans="135:177" x14ac:dyDescent="0.35">
      <c r="EE1186" s="451">
        <v>41253</v>
      </c>
      <c r="EF1186" s="62">
        <v>158.71</v>
      </c>
      <c r="EG1186" s="62">
        <v>1418.5500489999999</v>
      </c>
      <c r="FU1186" s="451"/>
    </row>
    <row r="1187" spans="135:177" x14ac:dyDescent="0.35">
      <c r="EE1187" s="451">
        <v>41250</v>
      </c>
      <c r="EF1187" s="62">
        <v>158.47</v>
      </c>
      <c r="EG1187" s="62">
        <v>1418.0699460000001</v>
      </c>
      <c r="FU1187" s="451"/>
    </row>
    <row r="1188" spans="135:177" x14ac:dyDescent="0.35">
      <c r="EE1188" s="451">
        <v>41249</v>
      </c>
      <c r="EF1188" s="62">
        <v>156.90600000000001</v>
      </c>
      <c r="EG1188" s="62">
        <v>1413.9399410000001</v>
      </c>
      <c r="FU1188" s="451"/>
    </row>
    <row r="1189" spans="135:177" x14ac:dyDescent="0.35">
      <c r="EE1189" s="451">
        <v>41248</v>
      </c>
      <c r="EF1189" s="62">
        <v>156.63999999999999</v>
      </c>
      <c r="EG1189" s="62">
        <v>1409.280029</v>
      </c>
      <c r="FU1189" s="451"/>
    </row>
    <row r="1190" spans="135:177" x14ac:dyDescent="0.35">
      <c r="EE1190" s="451">
        <v>41247</v>
      </c>
      <c r="EF1190" s="62">
        <v>157.79</v>
      </c>
      <c r="EG1190" s="62">
        <v>1407.0500489999999</v>
      </c>
      <c r="FU1190" s="451"/>
    </row>
    <row r="1191" spans="135:177" x14ac:dyDescent="0.35">
      <c r="EE1191" s="451">
        <v>41246</v>
      </c>
      <c r="EF1191" s="62">
        <v>159.22999999999999</v>
      </c>
      <c r="EG1191" s="62">
        <v>1409.459961</v>
      </c>
      <c r="FU1191" s="451"/>
    </row>
    <row r="1192" spans="135:177" x14ac:dyDescent="0.35">
      <c r="EE1192" s="451">
        <v>41243</v>
      </c>
      <c r="EF1192" s="62">
        <v>160.5</v>
      </c>
      <c r="EG1192" s="62">
        <v>1416.1800539999999</v>
      </c>
      <c r="FU1192" s="451"/>
    </row>
    <row r="1193" spans="135:177" x14ac:dyDescent="0.35">
      <c r="EE1193" s="451">
        <v>41242</v>
      </c>
      <c r="EF1193" s="62">
        <v>162</v>
      </c>
      <c r="EG1193" s="62">
        <v>1415.9499510000001</v>
      </c>
      <c r="FU1193" s="451"/>
    </row>
    <row r="1194" spans="135:177" x14ac:dyDescent="0.35">
      <c r="EE1194" s="451">
        <v>41241</v>
      </c>
      <c r="EF1194" s="62">
        <v>163.01</v>
      </c>
      <c r="EG1194" s="62">
        <v>1409.9300539999999</v>
      </c>
      <c r="FU1194" s="451"/>
    </row>
    <row r="1195" spans="135:177" x14ac:dyDescent="0.35">
      <c r="EE1195" s="451">
        <v>41240</v>
      </c>
      <c r="EF1195" s="62">
        <v>160.57</v>
      </c>
      <c r="EG1195" s="62">
        <v>1398.9399410000001</v>
      </c>
      <c r="FU1195" s="451"/>
    </row>
    <row r="1196" spans="135:177" x14ac:dyDescent="0.35">
      <c r="EE1196" s="451">
        <v>41239</v>
      </c>
      <c r="EF1196" s="62">
        <v>161.91</v>
      </c>
      <c r="EG1196" s="62">
        <v>1406.290039</v>
      </c>
      <c r="FU1196" s="451"/>
    </row>
    <row r="1197" spans="135:177" x14ac:dyDescent="0.35">
      <c r="EE1197" s="451">
        <v>41236</v>
      </c>
      <c r="EF1197" s="62">
        <v>162.84</v>
      </c>
      <c r="EG1197" s="62">
        <v>1409.150024</v>
      </c>
      <c r="FU1197" s="451"/>
    </row>
    <row r="1198" spans="135:177" x14ac:dyDescent="0.35">
      <c r="EE1198" s="451">
        <v>41234</v>
      </c>
      <c r="EF1198" s="62">
        <v>161.28</v>
      </c>
      <c r="EG1198" s="62">
        <v>1391.030029</v>
      </c>
      <c r="FU1198" s="451"/>
    </row>
    <row r="1199" spans="135:177" x14ac:dyDescent="0.35">
      <c r="EE1199" s="451">
        <v>41233</v>
      </c>
      <c r="EF1199" s="62">
        <v>162.52000000000001</v>
      </c>
      <c r="EG1199" s="62">
        <v>1387.8100589999999</v>
      </c>
      <c r="FU1199" s="451"/>
    </row>
    <row r="1200" spans="135:177" x14ac:dyDescent="0.35">
      <c r="EE1200" s="451">
        <v>41232</v>
      </c>
      <c r="EF1200" s="62">
        <v>163.46</v>
      </c>
      <c r="EG1200" s="62">
        <v>1386.8900149999999</v>
      </c>
      <c r="FU1200" s="451"/>
    </row>
    <row r="1201" spans="135:177" x14ac:dyDescent="0.35">
      <c r="EE1201" s="451">
        <v>41229</v>
      </c>
      <c r="EF1201" s="62">
        <v>159.53</v>
      </c>
      <c r="EG1201" s="62">
        <v>1359.880005</v>
      </c>
      <c r="FU1201" s="451"/>
    </row>
    <row r="1202" spans="135:177" x14ac:dyDescent="0.35">
      <c r="EE1202" s="451">
        <v>41228</v>
      </c>
      <c r="EF1202" s="62">
        <v>158.41999999999999</v>
      </c>
      <c r="EG1202" s="62">
        <v>1353.329956</v>
      </c>
      <c r="FU1202" s="451"/>
    </row>
    <row r="1203" spans="135:177" x14ac:dyDescent="0.35">
      <c r="EE1203" s="451">
        <v>41227</v>
      </c>
      <c r="EF1203" s="62">
        <v>159.54</v>
      </c>
      <c r="EG1203" s="62">
        <v>1355.48999</v>
      </c>
      <c r="FU1203" s="451"/>
    </row>
    <row r="1204" spans="135:177" x14ac:dyDescent="0.35">
      <c r="EE1204" s="451">
        <v>41226</v>
      </c>
      <c r="EF1204" s="62">
        <v>164.79</v>
      </c>
      <c r="EG1204" s="62">
        <v>1374.530029</v>
      </c>
      <c r="FU1204" s="451"/>
    </row>
    <row r="1205" spans="135:177" x14ac:dyDescent="0.35">
      <c r="EE1205" s="451">
        <v>41225</v>
      </c>
      <c r="EF1205" s="62">
        <v>163.83000000000001</v>
      </c>
      <c r="EG1205" s="62">
        <v>1380.030029</v>
      </c>
      <c r="FU1205" s="451"/>
    </row>
    <row r="1206" spans="135:177" x14ac:dyDescent="0.35">
      <c r="EE1206" s="451">
        <v>41222</v>
      </c>
      <c r="EF1206" s="62">
        <v>163.85</v>
      </c>
      <c r="EG1206" s="62">
        <v>1379.849976</v>
      </c>
      <c r="FU1206" s="451"/>
    </row>
    <row r="1207" spans="135:177" x14ac:dyDescent="0.35">
      <c r="EE1207" s="451">
        <v>41221</v>
      </c>
      <c r="EF1207" s="62">
        <v>164.41</v>
      </c>
      <c r="EG1207" s="62">
        <v>1377.51001</v>
      </c>
      <c r="FU1207" s="451"/>
    </row>
    <row r="1208" spans="135:177" x14ac:dyDescent="0.35">
      <c r="EE1208" s="451">
        <v>41220</v>
      </c>
      <c r="EF1208" s="62">
        <v>166.82</v>
      </c>
      <c r="EG1208" s="62">
        <v>1394.530029</v>
      </c>
      <c r="FU1208" s="451"/>
    </row>
    <row r="1209" spans="135:177" x14ac:dyDescent="0.35">
      <c r="EE1209" s="451">
        <v>41219</v>
      </c>
      <c r="EF1209" s="62">
        <v>169.39</v>
      </c>
      <c r="EG1209" s="62">
        <v>1428.3900149999999</v>
      </c>
      <c r="FU1209" s="451"/>
    </row>
    <row r="1210" spans="135:177" x14ac:dyDescent="0.35">
      <c r="EE1210" s="451">
        <v>41218</v>
      </c>
      <c r="EF1210" s="62">
        <v>167.99</v>
      </c>
      <c r="EG1210" s="62">
        <v>1417.26001</v>
      </c>
      <c r="FU1210" s="451"/>
    </row>
    <row r="1211" spans="135:177" x14ac:dyDescent="0.35">
      <c r="EE1211" s="451">
        <v>41214</v>
      </c>
      <c r="EF1211" s="62">
        <v>167.06</v>
      </c>
      <c r="EG1211" s="62">
        <v>1427.589966</v>
      </c>
      <c r="FU1211" s="451"/>
    </row>
    <row r="1212" spans="135:177" x14ac:dyDescent="0.35">
      <c r="EE1212" s="451">
        <v>41213</v>
      </c>
      <c r="EF1212" s="62">
        <v>168.64</v>
      </c>
      <c r="EG1212" s="62">
        <v>1412.160034</v>
      </c>
      <c r="FU1212" s="451"/>
    </row>
    <row r="1213" spans="135:177" x14ac:dyDescent="0.35">
      <c r="EE1213" s="451">
        <v>41208</v>
      </c>
      <c r="EF1213" s="62">
        <v>169.48</v>
      </c>
      <c r="EG1213" s="62">
        <v>1411.9399410000001</v>
      </c>
      <c r="FU1213" s="451"/>
    </row>
    <row r="1214" spans="135:177" x14ac:dyDescent="0.35">
      <c r="EE1214" s="451">
        <v>41207</v>
      </c>
      <c r="EF1214" s="62">
        <v>166.5</v>
      </c>
      <c r="EG1214" s="62">
        <v>1412.969971</v>
      </c>
      <c r="FU1214" s="451"/>
    </row>
    <row r="1215" spans="135:177" x14ac:dyDescent="0.35">
      <c r="EE1215" s="451">
        <v>41206</v>
      </c>
      <c r="EF1215" s="62">
        <v>168.43</v>
      </c>
      <c r="EG1215" s="62">
        <v>1408.75</v>
      </c>
      <c r="FU1215" s="451"/>
    </row>
    <row r="1216" spans="135:177" x14ac:dyDescent="0.35">
      <c r="EE1216" s="451">
        <v>41205</v>
      </c>
      <c r="EF1216" s="62">
        <v>160.34</v>
      </c>
      <c r="EG1216" s="62">
        <v>1413.1099850000001</v>
      </c>
      <c r="FU1216" s="451"/>
    </row>
    <row r="1217" spans="135:177" x14ac:dyDescent="0.35">
      <c r="EE1217" s="451">
        <v>41204</v>
      </c>
      <c r="EF1217" s="62">
        <v>161.71</v>
      </c>
      <c r="EG1217" s="62">
        <v>1433.8199460000001</v>
      </c>
      <c r="FU1217" s="451"/>
    </row>
    <row r="1218" spans="135:177" x14ac:dyDescent="0.35">
      <c r="EE1218" s="451">
        <v>41201</v>
      </c>
      <c r="EF1218" s="62">
        <v>161.85</v>
      </c>
      <c r="EG1218" s="62">
        <v>1433.1899410000001</v>
      </c>
      <c r="FU1218" s="451"/>
    </row>
    <row r="1219" spans="135:177" x14ac:dyDescent="0.35">
      <c r="EE1219" s="451">
        <v>41200</v>
      </c>
      <c r="EF1219" s="62">
        <v>169.541</v>
      </c>
      <c r="EG1219" s="62">
        <v>1457.339966</v>
      </c>
      <c r="FU1219" s="451"/>
    </row>
    <row r="1220" spans="135:177" x14ac:dyDescent="0.35">
      <c r="EE1220" s="451">
        <v>41199</v>
      </c>
      <c r="EF1220" s="62">
        <v>168.75</v>
      </c>
      <c r="EG1220" s="62">
        <v>1460.910034</v>
      </c>
      <c r="FU1220" s="451"/>
    </row>
    <row r="1221" spans="135:177" x14ac:dyDescent="0.35">
      <c r="EE1221" s="451">
        <v>41198</v>
      </c>
      <c r="EF1221" s="62">
        <v>170.59</v>
      </c>
      <c r="EG1221" s="62">
        <v>1454.920044</v>
      </c>
      <c r="FU1221" s="451"/>
    </row>
    <row r="1222" spans="135:177" x14ac:dyDescent="0.35">
      <c r="EE1222" s="451">
        <v>41197</v>
      </c>
      <c r="EF1222" s="62">
        <v>169.1</v>
      </c>
      <c r="EG1222" s="62">
        <v>1440.130005</v>
      </c>
      <c r="FU1222" s="451"/>
    </row>
    <row r="1223" spans="135:177" x14ac:dyDescent="0.35">
      <c r="EE1223" s="451">
        <v>41194</v>
      </c>
      <c r="EF1223" s="62">
        <v>167.95</v>
      </c>
      <c r="EG1223" s="62">
        <v>1428.589966</v>
      </c>
      <c r="FU1223" s="451"/>
    </row>
    <row r="1224" spans="135:177" x14ac:dyDescent="0.35">
      <c r="EE1224" s="451">
        <v>41193</v>
      </c>
      <c r="EF1224" s="62">
        <v>166.82</v>
      </c>
      <c r="EG1224" s="62">
        <v>1432.839966</v>
      </c>
      <c r="FU1224" s="451"/>
    </row>
    <row r="1225" spans="135:177" x14ac:dyDescent="0.35">
      <c r="EE1225" s="451">
        <v>41192</v>
      </c>
      <c r="EF1225" s="62">
        <v>165.54</v>
      </c>
      <c r="EG1225" s="62">
        <v>1432.5600589999999</v>
      </c>
      <c r="FU1225" s="451"/>
    </row>
    <row r="1226" spans="135:177" x14ac:dyDescent="0.35">
      <c r="EE1226" s="451">
        <v>41191</v>
      </c>
      <c r="EF1226" s="62">
        <v>164.82</v>
      </c>
      <c r="EG1226" s="62">
        <v>1441.4799800000001</v>
      </c>
      <c r="FU1226" s="451"/>
    </row>
    <row r="1227" spans="135:177" x14ac:dyDescent="0.35">
      <c r="EE1227" s="451">
        <v>41190</v>
      </c>
      <c r="EF1227" s="62">
        <v>166.89</v>
      </c>
      <c r="EG1227" s="62">
        <v>1455.880005</v>
      </c>
      <c r="FU1227" s="451"/>
    </row>
    <row r="1228" spans="135:177" x14ac:dyDescent="0.35">
      <c r="EE1228" s="451">
        <v>41187</v>
      </c>
      <c r="EF1228" s="62">
        <v>169.39</v>
      </c>
      <c r="EG1228" s="62">
        <v>1460.9300539999999</v>
      </c>
      <c r="FU1228" s="451"/>
    </row>
    <row r="1229" spans="135:177" x14ac:dyDescent="0.35">
      <c r="EE1229" s="451">
        <v>41186</v>
      </c>
      <c r="EF1229" s="62">
        <v>173.1</v>
      </c>
      <c r="EG1229" s="62">
        <v>1461.400024</v>
      </c>
      <c r="FU1229" s="451"/>
    </row>
    <row r="1230" spans="135:177" x14ac:dyDescent="0.35">
      <c r="EE1230" s="451">
        <v>41185</v>
      </c>
      <c r="EF1230" s="62">
        <v>173.09</v>
      </c>
      <c r="EG1230" s="62">
        <v>1450.98999</v>
      </c>
      <c r="FU1230" s="451"/>
    </row>
    <row r="1231" spans="135:177" x14ac:dyDescent="0.35">
      <c r="EE1231" s="451">
        <v>41184</v>
      </c>
      <c r="EF1231" s="62">
        <v>172.61</v>
      </c>
      <c r="EG1231" s="62">
        <v>1445.75</v>
      </c>
      <c r="FU1231" s="451"/>
    </row>
    <row r="1232" spans="135:177" x14ac:dyDescent="0.35">
      <c r="EE1232" s="451">
        <v>41183</v>
      </c>
      <c r="EF1232" s="62">
        <v>171.41</v>
      </c>
      <c r="EG1232" s="62">
        <v>1444.48999</v>
      </c>
      <c r="FU1232" s="451"/>
    </row>
    <row r="1233" spans="135:177" x14ac:dyDescent="0.35">
      <c r="EE1233" s="451">
        <v>41180</v>
      </c>
      <c r="EF1233" s="62">
        <v>170.89</v>
      </c>
      <c r="EG1233" s="62">
        <v>1440.670044</v>
      </c>
      <c r="FU1233" s="451"/>
    </row>
    <row r="1234" spans="135:177" x14ac:dyDescent="0.35">
      <c r="EE1234" s="451">
        <v>41179</v>
      </c>
      <c r="EF1234" s="62">
        <v>170.44</v>
      </c>
      <c r="EG1234" s="62">
        <v>1447.150024</v>
      </c>
      <c r="FU1234" s="451"/>
    </row>
    <row r="1235" spans="135:177" x14ac:dyDescent="0.35">
      <c r="EE1235" s="451">
        <v>41178</v>
      </c>
      <c r="EF1235" s="62">
        <v>169.03</v>
      </c>
      <c r="EG1235" s="62">
        <v>1433.3199460000001</v>
      </c>
      <c r="FU1235" s="451"/>
    </row>
    <row r="1236" spans="135:177" x14ac:dyDescent="0.35">
      <c r="EE1236" s="451">
        <v>41177</v>
      </c>
      <c r="EF1236" s="62">
        <v>171.37</v>
      </c>
      <c r="EG1236" s="62">
        <v>1441.589966</v>
      </c>
      <c r="FU1236" s="451"/>
    </row>
    <row r="1237" spans="135:177" x14ac:dyDescent="0.35">
      <c r="EE1237" s="451">
        <v>41176</v>
      </c>
      <c r="EF1237" s="62">
        <v>172.85</v>
      </c>
      <c r="EG1237" s="62">
        <v>1456.8900149999999</v>
      </c>
      <c r="FU1237" s="451"/>
    </row>
    <row r="1238" spans="135:177" x14ac:dyDescent="0.35">
      <c r="EE1238" s="451">
        <v>41173</v>
      </c>
      <c r="EF1238" s="62">
        <v>170.09</v>
      </c>
      <c r="EG1238" s="62">
        <v>1460.150024</v>
      </c>
      <c r="FU1238" s="451"/>
    </row>
    <row r="1239" spans="135:177" x14ac:dyDescent="0.35">
      <c r="EE1239" s="451">
        <v>41172</v>
      </c>
      <c r="EF1239" s="62">
        <v>172.44</v>
      </c>
      <c r="EG1239" s="62">
        <v>1460.26001</v>
      </c>
      <c r="FU1239" s="451"/>
    </row>
    <row r="1240" spans="135:177" x14ac:dyDescent="0.35">
      <c r="EE1240" s="451">
        <v>41171</v>
      </c>
      <c r="EF1240" s="62">
        <v>172.18</v>
      </c>
      <c r="EG1240" s="62">
        <v>1461.0500489999999</v>
      </c>
      <c r="FU1240" s="451"/>
    </row>
    <row r="1241" spans="135:177" x14ac:dyDescent="0.35">
      <c r="EE1241" s="451">
        <v>41170</v>
      </c>
      <c r="EF1241" s="62">
        <v>171.38</v>
      </c>
      <c r="EG1241" s="62">
        <v>1459.3199460000001</v>
      </c>
      <c r="FU1241" s="451"/>
    </row>
    <row r="1242" spans="135:177" x14ac:dyDescent="0.35">
      <c r="EE1242" s="451">
        <v>41169</v>
      </c>
      <c r="EF1242" s="62">
        <v>172.81</v>
      </c>
      <c r="EG1242" s="62">
        <v>1461.1899410000001</v>
      </c>
      <c r="FU1242" s="451"/>
    </row>
    <row r="1243" spans="135:177" x14ac:dyDescent="0.35">
      <c r="EE1243" s="451">
        <v>41166</v>
      </c>
      <c r="EF1243" s="62">
        <v>170.49</v>
      </c>
      <c r="EG1243" s="62">
        <v>1465.7700199999999</v>
      </c>
      <c r="FU1243" s="451"/>
    </row>
    <row r="1244" spans="135:177" x14ac:dyDescent="0.35">
      <c r="EE1244" s="451">
        <v>41165</v>
      </c>
      <c r="EF1244" s="62">
        <v>168.18</v>
      </c>
      <c r="EG1244" s="62">
        <v>1459.98999</v>
      </c>
      <c r="FU1244" s="451"/>
    </row>
    <row r="1245" spans="135:177" x14ac:dyDescent="0.35">
      <c r="EE1245" s="451">
        <v>41164</v>
      </c>
      <c r="EF1245" s="62">
        <v>166.53</v>
      </c>
      <c r="EG1245" s="62">
        <v>1436.5600589999999</v>
      </c>
      <c r="FU1245" s="451"/>
    </row>
    <row r="1246" spans="135:177" x14ac:dyDescent="0.35">
      <c r="EE1246" s="451">
        <v>41163</v>
      </c>
      <c r="EF1246" s="62">
        <v>159.49</v>
      </c>
      <c r="EG1246" s="62">
        <v>1433.5600589999999</v>
      </c>
      <c r="FU1246" s="451"/>
    </row>
    <row r="1247" spans="135:177" x14ac:dyDescent="0.35">
      <c r="EE1247" s="451">
        <v>41162</v>
      </c>
      <c r="EF1247" s="62">
        <v>159.54</v>
      </c>
      <c r="EG1247" s="62">
        <v>1429.079956</v>
      </c>
      <c r="FU1247" s="451"/>
    </row>
    <row r="1248" spans="135:177" x14ac:dyDescent="0.35">
      <c r="EE1248" s="451">
        <v>41159</v>
      </c>
      <c r="EF1248" s="62">
        <v>157.38999999999999</v>
      </c>
      <c r="EG1248" s="62">
        <v>1437.920044</v>
      </c>
      <c r="FU1248" s="451"/>
    </row>
    <row r="1249" spans="135:177" x14ac:dyDescent="0.35">
      <c r="EE1249" s="451">
        <v>41158</v>
      </c>
      <c r="EF1249" s="62">
        <v>155.36000000000001</v>
      </c>
      <c r="EG1249" s="62">
        <v>1432.119995</v>
      </c>
      <c r="FU1249" s="451"/>
    </row>
    <row r="1250" spans="135:177" x14ac:dyDescent="0.35">
      <c r="EE1250" s="451">
        <v>41157</v>
      </c>
      <c r="EF1250" s="62">
        <v>153</v>
      </c>
      <c r="EG1250" s="62">
        <v>1403.4399410000001</v>
      </c>
      <c r="FU1250" s="451"/>
    </row>
    <row r="1251" spans="135:177" x14ac:dyDescent="0.35">
      <c r="EE1251" s="451">
        <v>41156</v>
      </c>
      <c r="EF1251" s="62">
        <v>154.76</v>
      </c>
      <c r="EG1251" s="62">
        <v>1404.9399410000001</v>
      </c>
      <c r="FU1251" s="451"/>
    </row>
    <row r="1252" spans="135:177" x14ac:dyDescent="0.35">
      <c r="EE1252" s="451">
        <v>41152</v>
      </c>
      <c r="EF1252" s="62">
        <v>154.9</v>
      </c>
      <c r="EG1252" s="62">
        <v>1406.579956</v>
      </c>
      <c r="FU1252" s="451"/>
    </row>
    <row r="1253" spans="135:177" x14ac:dyDescent="0.35">
      <c r="EE1253" s="451">
        <v>41151</v>
      </c>
      <c r="EF1253" s="62">
        <v>157.06</v>
      </c>
      <c r="EG1253" s="62">
        <v>1399.4799800000001</v>
      </c>
      <c r="FU1253" s="451"/>
    </row>
    <row r="1254" spans="135:177" x14ac:dyDescent="0.35">
      <c r="EE1254" s="451">
        <v>41150</v>
      </c>
      <c r="EF1254" s="62">
        <v>157.57</v>
      </c>
      <c r="EG1254" s="62">
        <v>1410.48999</v>
      </c>
      <c r="FU1254" s="451"/>
    </row>
    <row r="1255" spans="135:177" x14ac:dyDescent="0.35">
      <c r="EE1255" s="451">
        <v>41149</v>
      </c>
      <c r="EF1255" s="62">
        <v>156.53</v>
      </c>
      <c r="EG1255" s="62">
        <v>1409.3000489999999</v>
      </c>
      <c r="FU1255" s="451"/>
    </row>
    <row r="1256" spans="135:177" x14ac:dyDescent="0.35">
      <c r="EE1256" s="451">
        <v>41148</v>
      </c>
      <c r="EF1256" s="62">
        <v>154.54</v>
      </c>
      <c r="EG1256" s="62">
        <v>1410.4399410000001</v>
      </c>
      <c r="FU1256" s="451"/>
    </row>
    <row r="1257" spans="135:177" x14ac:dyDescent="0.35">
      <c r="EE1257" s="451">
        <v>41145</v>
      </c>
      <c r="EF1257" s="62">
        <v>154.06</v>
      </c>
      <c r="EG1257" s="62">
        <v>1411.130005</v>
      </c>
      <c r="FU1257" s="451"/>
    </row>
    <row r="1258" spans="135:177" x14ac:dyDescent="0.35">
      <c r="EE1258" s="451">
        <v>41144</v>
      </c>
      <c r="EF1258" s="62">
        <v>152.41999999999999</v>
      </c>
      <c r="EG1258" s="62">
        <v>1402.079956</v>
      </c>
      <c r="FU1258" s="451"/>
    </row>
    <row r="1259" spans="135:177" x14ac:dyDescent="0.35">
      <c r="EE1259" s="451">
        <v>41143</v>
      </c>
      <c r="EF1259" s="62">
        <v>154.1</v>
      </c>
      <c r="EG1259" s="62">
        <v>1413.48999</v>
      </c>
      <c r="FU1259" s="451"/>
    </row>
    <row r="1260" spans="135:177" x14ac:dyDescent="0.35">
      <c r="EE1260" s="451">
        <v>41142</v>
      </c>
      <c r="EF1260" s="62">
        <v>154.37</v>
      </c>
      <c r="EG1260" s="62">
        <v>1413.170044</v>
      </c>
      <c r="FU1260" s="451"/>
    </row>
    <row r="1261" spans="135:177" x14ac:dyDescent="0.35">
      <c r="EE1261" s="451">
        <v>41141</v>
      </c>
      <c r="EF1261" s="62">
        <v>156.33000000000001</v>
      </c>
      <c r="EG1261" s="62">
        <v>1418.130005</v>
      </c>
      <c r="FU1261" s="451"/>
    </row>
    <row r="1262" spans="135:177" x14ac:dyDescent="0.35">
      <c r="EE1262" s="451">
        <v>41138</v>
      </c>
      <c r="EF1262" s="62">
        <v>156.94999999999999</v>
      </c>
      <c r="EG1262" s="62">
        <v>1418.160034</v>
      </c>
      <c r="FU1262" s="451"/>
    </row>
    <row r="1263" spans="135:177" x14ac:dyDescent="0.35">
      <c r="EE1263" s="451">
        <v>41137</v>
      </c>
      <c r="EF1263" s="62">
        <v>156.1</v>
      </c>
      <c r="EG1263" s="62">
        <v>1415.51001</v>
      </c>
      <c r="FU1263" s="451"/>
    </row>
    <row r="1264" spans="135:177" x14ac:dyDescent="0.35">
      <c r="EE1264" s="451">
        <v>41136</v>
      </c>
      <c r="EF1264" s="62">
        <v>156.02000000000001</v>
      </c>
      <c r="EG1264" s="62">
        <v>1405.530029</v>
      </c>
      <c r="FU1264" s="451"/>
    </row>
    <row r="1265" spans="135:177" x14ac:dyDescent="0.35">
      <c r="EE1265" s="451">
        <v>41135</v>
      </c>
      <c r="EF1265" s="62">
        <v>154.62</v>
      </c>
      <c r="EG1265" s="62">
        <v>1403.9300539999999</v>
      </c>
      <c r="FU1265" s="451"/>
    </row>
    <row r="1266" spans="135:177" x14ac:dyDescent="0.35">
      <c r="EE1266" s="451">
        <v>41134</v>
      </c>
      <c r="EF1266" s="62">
        <v>154.49</v>
      </c>
      <c r="EG1266" s="62">
        <v>1404.1099850000001</v>
      </c>
      <c r="FU1266" s="451"/>
    </row>
    <row r="1267" spans="135:177" x14ac:dyDescent="0.35">
      <c r="EE1267" s="451">
        <v>41131</v>
      </c>
      <c r="EF1267" s="62">
        <v>156.28</v>
      </c>
      <c r="EG1267" s="62">
        <v>1405.869995</v>
      </c>
      <c r="FU1267" s="451"/>
    </row>
    <row r="1268" spans="135:177" x14ac:dyDescent="0.35">
      <c r="EE1268" s="451">
        <v>41130</v>
      </c>
      <c r="EF1268" s="62">
        <v>156.56</v>
      </c>
      <c r="EG1268" s="62">
        <v>1402.8000489999999</v>
      </c>
      <c r="FU1268" s="451"/>
    </row>
    <row r="1269" spans="135:177" x14ac:dyDescent="0.35">
      <c r="EE1269" s="451">
        <v>41129</v>
      </c>
      <c r="EF1269" s="62">
        <v>156.6</v>
      </c>
      <c r="EG1269" s="62">
        <v>1402.219971</v>
      </c>
      <c r="FU1269" s="451"/>
    </row>
    <row r="1270" spans="135:177" x14ac:dyDescent="0.35">
      <c r="EE1270" s="451">
        <v>41128</v>
      </c>
      <c r="EF1270" s="62">
        <v>157.04</v>
      </c>
      <c r="EG1270" s="62">
        <v>1401.349976</v>
      </c>
      <c r="FU1270" s="451"/>
    </row>
    <row r="1271" spans="135:177" x14ac:dyDescent="0.35">
      <c r="EE1271" s="451">
        <v>41127</v>
      </c>
      <c r="EF1271" s="62">
        <v>154.75</v>
      </c>
      <c r="EG1271" s="62">
        <v>1394.2299800000001</v>
      </c>
      <c r="FU1271" s="451"/>
    </row>
    <row r="1272" spans="135:177" x14ac:dyDescent="0.35">
      <c r="EE1272" s="451">
        <v>41124</v>
      </c>
      <c r="EF1272" s="62">
        <v>155.97</v>
      </c>
      <c r="EG1272" s="62">
        <v>1390.98999</v>
      </c>
      <c r="FU1272" s="451"/>
    </row>
    <row r="1273" spans="135:177" x14ac:dyDescent="0.35">
      <c r="EE1273" s="451">
        <v>41123</v>
      </c>
      <c r="EF1273" s="62">
        <v>155.05000000000001</v>
      </c>
      <c r="EG1273" s="62">
        <v>1365</v>
      </c>
      <c r="FU1273" s="451"/>
    </row>
    <row r="1274" spans="135:177" x14ac:dyDescent="0.35">
      <c r="EE1274" s="451">
        <v>41122</v>
      </c>
      <c r="EF1274" s="62">
        <v>154.21</v>
      </c>
      <c r="EG1274" s="62">
        <v>1375.3199460000001</v>
      </c>
      <c r="FU1274" s="451"/>
    </row>
    <row r="1275" spans="135:177" x14ac:dyDescent="0.35">
      <c r="EE1275" s="451">
        <v>41121</v>
      </c>
      <c r="EF1275" s="62">
        <v>157.49</v>
      </c>
      <c r="EG1275" s="62">
        <v>1379.3199460000001</v>
      </c>
      <c r="FU1275" s="451"/>
    </row>
    <row r="1276" spans="135:177" x14ac:dyDescent="0.35">
      <c r="EE1276" s="451">
        <v>41120</v>
      </c>
      <c r="EF1276" s="62">
        <v>159.87</v>
      </c>
      <c r="EG1276" s="62">
        <v>1385.3000489999999</v>
      </c>
      <c r="FU1276" s="451"/>
    </row>
    <row r="1277" spans="135:177" x14ac:dyDescent="0.35">
      <c r="EE1277" s="451">
        <v>41117</v>
      </c>
      <c r="EF1277" s="62">
        <v>161.75</v>
      </c>
      <c r="EG1277" s="62">
        <v>1385.969971</v>
      </c>
      <c r="FU1277" s="451"/>
    </row>
    <row r="1278" spans="135:177" x14ac:dyDescent="0.35">
      <c r="EE1278" s="451">
        <v>41116</v>
      </c>
      <c r="EF1278" s="62">
        <v>156.96</v>
      </c>
      <c r="EG1278" s="62">
        <v>1360.0200199999999</v>
      </c>
      <c r="FU1278" s="451"/>
    </row>
    <row r="1279" spans="135:177" x14ac:dyDescent="0.35">
      <c r="EE1279" s="451">
        <v>41115</v>
      </c>
      <c r="EF1279" s="62">
        <v>153.36000000000001</v>
      </c>
      <c r="EG1279" s="62">
        <v>1337.8900149999999</v>
      </c>
      <c r="FU1279" s="451"/>
    </row>
    <row r="1280" spans="135:177" x14ac:dyDescent="0.35">
      <c r="EE1280" s="451">
        <v>41114</v>
      </c>
      <c r="EF1280" s="62">
        <v>141.91</v>
      </c>
      <c r="EG1280" s="62">
        <v>1338.3100589999999</v>
      </c>
      <c r="FU1280" s="451"/>
    </row>
    <row r="1281" spans="135:177" x14ac:dyDescent="0.35">
      <c r="EE1281" s="451">
        <v>41113</v>
      </c>
      <c r="EF1281" s="62">
        <v>142.72</v>
      </c>
      <c r="EG1281" s="62">
        <v>1350.5200199999999</v>
      </c>
      <c r="FU1281" s="451"/>
    </row>
    <row r="1282" spans="135:177" x14ac:dyDescent="0.35">
      <c r="EE1282" s="451">
        <v>41110</v>
      </c>
      <c r="EF1282" s="62">
        <v>144.97</v>
      </c>
      <c r="EG1282" s="62">
        <v>1362.660034</v>
      </c>
      <c r="FU1282" s="451"/>
    </row>
    <row r="1283" spans="135:177" x14ac:dyDescent="0.35">
      <c r="EE1283" s="451">
        <v>41109</v>
      </c>
      <c r="EF1283" s="62">
        <v>150.69</v>
      </c>
      <c r="EG1283" s="62">
        <v>1376.51001</v>
      </c>
      <c r="FU1283" s="451"/>
    </row>
    <row r="1284" spans="135:177" x14ac:dyDescent="0.35">
      <c r="EE1284" s="451">
        <v>41108</v>
      </c>
      <c r="EF1284" s="62">
        <v>150.58000000000001</v>
      </c>
      <c r="EG1284" s="62">
        <v>1372.780029</v>
      </c>
      <c r="FU1284" s="451"/>
    </row>
    <row r="1285" spans="135:177" x14ac:dyDescent="0.35">
      <c r="EE1285" s="451">
        <v>41107</v>
      </c>
      <c r="EF1285" s="62">
        <v>147.44999999999999</v>
      </c>
      <c r="EG1285" s="62">
        <v>1363.670044</v>
      </c>
      <c r="FU1285" s="451"/>
    </row>
    <row r="1286" spans="135:177" x14ac:dyDescent="0.35">
      <c r="EE1286" s="451">
        <v>41106</v>
      </c>
      <c r="EF1286" s="62">
        <v>144.91</v>
      </c>
      <c r="EG1286" s="62">
        <v>1353.6400149999999</v>
      </c>
      <c r="FU1286" s="451"/>
    </row>
    <row r="1287" spans="135:177" x14ac:dyDescent="0.35">
      <c r="EE1287" s="451">
        <v>41103</v>
      </c>
      <c r="EF1287" s="62">
        <v>147.31</v>
      </c>
      <c r="EG1287" s="62">
        <v>1356.780029</v>
      </c>
      <c r="FU1287" s="451"/>
    </row>
    <row r="1288" spans="135:177" x14ac:dyDescent="0.35">
      <c r="EE1288" s="451">
        <v>41102</v>
      </c>
      <c r="EF1288" s="62">
        <v>143.62</v>
      </c>
      <c r="EG1288" s="62">
        <v>1334.76001</v>
      </c>
      <c r="FU1288" s="451"/>
    </row>
    <row r="1289" spans="135:177" x14ac:dyDescent="0.35">
      <c r="EE1289" s="451">
        <v>41101</v>
      </c>
      <c r="EF1289" s="62">
        <v>143.05000000000001</v>
      </c>
      <c r="EG1289" s="62">
        <v>1341.4499510000001</v>
      </c>
      <c r="FU1289" s="451"/>
    </row>
    <row r="1290" spans="135:177" x14ac:dyDescent="0.35">
      <c r="EE1290" s="451">
        <v>41100</v>
      </c>
      <c r="EF1290" s="62">
        <v>145.56</v>
      </c>
      <c r="EG1290" s="62">
        <v>1341.469971</v>
      </c>
      <c r="FU1290" s="451"/>
    </row>
    <row r="1291" spans="135:177" x14ac:dyDescent="0.35">
      <c r="EE1291" s="451">
        <v>41099</v>
      </c>
      <c r="EF1291" s="62">
        <v>144.87</v>
      </c>
      <c r="EG1291" s="62">
        <v>1352.459961</v>
      </c>
      <c r="FU1291" s="451"/>
    </row>
    <row r="1292" spans="135:177" x14ac:dyDescent="0.35">
      <c r="EE1292" s="451">
        <v>41096</v>
      </c>
      <c r="EF1292" s="62">
        <v>142.27000000000001</v>
      </c>
      <c r="EG1292" s="62">
        <v>1354.6800539999999</v>
      </c>
      <c r="FU1292" s="451"/>
    </row>
    <row r="1293" spans="135:177" x14ac:dyDescent="0.35">
      <c r="EE1293" s="451">
        <v>41095</v>
      </c>
      <c r="EF1293" s="62">
        <v>139.77000000000001</v>
      </c>
      <c r="EG1293" s="62">
        <v>1367.579956</v>
      </c>
      <c r="FU1293" s="451"/>
    </row>
    <row r="1294" spans="135:177" x14ac:dyDescent="0.35">
      <c r="EE1294" s="451">
        <v>41093</v>
      </c>
      <c r="EF1294" s="62">
        <v>138.71</v>
      </c>
      <c r="EG1294" s="62">
        <v>1374.0200199999999</v>
      </c>
      <c r="FU1294" s="451"/>
    </row>
    <row r="1295" spans="135:177" x14ac:dyDescent="0.35">
      <c r="EE1295" s="451">
        <v>41092</v>
      </c>
      <c r="EF1295" s="62">
        <v>137.54</v>
      </c>
      <c r="EG1295" s="62">
        <v>1365.51001</v>
      </c>
      <c r="FU1295" s="451"/>
    </row>
    <row r="1296" spans="135:177" x14ac:dyDescent="0.35">
      <c r="EE1296" s="451">
        <v>41089</v>
      </c>
      <c r="EF1296" s="62">
        <v>139.44</v>
      </c>
      <c r="EG1296" s="62">
        <v>1362.160034</v>
      </c>
      <c r="FU1296" s="451"/>
    </row>
    <row r="1297" spans="135:177" x14ac:dyDescent="0.35">
      <c r="EE1297" s="451">
        <v>41088</v>
      </c>
      <c r="EF1297" s="62">
        <v>136.44999999999999</v>
      </c>
      <c r="EG1297" s="62">
        <v>1329.040039</v>
      </c>
      <c r="FU1297" s="451"/>
    </row>
    <row r="1298" spans="135:177" x14ac:dyDescent="0.35">
      <c r="EE1298" s="451">
        <v>41087</v>
      </c>
      <c r="EF1298" s="62">
        <v>139.44</v>
      </c>
      <c r="EG1298" s="62">
        <v>1331.849976</v>
      </c>
      <c r="FU1298" s="451"/>
    </row>
    <row r="1299" spans="135:177" x14ac:dyDescent="0.35">
      <c r="EE1299" s="451">
        <v>41086</v>
      </c>
      <c r="EF1299" s="62">
        <v>143.47999999999999</v>
      </c>
      <c r="EG1299" s="62">
        <v>1319.98999</v>
      </c>
      <c r="FU1299" s="451"/>
    </row>
    <row r="1300" spans="135:177" x14ac:dyDescent="0.35">
      <c r="EE1300" s="451">
        <v>41085</v>
      </c>
      <c r="EF1300" s="62">
        <v>143.46</v>
      </c>
      <c r="EG1300" s="62">
        <v>1313.719971</v>
      </c>
      <c r="FU1300" s="451"/>
    </row>
    <row r="1301" spans="135:177" x14ac:dyDescent="0.35">
      <c r="EE1301" s="451">
        <v>41082</v>
      </c>
      <c r="EF1301" s="62">
        <v>146.09</v>
      </c>
      <c r="EG1301" s="62">
        <v>1335.0200199999999</v>
      </c>
      <c r="FU1301" s="451"/>
    </row>
    <row r="1302" spans="135:177" x14ac:dyDescent="0.35">
      <c r="EE1302" s="451">
        <v>41081</v>
      </c>
      <c r="EF1302" s="62">
        <v>146.87</v>
      </c>
      <c r="EG1302" s="62">
        <v>1325.51001</v>
      </c>
      <c r="FU1302" s="451"/>
    </row>
    <row r="1303" spans="135:177" x14ac:dyDescent="0.35">
      <c r="EE1303" s="451">
        <v>41080</v>
      </c>
      <c r="EF1303" s="62">
        <v>152.33000000000001</v>
      </c>
      <c r="EG1303" s="62">
        <v>1355.6899410000001</v>
      </c>
      <c r="FU1303" s="451"/>
    </row>
    <row r="1304" spans="135:177" x14ac:dyDescent="0.35">
      <c r="EE1304" s="451">
        <v>41079</v>
      </c>
      <c r="EF1304" s="62">
        <v>150.82</v>
      </c>
      <c r="EG1304" s="62">
        <v>1357.9799800000001</v>
      </c>
      <c r="FU1304" s="451"/>
    </row>
    <row r="1305" spans="135:177" x14ac:dyDescent="0.35">
      <c r="EE1305" s="451">
        <v>41078</v>
      </c>
      <c r="EF1305" s="62">
        <v>148.44</v>
      </c>
      <c r="EG1305" s="62">
        <v>1344.780029</v>
      </c>
      <c r="FU1305" s="451"/>
    </row>
    <row r="1306" spans="135:177" x14ac:dyDescent="0.35">
      <c r="EE1306" s="451">
        <v>41075</v>
      </c>
      <c r="EF1306" s="62">
        <v>147.41999999999999</v>
      </c>
      <c r="EG1306" s="62">
        <v>1342.839966</v>
      </c>
      <c r="FU1306" s="451"/>
    </row>
    <row r="1307" spans="135:177" x14ac:dyDescent="0.35">
      <c r="EE1307" s="451">
        <v>41074</v>
      </c>
      <c r="EF1307" s="62">
        <v>142.82</v>
      </c>
      <c r="EG1307" s="62">
        <v>1329.099976</v>
      </c>
      <c r="FU1307" s="451"/>
    </row>
    <row r="1308" spans="135:177" x14ac:dyDescent="0.35">
      <c r="EE1308" s="451">
        <v>41073</v>
      </c>
      <c r="EF1308" s="62">
        <v>140.19</v>
      </c>
      <c r="EG1308" s="62">
        <v>1314.880005</v>
      </c>
      <c r="FU1308" s="451"/>
    </row>
    <row r="1309" spans="135:177" x14ac:dyDescent="0.35">
      <c r="EE1309" s="451">
        <v>41072</v>
      </c>
      <c r="EF1309" s="62">
        <v>144.51</v>
      </c>
      <c r="EG1309" s="62">
        <v>1324.1800539999999</v>
      </c>
      <c r="FU1309" s="451"/>
    </row>
    <row r="1310" spans="135:177" x14ac:dyDescent="0.35">
      <c r="EE1310" s="451">
        <v>41071</v>
      </c>
      <c r="EF1310" s="62">
        <v>144.1</v>
      </c>
      <c r="EG1310" s="62">
        <v>1308.9300539999999</v>
      </c>
      <c r="FU1310" s="451"/>
    </row>
    <row r="1311" spans="135:177" x14ac:dyDescent="0.35">
      <c r="EE1311" s="451">
        <v>41068</v>
      </c>
      <c r="EF1311" s="62">
        <v>145.86000000000001</v>
      </c>
      <c r="EG1311" s="62">
        <v>1325.660034</v>
      </c>
      <c r="FU1311" s="451"/>
    </row>
    <row r="1312" spans="135:177" x14ac:dyDescent="0.35">
      <c r="EE1312" s="451">
        <v>41067</v>
      </c>
      <c r="EF1312" s="62">
        <v>143.71</v>
      </c>
      <c r="EG1312" s="62">
        <v>1314.98999</v>
      </c>
      <c r="FU1312" s="451"/>
    </row>
    <row r="1313" spans="135:177" x14ac:dyDescent="0.35">
      <c r="EE1313" s="451">
        <v>41066</v>
      </c>
      <c r="EF1313" s="62">
        <v>143.72999999999999</v>
      </c>
      <c r="EG1313" s="62">
        <v>1315.130005</v>
      </c>
      <c r="FU1313" s="451"/>
    </row>
    <row r="1314" spans="135:177" x14ac:dyDescent="0.35">
      <c r="EE1314" s="451">
        <v>41065</v>
      </c>
      <c r="EF1314" s="62">
        <v>140.69</v>
      </c>
      <c r="EG1314" s="62">
        <v>1285.5</v>
      </c>
      <c r="FU1314" s="451"/>
    </row>
    <row r="1315" spans="135:177" x14ac:dyDescent="0.35">
      <c r="EE1315" s="451">
        <v>41064</v>
      </c>
      <c r="EF1315" s="62">
        <v>140.22</v>
      </c>
      <c r="EG1315" s="62">
        <v>1278.1800539999999</v>
      </c>
      <c r="FU1315" s="451"/>
    </row>
    <row r="1316" spans="135:177" x14ac:dyDescent="0.35">
      <c r="EE1316" s="451">
        <v>41061</v>
      </c>
      <c r="EF1316" s="62">
        <v>141.88999999999999</v>
      </c>
      <c r="EG1316" s="62">
        <v>1278.040039</v>
      </c>
      <c r="FU1316" s="451"/>
    </row>
    <row r="1317" spans="135:177" x14ac:dyDescent="0.35">
      <c r="EE1317" s="451">
        <v>41060</v>
      </c>
      <c r="EF1317" s="62">
        <v>146.94999999999999</v>
      </c>
      <c r="EG1317" s="62">
        <v>1310.329956</v>
      </c>
      <c r="FU1317" s="451"/>
    </row>
    <row r="1318" spans="135:177" x14ac:dyDescent="0.35">
      <c r="EE1318" s="451">
        <v>41059</v>
      </c>
      <c r="EF1318" s="62">
        <v>147.86000000000001</v>
      </c>
      <c r="EG1318" s="62">
        <v>1313.3199460000001</v>
      </c>
      <c r="FU1318" s="451"/>
    </row>
    <row r="1319" spans="135:177" x14ac:dyDescent="0.35">
      <c r="EE1319" s="451">
        <v>41058</v>
      </c>
      <c r="EF1319" s="62">
        <v>149.44999999999999</v>
      </c>
      <c r="EG1319" s="62">
        <v>1332.420044</v>
      </c>
      <c r="FU1319" s="451"/>
    </row>
    <row r="1320" spans="135:177" x14ac:dyDescent="0.35">
      <c r="EE1320" s="451">
        <v>41054</v>
      </c>
      <c r="EF1320" s="62">
        <v>147.11000000000001</v>
      </c>
      <c r="EG1320" s="62">
        <v>1317.8199460000001</v>
      </c>
      <c r="FU1320" s="451"/>
    </row>
    <row r="1321" spans="135:177" x14ac:dyDescent="0.35">
      <c r="EE1321" s="451">
        <v>41053</v>
      </c>
      <c r="EF1321" s="62">
        <v>147.19</v>
      </c>
      <c r="EG1321" s="62">
        <v>1320.6800539999999</v>
      </c>
      <c r="FU1321" s="451"/>
    </row>
    <row r="1322" spans="135:177" x14ac:dyDescent="0.35">
      <c r="EE1322" s="451">
        <v>41052</v>
      </c>
      <c r="EF1322" s="62">
        <v>146.76</v>
      </c>
      <c r="EG1322" s="62">
        <v>1318.8599850000001</v>
      </c>
      <c r="FU1322" s="451"/>
    </row>
    <row r="1323" spans="135:177" x14ac:dyDescent="0.35">
      <c r="EE1323" s="451">
        <v>41051</v>
      </c>
      <c r="EF1323" s="62">
        <v>145.54</v>
      </c>
      <c r="EG1323" s="62">
        <v>1316.630005</v>
      </c>
      <c r="FU1323" s="451"/>
    </row>
    <row r="1324" spans="135:177" x14ac:dyDescent="0.35">
      <c r="EE1324" s="451">
        <v>41050</v>
      </c>
      <c r="EF1324" s="62">
        <v>143.94</v>
      </c>
      <c r="EG1324" s="62">
        <v>1315.98999</v>
      </c>
      <c r="FU1324" s="451"/>
    </row>
    <row r="1325" spans="135:177" x14ac:dyDescent="0.35">
      <c r="EE1325" s="451">
        <v>41047</v>
      </c>
      <c r="EF1325" s="62">
        <v>143.25</v>
      </c>
      <c r="EG1325" s="62">
        <v>1295.219971</v>
      </c>
      <c r="FU1325" s="451"/>
    </row>
    <row r="1326" spans="135:177" x14ac:dyDescent="0.35">
      <c r="EE1326" s="451">
        <v>41046</v>
      </c>
      <c r="EF1326" s="62">
        <v>145.61000000000001</v>
      </c>
      <c r="EG1326" s="62">
        <v>1304.8599850000001</v>
      </c>
      <c r="FU1326" s="451"/>
    </row>
    <row r="1327" spans="135:177" x14ac:dyDescent="0.35">
      <c r="EE1327" s="451">
        <v>41045</v>
      </c>
      <c r="EF1327" s="62">
        <v>152.56</v>
      </c>
      <c r="EG1327" s="62">
        <v>1324.8000489999999</v>
      </c>
      <c r="FU1327" s="451"/>
    </row>
    <row r="1328" spans="135:177" x14ac:dyDescent="0.35">
      <c r="EE1328" s="451">
        <v>41044</v>
      </c>
      <c r="EF1328" s="62">
        <v>152.07</v>
      </c>
      <c r="EG1328" s="62">
        <v>1330.660034</v>
      </c>
      <c r="FU1328" s="451"/>
    </row>
    <row r="1329" spans="135:177" x14ac:dyDescent="0.35">
      <c r="EE1329" s="451">
        <v>41043</v>
      </c>
      <c r="EF1329" s="62">
        <v>151.63</v>
      </c>
      <c r="EG1329" s="62">
        <v>1338.349976</v>
      </c>
      <c r="FU1329" s="451"/>
    </row>
    <row r="1330" spans="135:177" x14ac:dyDescent="0.35">
      <c r="EE1330" s="451">
        <v>41040</v>
      </c>
      <c r="EF1330" s="62">
        <v>155.78</v>
      </c>
      <c r="EG1330" s="62">
        <v>1353.3900149999999</v>
      </c>
      <c r="FU1330" s="451"/>
    </row>
    <row r="1331" spans="135:177" x14ac:dyDescent="0.35">
      <c r="EE1331" s="451">
        <v>41039</v>
      </c>
      <c r="EF1331" s="62">
        <v>155.38</v>
      </c>
      <c r="EG1331" s="62">
        <v>1357.98999</v>
      </c>
      <c r="FU1331" s="451"/>
    </row>
    <row r="1332" spans="135:177" x14ac:dyDescent="0.35">
      <c r="EE1332" s="451">
        <v>41038</v>
      </c>
      <c r="EF1332" s="62">
        <v>153.82</v>
      </c>
      <c r="EG1332" s="62">
        <v>1354.579956</v>
      </c>
      <c r="FU1332" s="451"/>
    </row>
    <row r="1333" spans="135:177" x14ac:dyDescent="0.35">
      <c r="EE1333" s="451">
        <v>41037</v>
      </c>
      <c r="EF1333" s="62">
        <v>153.65</v>
      </c>
      <c r="EG1333" s="62">
        <v>1363.719971</v>
      </c>
      <c r="FU1333" s="451"/>
    </row>
    <row r="1334" spans="135:177" x14ac:dyDescent="0.35">
      <c r="EE1334" s="451">
        <v>41036</v>
      </c>
      <c r="EF1334" s="62">
        <v>158.25</v>
      </c>
      <c r="EG1334" s="62">
        <v>1369.579956</v>
      </c>
      <c r="FU1334" s="451"/>
    </row>
    <row r="1335" spans="135:177" x14ac:dyDescent="0.35">
      <c r="EE1335" s="451">
        <v>41033</v>
      </c>
      <c r="EF1335" s="62">
        <v>157.27000000000001</v>
      </c>
      <c r="EG1335" s="62">
        <v>1369.099976</v>
      </c>
      <c r="FU1335" s="451"/>
    </row>
    <row r="1336" spans="135:177" x14ac:dyDescent="0.35">
      <c r="EE1336" s="451">
        <v>41032</v>
      </c>
      <c r="EF1336" s="62">
        <v>158.38</v>
      </c>
      <c r="EG1336" s="62">
        <v>1391.5699460000001</v>
      </c>
      <c r="FU1336" s="451"/>
    </row>
    <row r="1337" spans="135:177" x14ac:dyDescent="0.35">
      <c r="EE1337" s="451">
        <v>41031</v>
      </c>
      <c r="EF1337" s="62">
        <v>160.52000000000001</v>
      </c>
      <c r="EG1337" s="62">
        <v>1402.3100589999999</v>
      </c>
      <c r="FU1337" s="451"/>
    </row>
    <row r="1338" spans="135:177" x14ac:dyDescent="0.35">
      <c r="EE1338" s="451">
        <v>41030</v>
      </c>
      <c r="EF1338" s="62">
        <v>158.99</v>
      </c>
      <c r="EG1338" s="62">
        <v>1405.8199460000001</v>
      </c>
      <c r="FU1338" s="451"/>
    </row>
    <row r="1339" spans="135:177" x14ac:dyDescent="0.35">
      <c r="EE1339" s="451">
        <v>41029</v>
      </c>
      <c r="EF1339" s="62">
        <v>157.91999999999999</v>
      </c>
      <c r="EG1339" s="62">
        <v>1397.910034</v>
      </c>
      <c r="FU1339" s="451"/>
    </row>
    <row r="1340" spans="135:177" x14ac:dyDescent="0.35">
      <c r="EE1340" s="451">
        <v>41026</v>
      </c>
      <c r="EF1340" s="62">
        <v>158.26</v>
      </c>
      <c r="EG1340" s="62">
        <v>1403.3599850000001</v>
      </c>
      <c r="FU1340" s="451"/>
    </row>
    <row r="1341" spans="135:177" x14ac:dyDescent="0.35">
      <c r="EE1341" s="451">
        <v>41025</v>
      </c>
      <c r="EF1341" s="62">
        <v>158.30000000000001</v>
      </c>
      <c r="EG1341" s="62">
        <v>1399.9799800000001</v>
      </c>
      <c r="FU1341" s="451"/>
    </row>
    <row r="1342" spans="135:177" x14ac:dyDescent="0.35">
      <c r="EE1342" s="451">
        <v>41024</v>
      </c>
      <c r="EF1342" s="62">
        <v>158.07</v>
      </c>
      <c r="EG1342" s="62">
        <v>1390.6899410000001</v>
      </c>
      <c r="FU1342" s="451"/>
    </row>
    <row r="1343" spans="135:177" x14ac:dyDescent="0.35">
      <c r="EE1343" s="451">
        <v>41023</v>
      </c>
      <c r="EF1343" s="62">
        <v>148.25</v>
      </c>
      <c r="EG1343" s="62">
        <v>1371.969971</v>
      </c>
      <c r="FU1343" s="451"/>
    </row>
    <row r="1344" spans="135:177" x14ac:dyDescent="0.35">
      <c r="EE1344" s="451">
        <v>41022</v>
      </c>
      <c r="EF1344" s="62">
        <v>149.18</v>
      </c>
      <c r="EG1344" s="62">
        <v>1366.9399410000001</v>
      </c>
      <c r="FU1344" s="451"/>
    </row>
    <row r="1345" spans="135:177" x14ac:dyDescent="0.35">
      <c r="EE1345" s="451">
        <v>41019</v>
      </c>
      <c r="EF1345" s="62">
        <v>150.27000000000001</v>
      </c>
      <c r="EG1345" s="62">
        <v>1378.530029</v>
      </c>
      <c r="FU1345" s="451"/>
    </row>
    <row r="1346" spans="135:177" x14ac:dyDescent="0.35">
      <c r="EE1346" s="451">
        <v>41018</v>
      </c>
      <c r="EF1346" s="62">
        <v>151.16</v>
      </c>
      <c r="EG1346" s="62">
        <v>1376.920044</v>
      </c>
      <c r="FU1346" s="451"/>
    </row>
    <row r="1347" spans="135:177" x14ac:dyDescent="0.35">
      <c r="EE1347" s="451">
        <v>41017</v>
      </c>
      <c r="EF1347" s="62">
        <v>156.78</v>
      </c>
      <c r="EG1347" s="62">
        <v>1385.1400149999999</v>
      </c>
      <c r="FU1347" s="451"/>
    </row>
    <row r="1348" spans="135:177" x14ac:dyDescent="0.35">
      <c r="EE1348" s="451">
        <v>41016</v>
      </c>
      <c r="EF1348" s="62">
        <v>160.29</v>
      </c>
      <c r="EG1348" s="62">
        <v>1390.780029</v>
      </c>
      <c r="FU1348" s="451"/>
    </row>
    <row r="1349" spans="135:177" x14ac:dyDescent="0.35">
      <c r="EE1349" s="451">
        <v>41015</v>
      </c>
      <c r="EF1349" s="62">
        <v>161.71</v>
      </c>
      <c r="EG1349" s="62">
        <v>1369.5699460000001</v>
      </c>
      <c r="FU1349" s="451"/>
    </row>
    <row r="1350" spans="135:177" x14ac:dyDescent="0.35">
      <c r="EE1350" s="451">
        <v>41012</v>
      </c>
      <c r="EF1350" s="62">
        <v>162.33000000000001</v>
      </c>
      <c r="EG1350" s="62">
        <v>1370.26001</v>
      </c>
      <c r="FU1350" s="451"/>
    </row>
    <row r="1351" spans="135:177" x14ac:dyDescent="0.35">
      <c r="EE1351" s="451">
        <v>41011</v>
      </c>
      <c r="EF1351" s="62">
        <v>161.9</v>
      </c>
      <c r="EG1351" s="62">
        <v>1387.5699460000001</v>
      </c>
      <c r="FU1351" s="451"/>
    </row>
    <row r="1352" spans="135:177" x14ac:dyDescent="0.35">
      <c r="EE1352" s="451">
        <v>41010</v>
      </c>
      <c r="EF1352" s="62">
        <v>160.55000000000001</v>
      </c>
      <c r="EG1352" s="62">
        <v>1368.709961</v>
      </c>
      <c r="FU1352" s="451"/>
    </row>
    <row r="1353" spans="135:177" x14ac:dyDescent="0.35">
      <c r="EE1353" s="451">
        <v>41009</v>
      </c>
      <c r="EF1353" s="62">
        <v>157.56</v>
      </c>
      <c r="EG1353" s="62">
        <v>1358.589966</v>
      </c>
      <c r="FU1353" s="451"/>
    </row>
    <row r="1354" spans="135:177" x14ac:dyDescent="0.35">
      <c r="EE1354" s="451">
        <v>41008</v>
      </c>
      <c r="EF1354" s="62">
        <v>160.72</v>
      </c>
      <c r="EG1354" s="62">
        <v>1382.1999510000001</v>
      </c>
      <c r="FU1354" s="451"/>
    </row>
    <row r="1355" spans="135:177" x14ac:dyDescent="0.35">
      <c r="EE1355" s="451">
        <v>41004</v>
      </c>
      <c r="EF1355" s="62">
        <v>160.99</v>
      </c>
      <c r="EG1355" s="62">
        <v>1398.079956</v>
      </c>
      <c r="FU1355" s="451"/>
    </row>
    <row r="1356" spans="135:177" x14ac:dyDescent="0.35">
      <c r="EE1356" s="451">
        <v>41003</v>
      </c>
      <c r="EF1356" s="62">
        <v>159.87</v>
      </c>
      <c r="EG1356" s="62">
        <v>1398.959961</v>
      </c>
      <c r="FU1356" s="451"/>
    </row>
    <row r="1357" spans="135:177" x14ac:dyDescent="0.35">
      <c r="EE1357" s="451">
        <v>41002</v>
      </c>
      <c r="EF1357" s="62">
        <v>162.24</v>
      </c>
      <c r="EG1357" s="62">
        <v>1413.380005</v>
      </c>
      <c r="FU1357" s="451"/>
    </row>
    <row r="1358" spans="135:177" x14ac:dyDescent="0.35">
      <c r="EE1358" s="451">
        <v>41001</v>
      </c>
      <c r="EF1358" s="62">
        <v>160.07</v>
      </c>
      <c r="EG1358" s="62">
        <v>1419.040039</v>
      </c>
      <c r="FU1358" s="451"/>
    </row>
    <row r="1359" spans="135:177" x14ac:dyDescent="0.35">
      <c r="EE1359" s="451">
        <v>40998</v>
      </c>
      <c r="EF1359" s="62">
        <v>160.91999999999999</v>
      </c>
      <c r="EG1359" s="62">
        <v>1408.469971</v>
      </c>
      <c r="FU1359" s="451"/>
    </row>
    <row r="1360" spans="135:177" x14ac:dyDescent="0.35">
      <c r="EE1360" s="451">
        <v>40997</v>
      </c>
      <c r="EF1360" s="62">
        <v>161.24</v>
      </c>
      <c r="EG1360" s="62">
        <v>1403.280029</v>
      </c>
      <c r="FU1360" s="451"/>
    </row>
    <row r="1361" spans="135:177" x14ac:dyDescent="0.35">
      <c r="EE1361" s="451">
        <v>40996</v>
      </c>
      <c r="EF1361" s="62">
        <v>161.4</v>
      </c>
      <c r="EG1361" s="62">
        <v>1405.540039</v>
      </c>
      <c r="FU1361" s="451"/>
    </row>
    <row r="1362" spans="135:177" x14ac:dyDescent="0.35">
      <c r="EE1362" s="451">
        <v>40995</v>
      </c>
      <c r="EF1362" s="62">
        <v>162.38999999999999</v>
      </c>
      <c r="EG1362" s="62">
        <v>1412.5200199999999</v>
      </c>
      <c r="FU1362" s="451"/>
    </row>
    <row r="1363" spans="135:177" x14ac:dyDescent="0.35">
      <c r="EE1363" s="451">
        <v>40994</v>
      </c>
      <c r="EF1363" s="62">
        <v>164.27</v>
      </c>
      <c r="EG1363" s="62">
        <v>1416.51001</v>
      </c>
      <c r="FU1363" s="451"/>
    </row>
    <row r="1364" spans="135:177" x14ac:dyDescent="0.35">
      <c r="EE1364" s="451">
        <v>40991</v>
      </c>
      <c r="EF1364" s="62">
        <v>160.72999999999999</v>
      </c>
      <c r="EG1364" s="62">
        <v>1397.1099850000001</v>
      </c>
      <c r="FU1364" s="451"/>
    </row>
    <row r="1365" spans="135:177" x14ac:dyDescent="0.35">
      <c r="EE1365" s="451">
        <v>40990</v>
      </c>
      <c r="EF1365" s="62">
        <v>161.85</v>
      </c>
      <c r="EG1365" s="62">
        <v>1392.780029</v>
      </c>
      <c r="FU1365" s="451"/>
    </row>
    <row r="1366" spans="135:177" x14ac:dyDescent="0.35">
      <c r="EE1366" s="451">
        <v>40989</v>
      </c>
      <c r="EF1366" s="62">
        <v>162.58000000000001</v>
      </c>
      <c r="EG1366" s="62">
        <v>1402.8900149999999</v>
      </c>
      <c r="FU1366" s="451"/>
    </row>
    <row r="1367" spans="135:177" x14ac:dyDescent="0.35">
      <c r="EE1367" s="451">
        <v>40988</v>
      </c>
      <c r="EF1367" s="62">
        <v>161.74</v>
      </c>
      <c r="EG1367" s="62">
        <v>1405.5200199999999</v>
      </c>
      <c r="FU1367" s="451"/>
    </row>
    <row r="1368" spans="135:177" x14ac:dyDescent="0.35">
      <c r="EE1368" s="451">
        <v>40987</v>
      </c>
      <c r="EF1368" s="62">
        <v>161.25</v>
      </c>
      <c r="EG1368" s="62">
        <v>1409.75</v>
      </c>
      <c r="FU1368" s="451"/>
    </row>
    <row r="1369" spans="135:177" x14ac:dyDescent="0.35">
      <c r="EE1369" s="451">
        <v>40984</v>
      </c>
      <c r="EF1369" s="62">
        <v>161.43</v>
      </c>
      <c r="EG1369" s="62">
        <v>1404.170044</v>
      </c>
      <c r="FU1369" s="451"/>
    </row>
    <row r="1370" spans="135:177" x14ac:dyDescent="0.35">
      <c r="EE1370" s="451">
        <v>40983</v>
      </c>
      <c r="EF1370" s="62">
        <v>164.71</v>
      </c>
      <c r="EG1370" s="62">
        <v>1402.599976</v>
      </c>
      <c r="FU1370" s="451"/>
    </row>
    <row r="1371" spans="135:177" x14ac:dyDescent="0.35">
      <c r="EE1371" s="451">
        <v>40982</v>
      </c>
      <c r="EF1371" s="62">
        <v>163.75</v>
      </c>
      <c r="EG1371" s="62">
        <v>1394.280029</v>
      </c>
      <c r="FU1371" s="451"/>
    </row>
    <row r="1372" spans="135:177" x14ac:dyDescent="0.35">
      <c r="EE1372" s="451">
        <v>40981</v>
      </c>
      <c r="EF1372" s="62">
        <v>164.44</v>
      </c>
      <c r="EG1372" s="62">
        <v>1395.9499510000001</v>
      </c>
      <c r="FU1372" s="451"/>
    </row>
    <row r="1373" spans="135:177" x14ac:dyDescent="0.35">
      <c r="EE1373" s="451">
        <v>40980</v>
      </c>
      <c r="EF1373" s="62">
        <v>160.53</v>
      </c>
      <c r="EG1373" s="62">
        <v>1371.089966</v>
      </c>
      <c r="FU1373" s="451"/>
    </row>
    <row r="1374" spans="135:177" x14ac:dyDescent="0.35">
      <c r="EE1374" s="451">
        <v>40977</v>
      </c>
      <c r="EF1374" s="62">
        <v>161.18</v>
      </c>
      <c r="EG1374" s="62">
        <v>1370.869995</v>
      </c>
      <c r="FU1374" s="451"/>
    </row>
    <row r="1375" spans="135:177" x14ac:dyDescent="0.35">
      <c r="EE1375" s="451">
        <v>40976</v>
      </c>
      <c r="EF1375" s="62">
        <v>159.01</v>
      </c>
      <c r="EG1375" s="62">
        <v>1365.910034</v>
      </c>
      <c r="FU1375" s="451"/>
    </row>
    <row r="1376" spans="135:177" x14ac:dyDescent="0.35">
      <c r="EE1376" s="451">
        <v>40975</v>
      </c>
      <c r="EF1376" s="62">
        <v>156.47</v>
      </c>
      <c r="EG1376" s="62">
        <v>1352.630005</v>
      </c>
      <c r="FU1376" s="451"/>
    </row>
    <row r="1377" spans="135:177" x14ac:dyDescent="0.35">
      <c r="EE1377" s="451">
        <v>40974</v>
      </c>
      <c r="EF1377" s="62">
        <v>154.19999999999999</v>
      </c>
      <c r="EG1377" s="62">
        <v>1343.3599850000001</v>
      </c>
      <c r="FU1377" s="451"/>
    </row>
    <row r="1378" spans="135:177" x14ac:dyDescent="0.35">
      <c r="EE1378" s="451">
        <v>40973</v>
      </c>
      <c r="EF1378" s="62">
        <v>155.88999999999999</v>
      </c>
      <c r="EG1378" s="62">
        <v>1364.329956</v>
      </c>
      <c r="FU1378" s="451"/>
    </row>
    <row r="1379" spans="135:177" x14ac:dyDescent="0.35">
      <c r="EE1379" s="451">
        <v>40970</v>
      </c>
      <c r="EF1379" s="62">
        <v>155.88999999999999</v>
      </c>
      <c r="EG1379" s="62">
        <v>1369.630005</v>
      </c>
      <c r="FU1379" s="451"/>
    </row>
    <row r="1380" spans="135:177" x14ac:dyDescent="0.35">
      <c r="EE1380" s="451">
        <v>40969</v>
      </c>
      <c r="EF1380" s="62">
        <v>156.09</v>
      </c>
      <c r="EG1380" s="62">
        <v>1374.089966</v>
      </c>
      <c r="FU1380" s="451"/>
    </row>
    <row r="1381" spans="135:177" x14ac:dyDescent="0.35">
      <c r="EE1381" s="451">
        <v>40968</v>
      </c>
      <c r="EF1381" s="62">
        <v>154.58000000000001</v>
      </c>
      <c r="EG1381" s="62">
        <v>1365.6800539999999</v>
      </c>
      <c r="FU1381" s="451"/>
    </row>
    <row r="1382" spans="135:177" x14ac:dyDescent="0.35">
      <c r="EE1382" s="451">
        <v>40967</v>
      </c>
      <c r="EF1382" s="62">
        <v>154.69</v>
      </c>
      <c r="EG1382" s="62">
        <v>1372.1800539999999</v>
      </c>
      <c r="FU1382" s="451"/>
    </row>
    <row r="1383" spans="135:177" x14ac:dyDescent="0.35">
      <c r="EE1383" s="451">
        <v>40966</v>
      </c>
      <c r="EF1383" s="62">
        <v>153.27000000000001</v>
      </c>
      <c r="EG1383" s="62">
        <v>1367.589966</v>
      </c>
      <c r="FU1383" s="451"/>
    </row>
    <row r="1384" spans="135:177" x14ac:dyDescent="0.35">
      <c r="EE1384" s="451">
        <v>40963</v>
      </c>
      <c r="EF1384" s="62">
        <v>152.24</v>
      </c>
      <c r="EG1384" s="62">
        <v>1365.73999</v>
      </c>
      <c r="FU1384" s="451"/>
    </row>
    <row r="1385" spans="135:177" x14ac:dyDescent="0.35">
      <c r="EE1385" s="451">
        <v>40962</v>
      </c>
      <c r="EF1385" s="62">
        <v>152.19</v>
      </c>
      <c r="EG1385" s="62">
        <v>1363.459961</v>
      </c>
      <c r="FU1385" s="451"/>
    </row>
    <row r="1386" spans="135:177" x14ac:dyDescent="0.35">
      <c r="EE1386" s="451">
        <v>40942</v>
      </c>
      <c r="EF1386" s="62">
        <v>154.96</v>
      </c>
      <c r="EG1386" s="62">
        <v>1344.900024</v>
      </c>
      <c r="FU1386" s="451"/>
    </row>
    <row r="1387" spans="135:177" x14ac:dyDescent="0.35">
      <c r="EE1387" s="451">
        <v>40941</v>
      </c>
      <c r="EF1387" s="62">
        <v>150.33000000000001</v>
      </c>
      <c r="EG1387" s="62">
        <v>1325.540039</v>
      </c>
      <c r="FU1387" s="451"/>
    </row>
    <row r="1388" spans="135:177" x14ac:dyDescent="0.35">
      <c r="EE1388" s="451">
        <v>40940</v>
      </c>
      <c r="EF1388" s="62">
        <v>150.13999999999999</v>
      </c>
      <c r="EG1388" s="62">
        <v>1324.089966</v>
      </c>
      <c r="FU1388" s="451"/>
    </row>
    <row r="1389" spans="135:177" x14ac:dyDescent="0.35">
      <c r="EE1389" s="451">
        <v>40939</v>
      </c>
      <c r="EF1389" s="62">
        <v>148.25</v>
      </c>
      <c r="EG1389" s="62">
        <v>1312.410034</v>
      </c>
      <c r="FU1389" s="451"/>
    </row>
    <row r="1390" spans="135:177" x14ac:dyDescent="0.35">
      <c r="EE1390" s="451">
        <v>40938</v>
      </c>
      <c r="EF1390" s="62">
        <v>150</v>
      </c>
      <c r="EG1390" s="62">
        <v>1313.01001</v>
      </c>
      <c r="FU1390" s="451"/>
    </row>
    <row r="1391" spans="135:177" x14ac:dyDescent="0.35">
      <c r="EE1391" s="451">
        <v>40935</v>
      </c>
      <c r="EF1391" s="62">
        <v>146.5</v>
      </c>
      <c r="EG1391" s="62">
        <v>1316.329956</v>
      </c>
      <c r="FU1391" s="451"/>
    </row>
    <row r="1392" spans="135:177" x14ac:dyDescent="0.35">
      <c r="EE1392" s="451">
        <v>40934</v>
      </c>
      <c r="EF1392" s="62">
        <v>147.01</v>
      </c>
      <c r="EG1392" s="62">
        <v>1318.4300539999999</v>
      </c>
      <c r="FU1392" s="451"/>
    </row>
    <row r="1393" spans="135:177" x14ac:dyDescent="0.35">
      <c r="EE1393" s="451">
        <v>40933</v>
      </c>
      <c r="EF1393" s="62">
        <v>148.19</v>
      </c>
      <c r="EG1393" s="62">
        <v>1326.0600589999999</v>
      </c>
      <c r="FU1393" s="451"/>
    </row>
    <row r="1394" spans="135:177" x14ac:dyDescent="0.35">
      <c r="EE1394" s="451">
        <v>40932</v>
      </c>
      <c r="EF1394" s="62">
        <v>147.24</v>
      </c>
      <c r="EG1394" s="62">
        <v>1314.650024</v>
      </c>
      <c r="FU1394" s="451"/>
    </row>
    <row r="1395" spans="135:177" x14ac:dyDescent="0.35">
      <c r="EE1395" s="451">
        <v>40931</v>
      </c>
      <c r="EF1395" s="62">
        <v>147.57</v>
      </c>
      <c r="EG1395" s="62">
        <v>1316</v>
      </c>
      <c r="FU1395" s="451"/>
    </row>
    <row r="1396" spans="135:177" x14ac:dyDescent="0.35">
      <c r="EE1396" s="451">
        <v>40928</v>
      </c>
      <c r="EF1396" s="62">
        <v>151.83000000000001</v>
      </c>
      <c r="EG1396" s="62">
        <v>1315.380005</v>
      </c>
      <c r="FU1396" s="451"/>
    </row>
    <row r="1397" spans="135:177" x14ac:dyDescent="0.35">
      <c r="EE1397" s="451">
        <v>40927</v>
      </c>
      <c r="EF1397" s="62">
        <v>150.97999999999999</v>
      </c>
      <c r="EG1397" s="62">
        <v>1314.5</v>
      </c>
      <c r="FU1397" s="451"/>
    </row>
    <row r="1398" spans="135:177" x14ac:dyDescent="0.35">
      <c r="EE1398" s="451">
        <v>40926</v>
      </c>
      <c r="EF1398" s="62">
        <v>151.13999999999999</v>
      </c>
      <c r="EG1398" s="62">
        <v>1308.040039</v>
      </c>
      <c r="FU1398" s="451"/>
    </row>
    <row r="1399" spans="135:177" x14ac:dyDescent="0.35">
      <c r="EE1399" s="451">
        <v>40925</v>
      </c>
      <c r="EF1399" s="62">
        <v>148.82</v>
      </c>
      <c r="EG1399" s="62">
        <v>1293.670044</v>
      </c>
      <c r="FU1399" s="451"/>
    </row>
    <row r="1400" spans="135:177" x14ac:dyDescent="0.35">
      <c r="EE1400" s="451">
        <v>40921</v>
      </c>
      <c r="EF1400" s="62">
        <v>146.56</v>
      </c>
      <c r="EG1400" s="62">
        <v>1289.089966</v>
      </c>
      <c r="FU1400" s="451"/>
    </row>
    <row r="1401" spans="135:177" x14ac:dyDescent="0.35">
      <c r="EE1401" s="451">
        <v>40920</v>
      </c>
      <c r="EF1401" s="62">
        <v>144.12</v>
      </c>
      <c r="EG1401" s="62">
        <v>1295.5</v>
      </c>
      <c r="FU1401" s="451"/>
    </row>
    <row r="1402" spans="135:177" x14ac:dyDescent="0.35">
      <c r="EE1402" s="451">
        <v>40919</v>
      </c>
      <c r="EF1402" s="62">
        <v>144.03</v>
      </c>
      <c r="EG1402" s="62">
        <v>1292.4799800000001</v>
      </c>
      <c r="FU1402" s="451"/>
    </row>
    <row r="1403" spans="135:177" x14ac:dyDescent="0.35">
      <c r="EE1403" s="451">
        <v>40918</v>
      </c>
      <c r="EF1403" s="62">
        <v>140.61000000000001</v>
      </c>
      <c r="EG1403" s="62">
        <v>1292.079956</v>
      </c>
      <c r="FU1403" s="451"/>
    </row>
    <row r="1404" spans="135:177" x14ac:dyDescent="0.35">
      <c r="EE1404" s="451">
        <v>40917</v>
      </c>
      <c r="EF1404" s="62">
        <v>141.22999999999999</v>
      </c>
      <c r="EG1404" s="62">
        <v>1280.6999510000001</v>
      </c>
      <c r="FU1404" s="451"/>
    </row>
    <row r="1405" spans="135:177" x14ac:dyDescent="0.35">
      <c r="EE1405" s="451">
        <v>40914</v>
      </c>
      <c r="EF1405" s="62">
        <v>139.66</v>
      </c>
      <c r="EG1405" s="62">
        <v>1277.8100589999999</v>
      </c>
      <c r="FU1405" s="451"/>
    </row>
    <row r="1406" spans="135:177" x14ac:dyDescent="0.35">
      <c r="EE1406" s="451">
        <v>40913</v>
      </c>
      <c r="EF1406" s="62">
        <v>140.22999999999999</v>
      </c>
      <c r="EG1406" s="62">
        <v>1281.0600589999999</v>
      </c>
      <c r="FU1406" s="451"/>
    </row>
    <row r="1407" spans="135:177" x14ac:dyDescent="0.35">
      <c r="EE1407" s="451">
        <v>40912</v>
      </c>
      <c r="EF1407" s="62">
        <v>137.21</v>
      </c>
      <c r="EG1407" s="62">
        <v>1277.3000489999999</v>
      </c>
      <c r="FU1407" s="451"/>
    </row>
    <row r="1408" spans="135:177" x14ac:dyDescent="0.35">
      <c r="EE1408" s="451">
        <v>40911</v>
      </c>
      <c r="EF1408" s="62">
        <v>136.19</v>
      </c>
      <c r="EG1408" s="62">
        <v>1277.0600589999999</v>
      </c>
      <c r="FU1408" s="451"/>
    </row>
    <row r="1409" spans="135:177" x14ac:dyDescent="0.35">
      <c r="EE1409" s="451">
        <v>40907</v>
      </c>
      <c r="EF1409" s="62">
        <v>141.44999999999999</v>
      </c>
      <c r="EG1409" s="62">
        <v>1257.599976</v>
      </c>
      <c r="FU1409" s="451"/>
    </row>
    <row r="1410" spans="135:177" x14ac:dyDescent="0.35">
      <c r="EE1410" s="451">
        <v>40906</v>
      </c>
      <c r="EF1410" s="62">
        <v>141.62</v>
      </c>
      <c r="EG1410" s="62">
        <v>1263.0200199999999</v>
      </c>
      <c r="FU1410" s="451"/>
    </row>
    <row r="1411" spans="135:177" x14ac:dyDescent="0.35">
      <c r="EE1411" s="451">
        <v>40905</v>
      </c>
      <c r="EF1411" s="62">
        <v>139.16999999999999</v>
      </c>
      <c r="EG1411" s="62">
        <v>1249.6400149999999</v>
      </c>
      <c r="FU1411" s="451"/>
    </row>
    <row r="1412" spans="135:177" x14ac:dyDescent="0.35">
      <c r="EE1412" s="451">
        <v>40904</v>
      </c>
      <c r="EF1412" s="62">
        <v>141.01</v>
      </c>
      <c r="EG1412" s="62">
        <v>1265.4300539999999</v>
      </c>
      <c r="FU1412" s="451"/>
    </row>
    <row r="1413" spans="135:177" x14ac:dyDescent="0.35">
      <c r="EE1413" s="451">
        <v>40900</v>
      </c>
      <c r="EF1413" s="62">
        <v>140.1</v>
      </c>
      <c r="EG1413" s="62">
        <v>1265.329956</v>
      </c>
      <c r="FU1413" s="451"/>
    </row>
    <row r="1414" spans="135:177" x14ac:dyDescent="0.35">
      <c r="EE1414" s="451">
        <v>40899</v>
      </c>
      <c r="EF1414" s="62">
        <v>138.41</v>
      </c>
      <c r="EG1414" s="62">
        <v>1254</v>
      </c>
      <c r="FU1414" s="451"/>
    </row>
    <row r="1415" spans="135:177" x14ac:dyDescent="0.35">
      <c r="EE1415" s="451">
        <v>40898</v>
      </c>
      <c r="EF1415" s="62">
        <v>140.27000000000001</v>
      </c>
      <c r="EG1415" s="62">
        <v>1243.719971</v>
      </c>
      <c r="FU1415" s="451"/>
    </row>
    <row r="1416" spans="135:177" x14ac:dyDescent="0.35">
      <c r="EE1416" s="451">
        <v>40897</v>
      </c>
      <c r="EF1416" s="62">
        <v>137.72</v>
      </c>
      <c r="EG1416" s="62">
        <v>1241.3000489999999</v>
      </c>
      <c r="FU1416" s="451"/>
    </row>
    <row r="1417" spans="135:177" x14ac:dyDescent="0.35">
      <c r="EE1417" s="451">
        <v>40896</v>
      </c>
      <c r="EF1417" s="62">
        <v>134.62</v>
      </c>
      <c r="EG1417" s="62">
        <v>1205.349976</v>
      </c>
      <c r="FU1417" s="451"/>
    </row>
    <row r="1418" spans="135:177" x14ac:dyDescent="0.35">
      <c r="EE1418" s="451">
        <v>40893</v>
      </c>
      <c r="EF1418" s="62">
        <v>135.44</v>
      </c>
      <c r="EG1418" s="62">
        <v>1219.660034</v>
      </c>
      <c r="FU1418" s="451"/>
    </row>
    <row r="1419" spans="135:177" x14ac:dyDescent="0.35">
      <c r="EE1419" s="451">
        <v>40892</v>
      </c>
      <c r="EF1419" s="62">
        <v>135.18</v>
      </c>
      <c r="EG1419" s="62">
        <v>1215.75</v>
      </c>
      <c r="FU1419" s="451"/>
    </row>
    <row r="1420" spans="135:177" x14ac:dyDescent="0.35">
      <c r="EE1420" s="451">
        <v>40891</v>
      </c>
      <c r="EF1420" s="62">
        <v>131.53</v>
      </c>
      <c r="EG1420" s="62">
        <v>1211.8199460000001</v>
      </c>
      <c r="FU1420" s="451"/>
    </row>
    <row r="1421" spans="135:177" x14ac:dyDescent="0.35">
      <c r="EE1421" s="451">
        <v>40890</v>
      </c>
      <c r="EF1421" s="62">
        <v>135.81</v>
      </c>
      <c r="EG1421" s="62">
        <v>1225.7299800000001</v>
      </c>
      <c r="FU1421" s="451"/>
    </row>
    <row r="1422" spans="135:177" x14ac:dyDescent="0.35">
      <c r="EE1422" s="451">
        <v>40889</v>
      </c>
      <c r="EF1422" s="62">
        <v>139.24</v>
      </c>
      <c r="EG1422" s="62">
        <v>1236.469971</v>
      </c>
      <c r="FU1422" s="451"/>
    </row>
    <row r="1423" spans="135:177" x14ac:dyDescent="0.35">
      <c r="EE1423" s="451">
        <v>40886</v>
      </c>
      <c r="EF1423" s="62">
        <v>140.88</v>
      </c>
      <c r="EG1423" s="62">
        <v>1255.1899410000001</v>
      </c>
      <c r="FU1423" s="451"/>
    </row>
    <row r="1424" spans="135:177" x14ac:dyDescent="0.35">
      <c r="EE1424" s="451">
        <v>40885</v>
      </c>
      <c r="EF1424" s="62">
        <v>138.46</v>
      </c>
      <c r="EG1424" s="62">
        <v>1234.349976</v>
      </c>
      <c r="FU1424" s="451"/>
    </row>
    <row r="1425" spans="135:177" x14ac:dyDescent="0.35">
      <c r="EE1425" s="451">
        <v>40884</v>
      </c>
      <c r="EF1425" s="62">
        <v>141.1</v>
      </c>
      <c r="EG1425" s="62">
        <v>1261.01001</v>
      </c>
      <c r="FU1425" s="451"/>
    </row>
    <row r="1426" spans="135:177" x14ac:dyDescent="0.35">
      <c r="EE1426" s="451">
        <v>40883</v>
      </c>
      <c r="EF1426" s="62">
        <v>141.62</v>
      </c>
      <c r="EG1426" s="62">
        <v>1258.469971</v>
      </c>
      <c r="FU1426" s="451"/>
    </row>
    <row r="1427" spans="135:177" x14ac:dyDescent="0.35">
      <c r="EE1427" s="451">
        <v>40882</v>
      </c>
      <c r="EF1427" s="62">
        <v>143.35</v>
      </c>
      <c r="EG1427" s="62">
        <v>1257.079956</v>
      </c>
      <c r="FU1427" s="451"/>
    </row>
    <row r="1428" spans="135:177" x14ac:dyDescent="0.35">
      <c r="EE1428" s="451">
        <v>40879</v>
      </c>
      <c r="EF1428" s="62">
        <v>142.1</v>
      </c>
      <c r="EG1428" s="62">
        <v>1244.280029</v>
      </c>
      <c r="FU1428" s="451"/>
    </row>
    <row r="1429" spans="135:177" x14ac:dyDescent="0.35">
      <c r="EE1429" s="451">
        <v>40878</v>
      </c>
      <c r="EF1429" s="62">
        <v>142.56</v>
      </c>
      <c r="EG1429" s="62">
        <v>1244.579956</v>
      </c>
      <c r="FU1429" s="451"/>
    </row>
    <row r="1430" spans="135:177" x14ac:dyDescent="0.35">
      <c r="EE1430" s="451">
        <v>40877</v>
      </c>
      <c r="EF1430" s="62">
        <v>143.38</v>
      </c>
      <c r="EG1430" s="62">
        <v>1246.959961</v>
      </c>
      <c r="FU1430" s="451"/>
    </row>
    <row r="1431" spans="135:177" x14ac:dyDescent="0.35">
      <c r="EE1431" s="451">
        <v>40876</v>
      </c>
      <c r="EF1431" s="62">
        <v>138.36000000000001</v>
      </c>
      <c r="EG1431" s="62">
        <v>1195.1899410000001</v>
      </c>
      <c r="FU1431" s="451"/>
    </row>
    <row r="1432" spans="135:177" x14ac:dyDescent="0.35">
      <c r="EE1432" s="451">
        <v>40875</v>
      </c>
      <c r="EF1432" s="62">
        <v>139.55000000000001</v>
      </c>
      <c r="EG1432" s="62">
        <v>1192.5500489999999</v>
      </c>
      <c r="FU1432" s="451"/>
    </row>
    <row r="1433" spans="135:177" x14ac:dyDescent="0.35">
      <c r="EE1433" s="451">
        <v>40872</v>
      </c>
      <c r="EF1433" s="62">
        <v>133.08000000000001</v>
      </c>
      <c r="EG1433" s="62">
        <v>1158.670044</v>
      </c>
      <c r="FU1433" s="451"/>
    </row>
    <row r="1434" spans="135:177" x14ac:dyDescent="0.35">
      <c r="EE1434" s="451">
        <v>40870</v>
      </c>
      <c r="EF1434" s="62">
        <v>133.12</v>
      </c>
      <c r="EG1434" s="62">
        <v>1161.790039</v>
      </c>
      <c r="FU1434" s="451"/>
    </row>
    <row r="1435" spans="135:177" x14ac:dyDescent="0.35">
      <c r="EE1435" s="451">
        <v>40869</v>
      </c>
      <c r="EF1435" s="62">
        <v>135.4</v>
      </c>
      <c r="EG1435" s="62">
        <v>1188.040039</v>
      </c>
      <c r="FU1435" s="451"/>
    </row>
    <row r="1436" spans="135:177" x14ac:dyDescent="0.35">
      <c r="EE1436" s="451">
        <v>40868</v>
      </c>
      <c r="EF1436" s="62">
        <v>132.38999999999999</v>
      </c>
      <c r="EG1436" s="62">
        <v>1192.9799800000001</v>
      </c>
      <c r="FU1436" s="451"/>
    </row>
    <row r="1437" spans="135:177" x14ac:dyDescent="0.35">
      <c r="EE1437" s="451">
        <v>40865</v>
      </c>
      <c r="EF1437" s="62">
        <v>133.97999999999999</v>
      </c>
      <c r="EG1437" s="62">
        <v>1215.650024</v>
      </c>
      <c r="FU1437" s="451"/>
    </row>
    <row r="1438" spans="135:177" x14ac:dyDescent="0.35">
      <c r="EE1438" s="451">
        <v>40864</v>
      </c>
      <c r="EF1438" s="62">
        <v>133.86000000000001</v>
      </c>
      <c r="EG1438" s="62">
        <v>1216.130005</v>
      </c>
      <c r="FU1438" s="451"/>
    </row>
    <row r="1439" spans="135:177" x14ac:dyDescent="0.35">
      <c r="EE1439" s="451">
        <v>40863</v>
      </c>
      <c r="EF1439" s="62">
        <v>134.71</v>
      </c>
      <c r="EG1439" s="62">
        <v>1236.910034</v>
      </c>
      <c r="FU1439" s="451"/>
    </row>
    <row r="1440" spans="135:177" x14ac:dyDescent="0.35">
      <c r="EE1440" s="451">
        <v>40862</v>
      </c>
      <c r="EF1440" s="62">
        <v>137.75</v>
      </c>
      <c r="EG1440" s="62">
        <v>1257.8100589999999</v>
      </c>
      <c r="FU1440" s="451"/>
    </row>
    <row r="1441" spans="135:177" x14ac:dyDescent="0.35">
      <c r="EE1441" s="451">
        <v>40861</v>
      </c>
      <c r="EF1441" s="62">
        <v>135.31</v>
      </c>
      <c r="EG1441" s="62">
        <v>1251.780029</v>
      </c>
      <c r="FU1441" s="451"/>
    </row>
    <row r="1442" spans="135:177" x14ac:dyDescent="0.35">
      <c r="EE1442" s="451">
        <v>40858</v>
      </c>
      <c r="EF1442" s="62">
        <v>136.18</v>
      </c>
      <c r="EG1442" s="62">
        <v>1263.849976</v>
      </c>
      <c r="FU1442" s="451"/>
    </row>
    <row r="1443" spans="135:177" x14ac:dyDescent="0.35">
      <c r="EE1443" s="451">
        <v>40857</v>
      </c>
      <c r="EF1443" s="62">
        <v>133.97</v>
      </c>
      <c r="EG1443" s="62">
        <v>1239.6999510000001</v>
      </c>
      <c r="FU1443" s="451"/>
    </row>
    <row r="1444" spans="135:177" x14ac:dyDescent="0.35">
      <c r="EE1444" s="451">
        <v>40856</v>
      </c>
      <c r="EF1444" s="62">
        <v>133.79</v>
      </c>
      <c r="EG1444" s="62">
        <v>1229.099976</v>
      </c>
      <c r="FU1444" s="451"/>
    </row>
    <row r="1445" spans="135:177" x14ac:dyDescent="0.35">
      <c r="EE1445" s="451">
        <v>40855</v>
      </c>
      <c r="EF1445" s="62">
        <v>135.97</v>
      </c>
      <c r="EG1445" s="62">
        <v>1275.920044</v>
      </c>
      <c r="FU1445" s="451"/>
    </row>
    <row r="1446" spans="135:177" x14ac:dyDescent="0.35">
      <c r="EE1446" s="451">
        <v>40854</v>
      </c>
      <c r="EF1446" s="62">
        <v>135.85</v>
      </c>
      <c r="EG1446" s="62">
        <v>1261.119995</v>
      </c>
      <c r="FU1446" s="451"/>
    </row>
    <row r="1447" spans="135:177" x14ac:dyDescent="0.35">
      <c r="EE1447" s="451">
        <v>40851</v>
      </c>
      <c r="EF1447" s="62">
        <v>135.57</v>
      </c>
      <c r="EG1447" s="62">
        <v>1253.2299800000001</v>
      </c>
      <c r="FU1447" s="451"/>
    </row>
    <row r="1448" spans="135:177" x14ac:dyDescent="0.35">
      <c r="EE1448" s="451">
        <v>40850</v>
      </c>
      <c r="EF1448" s="62">
        <v>135.08000000000001</v>
      </c>
      <c r="EG1448" s="62">
        <v>1261.150024</v>
      </c>
      <c r="FU1448" s="451"/>
    </row>
    <row r="1449" spans="135:177" x14ac:dyDescent="0.35">
      <c r="EE1449" s="451">
        <v>40849</v>
      </c>
      <c r="EF1449" s="62">
        <v>134.9</v>
      </c>
      <c r="EG1449" s="62">
        <v>1237.900024</v>
      </c>
      <c r="FU1449" s="451"/>
    </row>
    <row r="1450" spans="135:177" x14ac:dyDescent="0.35">
      <c r="EE1450" s="451">
        <v>40848</v>
      </c>
      <c r="EF1450" s="62">
        <v>132.13</v>
      </c>
      <c r="EG1450" s="62">
        <v>1218.280029</v>
      </c>
      <c r="FU1450" s="451"/>
    </row>
    <row r="1451" spans="135:177" x14ac:dyDescent="0.35">
      <c r="EE1451" s="451">
        <v>40847</v>
      </c>
      <c r="EF1451" s="62">
        <v>133.69</v>
      </c>
      <c r="EG1451" s="62">
        <v>1253.3000489999999</v>
      </c>
      <c r="FU1451" s="451"/>
    </row>
    <row r="1452" spans="135:177" x14ac:dyDescent="0.35">
      <c r="EE1452" s="451">
        <v>40844</v>
      </c>
      <c r="EF1452" s="62">
        <v>133.96</v>
      </c>
      <c r="EG1452" s="62">
        <v>1285.089966</v>
      </c>
      <c r="FU1452" s="451"/>
    </row>
    <row r="1453" spans="135:177" x14ac:dyDescent="0.35">
      <c r="EE1453" s="451">
        <v>40843</v>
      </c>
      <c r="EF1453" s="62">
        <v>135.49</v>
      </c>
      <c r="EG1453" s="62">
        <v>1284.589966</v>
      </c>
      <c r="FU1453" s="451"/>
    </row>
    <row r="1454" spans="135:177" x14ac:dyDescent="0.35">
      <c r="EE1454" s="451">
        <v>40842</v>
      </c>
      <c r="EF1454" s="62">
        <v>133.63999999999999</v>
      </c>
      <c r="EG1454" s="62">
        <v>1242</v>
      </c>
      <c r="FU1454" s="451"/>
    </row>
    <row r="1455" spans="135:177" x14ac:dyDescent="0.35">
      <c r="EE1455" s="451">
        <v>40841</v>
      </c>
      <c r="EF1455" s="62">
        <v>115.72</v>
      </c>
      <c r="EG1455" s="62">
        <v>1229.0500489999999</v>
      </c>
      <c r="FU1455" s="451"/>
    </row>
    <row r="1456" spans="135:177" x14ac:dyDescent="0.35">
      <c r="EE1456" s="451">
        <v>40840</v>
      </c>
      <c r="EF1456" s="62">
        <v>116.78</v>
      </c>
      <c r="EG1456" s="62">
        <v>1254.1899410000001</v>
      </c>
      <c r="FU1456" s="451"/>
    </row>
    <row r="1457" spans="135:177" x14ac:dyDescent="0.35">
      <c r="EE1457" s="451">
        <v>40837</v>
      </c>
      <c r="EF1457" s="62">
        <v>111.7</v>
      </c>
      <c r="EG1457" s="62">
        <v>1238.25</v>
      </c>
      <c r="FU1457" s="451"/>
    </row>
    <row r="1458" spans="135:177" x14ac:dyDescent="0.35">
      <c r="EE1458" s="451">
        <v>40836</v>
      </c>
      <c r="EF1458" s="62">
        <v>105.85</v>
      </c>
      <c r="EG1458" s="62">
        <v>1215.3900149999999</v>
      </c>
      <c r="FU1458" s="451"/>
    </row>
    <row r="1459" spans="135:177" x14ac:dyDescent="0.35">
      <c r="EE1459" s="451">
        <v>40835</v>
      </c>
      <c r="EF1459" s="62">
        <v>104.9</v>
      </c>
      <c r="EG1459" s="62">
        <v>1209.880005</v>
      </c>
      <c r="FU1459" s="451"/>
    </row>
    <row r="1460" spans="135:177" x14ac:dyDescent="0.35">
      <c r="EE1460" s="451">
        <v>40834</v>
      </c>
      <c r="EF1460" s="62">
        <v>108.74</v>
      </c>
      <c r="EG1460" s="62">
        <v>1225.380005</v>
      </c>
      <c r="FU1460" s="451"/>
    </row>
    <row r="1461" spans="135:177" x14ac:dyDescent="0.35">
      <c r="EE1461" s="451">
        <v>40833</v>
      </c>
      <c r="EF1461" s="62">
        <v>107.23</v>
      </c>
      <c r="EG1461" s="62">
        <v>1200.8599850000001</v>
      </c>
      <c r="FU1461" s="451"/>
    </row>
    <row r="1462" spans="135:177" x14ac:dyDescent="0.35">
      <c r="EE1462" s="451">
        <v>40830</v>
      </c>
      <c r="EF1462" s="62">
        <v>110.35</v>
      </c>
      <c r="EG1462" s="62">
        <v>1224.579956</v>
      </c>
      <c r="FU1462" s="451"/>
    </row>
    <row r="1463" spans="135:177" x14ac:dyDescent="0.35">
      <c r="EE1463" s="451">
        <v>40829</v>
      </c>
      <c r="EF1463" s="62">
        <v>111.61</v>
      </c>
      <c r="EG1463" s="62">
        <v>1203.660034</v>
      </c>
      <c r="FU1463" s="451"/>
    </row>
    <row r="1464" spans="135:177" x14ac:dyDescent="0.35">
      <c r="EE1464" s="451">
        <v>40828</v>
      </c>
      <c r="EF1464" s="62">
        <v>109.75</v>
      </c>
      <c r="EG1464" s="62">
        <v>1207.25</v>
      </c>
      <c r="FU1464" s="451"/>
    </row>
    <row r="1465" spans="135:177" x14ac:dyDescent="0.35">
      <c r="EE1465" s="451">
        <v>40827</v>
      </c>
      <c r="EF1465" s="62">
        <v>108.12</v>
      </c>
      <c r="EG1465" s="62">
        <v>1195.540039</v>
      </c>
      <c r="FU1465" s="451"/>
    </row>
    <row r="1466" spans="135:177" x14ac:dyDescent="0.35">
      <c r="EE1466" s="451">
        <v>40826</v>
      </c>
      <c r="EF1466" s="62">
        <v>108.47</v>
      </c>
      <c r="EG1466" s="62">
        <v>1194.8900149999999</v>
      </c>
      <c r="FU1466" s="451"/>
    </row>
    <row r="1467" spans="135:177" x14ac:dyDescent="0.35">
      <c r="EE1467" s="451">
        <v>40823</v>
      </c>
      <c r="EF1467" s="62">
        <v>103.98</v>
      </c>
      <c r="EG1467" s="62">
        <v>1155.459961</v>
      </c>
      <c r="FU1467" s="451"/>
    </row>
    <row r="1468" spans="135:177" x14ac:dyDescent="0.35">
      <c r="EE1468" s="451">
        <v>40822</v>
      </c>
      <c r="EF1468" s="62">
        <v>106.8</v>
      </c>
      <c r="EG1468" s="62">
        <v>1164.969971</v>
      </c>
      <c r="FU1468" s="451"/>
    </row>
    <row r="1469" spans="135:177" x14ac:dyDescent="0.35">
      <c r="EE1469" s="451">
        <v>40821</v>
      </c>
      <c r="EF1469" s="62">
        <v>106.07</v>
      </c>
      <c r="EG1469" s="62">
        <v>1144.030029</v>
      </c>
      <c r="FU1469" s="451"/>
    </row>
    <row r="1470" spans="135:177" x14ac:dyDescent="0.35">
      <c r="EE1470" s="451">
        <v>40820</v>
      </c>
      <c r="EF1470" s="62">
        <v>105.7</v>
      </c>
      <c r="EG1470" s="62">
        <v>1123.9499510000001</v>
      </c>
      <c r="FU1470" s="451"/>
    </row>
    <row r="1471" spans="135:177" x14ac:dyDescent="0.35">
      <c r="EE1471" s="451">
        <v>40819</v>
      </c>
      <c r="EF1471" s="62">
        <v>101.17</v>
      </c>
      <c r="EG1471" s="62">
        <v>1099.2299800000001</v>
      </c>
      <c r="FU1471" s="451"/>
    </row>
    <row r="1472" spans="135:177" x14ac:dyDescent="0.35">
      <c r="EE1472" s="451">
        <v>40816</v>
      </c>
      <c r="EF1472" s="62">
        <v>103.94</v>
      </c>
      <c r="EG1472" s="62">
        <v>1131.420044</v>
      </c>
      <c r="FU1472" s="451"/>
    </row>
    <row r="1473" spans="135:177" x14ac:dyDescent="0.35">
      <c r="EE1473" s="451">
        <v>40815</v>
      </c>
      <c r="EF1473" s="62">
        <v>107.68</v>
      </c>
      <c r="EG1473" s="62">
        <v>1160.400024</v>
      </c>
      <c r="FU1473" s="451"/>
    </row>
    <row r="1474" spans="135:177" x14ac:dyDescent="0.35">
      <c r="EE1474" s="451">
        <v>40814</v>
      </c>
      <c r="EF1474" s="62">
        <v>108.82</v>
      </c>
      <c r="EG1474" s="62">
        <v>1151.0600589999999</v>
      </c>
      <c r="FU1474" s="451"/>
    </row>
    <row r="1475" spans="135:177" x14ac:dyDescent="0.35">
      <c r="EE1475" s="451">
        <v>40813</v>
      </c>
      <c r="EF1475" s="62">
        <v>114.06</v>
      </c>
      <c r="EG1475" s="62">
        <v>1175.380005</v>
      </c>
      <c r="FU1475" s="451"/>
    </row>
    <row r="1476" spans="135:177" x14ac:dyDescent="0.35">
      <c r="EE1476" s="451">
        <v>40812</v>
      </c>
      <c r="EF1476" s="62">
        <v>115.77</v>
      </c>
      <c r="EG1476" s="62">
        <v>1162.9499510000001</v>
      </c>
      <c r="FU1476" s="451"/>
    </row>
    <row r="1477" spans="135:177" x14ac:dyDescent="0.35">
      <c r="EE1477" s="451">
        <v>40809</v>
      </c>
      <c r="EF1477" s="62">
        <v>111.09</v>
      </c>
      <c r="EG1477" s="62">
        <v>1136.4300539999999</v>
      </c>
      <c r="FU1477" s="451"/>
    </row>
    <row r="1478" spans="135:177" x14ac:dyDescent="0.35">
      <c r="EE1478" s="451">
        <v>40808</v>
      </c>
      <c r="EF1478" s="62">
        <v>108.26</v>
      </c>
      <c r="EG1478" s="62">
        <v>1129.5600589999999</v>
      </c>
      <c r="FU1478" s="451"/>
    </row>
    <row r="1479" spans="135:177" x14ac:dyDescent="0.35">
      <c r="EE1479" s="451">
        <v>40807</v>
      </c>
      <c r="EF1479" s="62">
        <v>112.52</v>
      </c>
      <c r="EG1479" s="62">
        <v>1166.76001</v>
      </c>
      <c r="FU1479" s="451"/>
    </row>
    <row r="1480" spans="135:177" x14ac:dyDescent="0.35">
      <c r="EE1480" s="451">
        <v>40806</v>
      </c>
      <c r="EF1480" s="62">
        <v>114.83</v>
      </c>
      <c r="EG1480" s="62">
        <v>1202.089966</v>
      </c>
      <c r="FU1480" s="451"/>
    </row>
    <row r="1481" spans="135:177" x14ac:dyDescent="0.35">
      <c r="EE1481" s="451">
        <v>40805</v>
      </c>
      <c r="EF1481" s="62">
        <v>116.15</v>
      </c>
      <c r="EG1481" s="62">
        <v>1204.089966</v>
      </c>
      <c r="FU1481" s="451"/>
    </row>
    <row r="1482" spans="135:177" x14ac:dyDescent="0.35">
      <c r="EE1482" s="451">
        <v>40802</v>
      </c>
      <c r="EF1482" s="62">
        <v>112.88</v>
      </c>
      <c r="EG1482" s="62">
        <v>1216.01001</v>
      </c>
      <c r="FU1482" s="451"/>
    </row>
    <row r="1483" spans="135:177" x14ac:dyDescent="0.35">
      <c r="EE1483" s="451">
        <v>40801</v>
      </c>
      <c r="EF1483" s="62">
        <v>112.44</v>
      </c>
      <c r="EG1483" s="62">
        <v>1209.1099850000001</v>
      </c>
      <c r="FU1483" s="451"/>
    </row>
    <row r="1484" spans="135:177" x14ac:dyDescent="0.35">
      <c r="EE1484" s="451">
        <v>40800</v>
      </c>
      <c r="EF1484" s="62">
        <v>112.23</v>
      </c>
      <c r="EG1484" s="62">
        <v>1188.6800539999999</v>
      </c>
      <c r="FU1484" s="451"/>
    </row>
    <row r="1485" spans="135:177" x14ac:dyDescent="0.35">
      <c r="EE1485" s="451">
        <v>40799</v>
      </c>
      <c r="EF1485" s="62">
        <v>109.2</v>
      </c>
      <c r="EG1485" s="62">
        <v>1172.869995</v>
      </c>
      <c r="FU1485" s="451"/>
    </row>
    <row r="1486" spans="135:177" x14ac:dyDescent="0.35">
      <c r="EE1486" s="451">
        <v>40798</v>
      </c>
      <c r="EF1486" s="62">
        <v>108.77</v>
      </c>
      <c r="EG1486" s="62">
        <v>1162.2700199999999</v>
      </c>
      <c r="FU1486" s="451"/>
    </row>
    <row r="1487" spans="135:177" x14ac:dyDescent="0.35">
      <c r="EE1487" s="451">
        <v>40795</v>
      </c>
      <c r="EF1487" s="62">
        <v>108.97</v>
      </c>
      <c r="EG1487" s="62">
        <v>1154.2299800000001</v>
      </c>
      <c r="FU1487" s="451"/>
    </row>
    <row r="1488" spans="135:177" x14ac:dyDescent="0.35">
      <c r="EE1488" s="451">
        <v>40794</v>
      </c>
      <c r="EF1488" s="62">
        <v>111.83</v>
      </c>
      <c r="EG1488" s="62">
        <v>1185.900024</v>
      </c>
      <c r="FU1488" s="451"/>
    </row>
    <row r="1489" spans="135:177" x14ac:dyDescent="0.35">
      <c r="EE1489" s="451">
        <v>40793</v>
      </c>
      <c r="EF1489" s="62">
        <v>112.5</v>
      </c>
      <c r="EG1489" s="62">
        <v>1198.619995</v>
      </c>
      <c r="FU1489" s="451"/>
    </row>
    <row r="1490" spans="135:177" x14ac:dyDescent="0.35">
      <c r="EE1490" s="451">
        <v>40792</v>
      </c>
      <c r="EF1490" s="62">
        <v>111.28</v>
      </c>
      <c r="EG1490" s="62">
        <v>1165.23999</v>
      </c>
      <c r="FU1490" s="451"/>
    </row>
    <row r="1491" spans="135:177" x14ac:dyDescent="0.35">
      <c r="EE1491" s="451">
        <v>40788</v>
      </c>
      <c r="EF1491" s="62">
        <v>110.52</v>
      </c>
      <c r="EG1491" s="62">
        <v>1173.969971</v>
      </c>
      <c r="FU1491" s="451"/>
    </row>
    <row r="1492" spans="135:177" x14ac:dyDescent="0.35">
      <c r="EE1492" s="451">
        <v>40787</v>
      </c>
      <c r="EF1492" s="62">
        <v>113.35</v>
      </c>
      <c r="EG1492" s="62">
        <v>1204.420044</v>
      </c>
      <c r="FU1492" s="451"/>
    </row>
    <row r="1493" spans="135:177" x14ac:dyDescent="0.35">
      <c r="EE1493" s="451">
        <v>40786</v>
      </c>
      <c r="EF1493" s="62">
        <v>115.15</v>
      </c>
      <c r="EG1493" s="62">
        <v>1218.8900149999999</v>
      </c>
      <c r="FU1493" s="451"/>
    </row>
    <row r="1494" spans="135:177" x14ac:dyDescent="0.35">
      <c r="EE1494" s="451">
        <v>40785</v>
      </c>
      <c r="EF1494" s="62">
        <v>115.94</v>
      </c>
      <c r="EG1494" s="62">
        <v>1212.920044</v>
      </c>
      <c r="FU1494" s="451"/>
    </row>
    <row r="1495" spans="135:177" x14ac:dyDescent="0.35">
      <c r="EE1495" s="451">
        <v>40784</v>
      </c>
      <c r="EF1495" s="62">
        <v>115.12</v>
      </c>
      <c r="EG1495" s="62">
        <v>1210.079956</v>
      </c>
      <c r="FU1495" s="451"/>
    </row>
    <row r="1496" spans="135:177" x14ac:dyDescent="0.35">
      <c r="EE1496" s="451">
        <v>40781</v>
      </c>
      <c r="EF1496" s="62">
        <v>110.95</v>
      </c>
      <c r="EG1496" s="62">
        <v>1176.8000489999999</v>
      </c>
      <c r="FU1496" s="451"/>
    </row>
    <row r="1497" spans="135:177" x14ac:dyDescent="0.35">
      <c r="EE1497" s="451">
        <v>40780</v>
      </c>
      <c r="EF1497" s="62">
        <v>107.2</v>
      </c>
      <c r="EG1497" s="62">
        <v>1159.2700199999999</v>
      </c>
      <c r="FU1497" s="451"/>
    </row>
    <row r="1498" spans="135:177" x14ac:dyDescent="0.35">
      <c r="EE1498" s="451">
        <v>40779</v>
      </c>
      <c r="EF1498" s="62">
        <v>108.56</v>
      </c>
      <c r="EG1498" s="62">
        <v>1177.599976</v>
      </c>
      <c r="FU1498" s="451"/>
    </row>
    <row r="1499" spans="135:177" x14ac:dyDescent="0.35">
      <c r="EE1499" s="451">
        <v>40778</v>
      </c>
      <c r="EF1499" s="62">
        <v>107.85</v>
      </c>
      <c r="EG1499" s="62">
        <v>1162.349976</v>
      </c>
      <c r="FU1499" s="451"/>
    </row>
    <row r="1500" spans="135:177" x14ac:dyDescent="0.35">
      <c r="EE1500" s="451">
        <v>40777</v>
      </c>
      <c r="EF1500" s="62">
        <v>103.95</v>
      </c>
      <c r="EG1500" s="62">
        <v>1123.8199460000001</v>
      </c>
      <c r="FU1500" s="451"/>
    </row>
    <row r="1501" spans="135:177" x14ac:dyDescent="0.35">
      <c r="EE1501" s="451">
        <v>40774</v>
      </c>
      <c r="EF1501" s="62">
        <v>102.45</v>
      </c>
      <c r="EG1501" s="62">
        <v>1123.530029</v>
      </c>
      <c r="FU1501" s="451"/>
    </row>
    <row r="1502" spans="135:177" x14ac:dyDescent="0.35">
      <c r="EE1502" s="451">
        <v>40773</v>
      </c>
      <c r="EF1502" s="62">
        <v>102.11</v>
      </c>
      <c r="EG1502" s="62">
        <v>1140.650024</v>
      </c>
      <c r="FU1502" s="451"/>
    </row>
    <row r="1503" spans="135:177" x14ac:dyDescent="0.35">
      <c r="EE1503" s="451">
        <v>40772</v>
      </c>
      <c r="EF1503" s="62">
        <v>106.52</v>
      </c>
      <c r="EG1503" s="62">
        <v>1193.8900149999999</v>
      </c>
      <c r="FU1503" s="451"/>
    </row>
    <row r="1504" spans="135:177" x14ac:dyDescent="0.35">
      <c r="EE1504" s="451">
        <v>40771</v>
      </c>
      <c r="EF1504" s="62">
        <v>107.5</v>
      </c>
      <c r="EG1504" s="62">
        <v>1192.76001</v>
      </c>
      <c r="FU1504" s="451"/>
    </row>
    <row r="1505" spans="135:177" x14ac:dyDescent="0.35">
      <c r="EE1505" s="451">
        <v>40770</v>
      </c>
      <c r="EF1505" s="62">
        <v>108.85</v>
      </c>
      <c r="EG1505" s="62">
        <v>1204.48999</v>
      </c>
      <c r="FU1505" s="451"/>
    </row>
    <row r="1506" spans="135:177" x14ac:dyDescent="0.35">
      <c r="EE1506" s="451">
        <v>40767</v>
      </c>
      <c r="EF1506" s="62">
        <v>107.22</v>
      </c>
      <c r="EG1506" s="62">
        <v>1178.8100589999999</v>
      </c>
      <c r="FU1506" s="451"/>
    </row>
    <row r="1507" spans="135:177" x14ac:dyDescent="0.35">
      <c r="EE1507" s="451">
        <v>40766</v>
      </c>
      <c r="EF1507" s="62">
        <v>106.04</v>
      </c>
      <c r="EG1507" s="62">
        <v>1172.6400149999999</v>
      </c>
      <c r="FU1507" s="451"/>
    </row>
    <row r="1508" spans="135:177" x14ac:dyDescent="0.35">
      <c r="EE1508" s="451">
        <v>40765</v>
      </c>
      <c r="EF1508" s="62">
        <v>99.3</v>
      </c>
      <c r="EG1508" s="62">
        <v>1120.76001</v>
      </c>
      <c r="FU1508" s="451"/>
    </row>
    <row r="1509" spans="135:177" x14ac:dyDescent="0.35">
      <c r="EE1509" s="451">
        <v>40764</v>
      </c>
      <c r="EF1509" s="62">
        <v>102.98</v>
      </c>
      <c r="EG1509" s="62">
        <v>1172.530029</v>
      </c>
      <c r="FU1509" s="451"/>
    </row>
    <row r="1510" spans="135:177" x14ac:dyDescent="0.35">
      <c r="EE1510" s="451">
        <v>40763</v>
      </c>
      <c r="EF1510" s="62">
        <v>96.68</v>
      </c>
      <c r="EG1510" s="62">
        <v>1119.459961</v>
      </c>
      <c r="FU1510" s="451"/>
    </row>
    <row r="1511" spans="135:177" x14ac:dyDescent="0.35">
      <c r="EE1511" s="451">
        <v>40760</v>
      </c>
      <c r="EF1511" s="62">
        <v>105.6</v>
      </c>
      <c r="EG1511" s="62">
        <v>1199.380005</v>
      </c>
      <c r="FU1511" s="451"/>
    </row>
    <row r="1512" spans="135:177" x14ac:dyDescent="0.35">
      <c r="EE1512" s="451">
        <v>40759</v>
      </c>
      <c r="EF1512" s="62">
        <v>105.64</v>
      </c>
      <c r="EG1512" s="62">
        <v>1200.0699460000001</v>
      </c>
      <c r="FU1512" s="451"/>
    </row>
    <row r="1513" spans="135:177" x14ac:dyDescent="0.35">
      <c r="EE1513" s="451">
        <v>40758</v>
      </c>
      <c r="EF1513" s="62">
        <v>112.5</v>
      </c>
      <c r="EG1513" s="62">
        <v>1260.339966</v>
      </c>
      <c r="FU1513" s="451"/>
    </row>
    <row r="1514" spans="135:177" x14ac:dyDescent="0.35">
      <c r="EE1514" s="451">
        <v>40757</v>
      </c>
      <c r="EF1514" s="62">
        <v>111.48</v>
      </c>
      <c r="EG1514" s="62">
        <v>1254.0500489999999</v>
      </c>
      <c r="FU1514" s="451"/>
    </row>
    <row r="1515" spans="135:177" x14ac:dyDescent="0.35">
      <c r="EE1515" s="451">
        <v>40756</v>
      </c>
      <c r="EF1515" s="62">
        <v>114.27</v>
      </c>
      <c r="EG1515" s="62">
        <v>1286.9399410000001</v>
      </c>
      <c r="FU1515" s="451"/>
    </row>
    <row r="1516" spans="135:177" x14ac:dyDescent="0.35">
      <c r="EE1516" s="451">
        <v>40753</v>
      </c>
      <c r="EF1516" s="62">
        <v>115.35</v>
      </c>
      <c r="EG1516" s="62">
        <v>1292.280029</v>
      </c>
      <c r="FU1516" s="451"/>
    </row>
    <row r="1517" spans="135:177" x14ac:dyDescent="0.35">
      <c r="EE1517" s="451">
        <v>40752</v>
      </c>
      <c r="EF1517" s="62">
        <v>115.69</v>
      </c>
      <c r="EG1517" s="62">
        <v>1300.670044</v>
      </c>
      <c r="FU1517" s="451"/>
    </row>
    <row r="1518" spans="135:177" x14ac:dyDescent="0.35">
      <c r="EE1518" s="451">
        <v>40751</v>
      </c>
      <c r="EF1518" s="62">
        <v>116.8</v>
      </c>
      <c r="EG1518" s="62">
        <v>1304.8900149999999</v>
      </c>
      <c r="FU1518" s="451"/>
    </row>
    <row r="1519" spans="135:177" x14ac:dyDescent="0.35">
      <c r="EE1519" s="451">
        <v>40750</v>
      </c>
      <c r="EF1519" s="62">
        <v>129.28</v>
      </c>
      <c r="EG1519" s="62">
        <v>1331.9399410000001</v>
      </c>
      <c r="FU1519" s="451"/>
    </row>
    <row r="1520" spans="135:177" x14ac:dyDescent="0.35">
      <c r="EE1520" s="451">
        <v>40749</v>
      </c>
      <c r="EF1520" s="62">
        <v>129.13999999999999</v>
      </c>
      <c r="EG1520" s="62">
        <v>1337.4300539999999</v>
      </c>
      <c r="FU1520" s="451"/>
    </row>
    <row r="1521" spans="135:177" x14ac:dyDescent="0.35">
      <c r="EE1521" s="451">
        <v>40746</v>
      </c>
      <c r="EF1521" s="62">
        <v>130.9</v>
      </c>
      <c r="EG1521" s="62">
        <v>1345.0200199999999</v>
      </c>
      <c r="FU1521" s="451"/>
    </row>
    <row r="1522" spans="135:177" x14ac:dyDescent="0.35">
      <c r="EE1522" s="451">
        <v>40745</v>
      </c>
      <c r="EF1522" s="62">
        <v>129.69999999999999</v>
      </c>
      <c r="EG1522" s="62">
        <v>1343.8000489999999</v>
      </c>
      <c r="FU1522" s="451"/>
    </row>
    <row r="1523" spans="135:177" x14ac:dyDescent="0.35">
      <c r="EE1523" s="451">
        <v>40744</v>
      </c>
      <c r="EF1523" s="62">
        <v>129.19</v>
      </c>
      <c r="EG1523" s="62">
        <v>1325.839966</v>
      </c>
      <c r="FU1523" s="451"/>
    </row>
    <row r="1524" spans="135:177" x14ac:dyDescent="0.35">
      <c r="EE1524" s="451">
        <v>40743</v>
      </c>
      <c r="EF1524" s="62">
        <v>131.31</v>
      </c>
      <c r="EG1524" s="62">
        <v>1326.7299800000001</v>
      </c>
      <c r="FU1524" s="451"/>
    </row>
    <row r="1525" spans="135:177" x14ac:dyDescent="0.35">
      <c r="EE1525" s="451">
        <v>40742</v>
      </c>
      <c r="EF1525" s="62">
        <v>128.33000000000001</v>
      </c>
      <c r="EG1525" s="62">
        <v>1305.4399410000001</v>
      </c>
      <c r="FU1525" s="451"/>
    </row>
    <row r="1526" spans="135:177" x14ac:dyDescent="0.35">
      <c r="EE1526" s="451">
        <v>40739</v>
      </c>
      <c r="EF1526" s="62">
        <v>130.24</v>
      </c>
      <c r="EG1526" s="62">
        <v>1316.1400149999999</v>
      </c>
      <c r="FU1526" s="451"/>
    </row>
    <row r="1527" spans="135:177" x14ac:dyDescent="0.35">
      <c r="EE1527" s="451">
        <v>40738</v>
      </c>
      <c r="EF1527" s="62">
        <v>130.6</v>
      </c>
      <c r="EG1527" s="62">
        <v>1308.869995</v>
      </c>
      <c r="FU1527" s="451"/>
    </row>
    <row r="1528" spans="135:177" x14ac:dyDescent="0.35">
      <c r="EE1528" s="451">
        <v>40737</v>
      </c>
      <c r="EF1528" s="62">
        <v>131.75</v>
      </c>
      <c r="EG1528" s="62">
        <v>1317.719971</v>
      </c>
      <c r="FU1528" s="451"/>
    </row>
    <row r="1529" spans="135:177" x14ac:dyDescent="0.35">
      <c r="EE1529" s="451">
        <v>40736</v>
      </c>
      <c r="EF1529" s="62">
        <v>130.21</v>
      </c>
      <c r="EG1529" s="62">
        <v>1313.6400149999999</v>
      </c>
      <c r="FU1529" s="451"/>
    </row>
    <row r="1530" spans="135:177" x14ac:dyDescent="0.35">
      <c r="EE1530" s="451">
        <v>40735</v>
      </c>
      <c r="EF1530" s="62">
        <v>130.12</v>
      </c>
      <c r="EG1530" s="62">
        <v>1319.48999</v>
      </c>
      <c r="FU1530" s="451"/>
    </row>
    <row r="1531" spans="135:177" x14ac:dyDescent="0.35">
      <c r="EE1531" s="451">
        <v>40732</v>
      </c>
      <c r="EF1531" s="62">
        <v>131.94</v>
      </c>
      <c r="EG1531" s="62">
        <v>1343.8000489999999</v>
      </c>
      <c r="FU1531" s="451"/>
    </row>
    <row r="1532" spans="135:177" x14ac:dyDescent="0.35">
      <c r="EE1532" s="451">
        <v>40731</v>
      </c>
      <c r="EF1532" s="62">
        <v>131.96</v>
      </c>
      <c r="EG1532" s="62">
        <v>1353.219971</v>
      </c>
      <c r="FU1532" s="451"/>
    </row>
    <row r="1533" spans="135:177" x14ac:dyDescent="0.35">
      <c r="EE1533" s="451">
        <v>40730</v>
      </c>
      <c r="EF1533" s="62">
        <v>130.21</v>
      </c>
      <c r="EG1533" s="62">
        <v>1339.219971</v>
      </c>
      <c r="FU1533" s="451"/>
    </row>
    <row r="1534" spans="135:177" x14ac:dyDescent="0.35">
      <c r="EE1534" s="451">
        <v>40729</v>
      </c>
      <c r="EF1534" s="62">
        <v>131.81</v>
      </c>
      <c r="EG1534" s="62">
        <v>1337.880005</v>
      </c>
      <c r="FU1534" s="451"/>
    </row>
    <row r="1535" spans="135:177" x14ac:dyDescent="0.35">
      <c r="EE1535" s="451">
        <v>40725</v>
      </c>
      <c r="EF1535" s="62">
        <v>130.28</v>
      </c>
      <c r="EG1535" s="62">
        <v>1339.670044</v>
      </c>
      <c r="FU1535" s="451"/>
    </row>
    <row r="1536" spans="135:177" x14ac:dyDescent="0.35">
      <c r="EE1536" s="451">
        <v>40724</v>
      </c>
      <c r="EF1536" s="62">
        <v>125.66</v>
      </c>
      <c r="EG1536" s="62">
        <v>1320.6400149999999</v>
      </c>
      <c r="FU1536" s="451"/>
    </row>
    <row r="1537" spans="135:177" x14ac:dyDescent="0.35">
      <c r="EE1537" s="451">
        <v>40723</v>
      </c>
      <c r="EF1537" s="62">
        <v>127.07</v>
      </c>
      <c r="EG1537" s="62">
        <v>1307.410034</v>
      </c>
      <c r="FU1537" s="451"/>
    </row>
    <row r="1538" spans="135:177" x14ac:dyDescent="0.35">
      <c r="EE1538" s="451">
        <v>40722</v>
      </c>
      <c r="EF1538" s="62">
        <v>127.94</v>
      </c>
      <c r="EG1538" s="62">
        <v>1296.670044</v>
      </c>
      <c r="FU1538" s="451"/>
    </row>
    <row r="1539" spans="135:177" x14ac:dyDescent="0.35">
      <c r="EE1539" s="451">
        <v>40721</v>
      </c>
      <c r="EF1539" s="62">
        <v>126.25</v>
      </c>
      <c r="EG1539" s="62">
        <v>1280.099976</v>
      </c>
      <c r="FU1539" s="451"/>
    </row>
    <row r="1540" spans="135:177" x14ac:dyDescent="0.35">
      <c r="EE1540" s="451">
        <v>40718</v>
      </c>
      <c r="EF1540" s="62">
        <v>125.66</v>
      </c>
      <c r="EG1540" s="62">
        <v>1268.4499510000001</v>
      </c>
      <c r="FU1540" s="451"/>
    </row>
    <row r="1541" spans="135:177" x14ac:dyDescent="0.35">
      <c r="EE1541" s="451">
        <v>40717</v>
      </c>
      <c r="EF1541" s="62">
        <v>124.29</v>
      </c>
      <c r="EG1541" s="62">
        <v>1283.5</v>
      </c>
      <c r="FU1541" s="451"/>
    </row>
    <row r="1542" spans="135:177" x14ac:dyDescent="0.35">
      <c r="EE1542" s="451">
        <v>40716</v>
      </c>
      <c r="EF1542" s="62">
        <v>121.19</v>
      </c>
      <c r="EG1542" s="62">
        <v>1287.1400149999999</v>
      </c>
      <c r="FU1542" s="451"/>
    </row>
    <row r="1543" spans="135:177" x14ac:dyDescent="0.35">
      <c r="EE1543" s="451">
        <v>40715</v>
      </c>
      <c r="EF1543" s="62">
        <v>121.85</v>
      </c>
      <c r="EG1543" s="62">
        <v>1295.5200199999999</v>
      </c>
      <c r="FU1543" s="451"/>
    </row>
    <row r="1544" spans="135:177" x14ac:dyDescent="0.35">
      <c r="EE1544" s="451">
        <v>40714</v>
      </c>
      <c r="EF1544" s="62">
        <v>119.85</v>
      </c>
      <c r="EG1544" s="62">
        <v>1278.3599850000001</v>
      </c>
      <c r="FU1544" s="451"/>
    </row>
    <row r="1545" spans="135:177" x14ac:dyDescent="0.35">
      <c r="EE1545" s="451">
        <v>40711</v>
      </c>
      <c r="EF1545" s="62">
        <v>117.67</v>
      </c>
      <c r="EG1545" s="62">
        <v>1271.5</v>
      </c>
      <c r="FU1545" s="451"/>
    </row>
    <row r="1546" spans="135:177" x14ac:dyDescent="0.35">
      <c r="EE1546" s="451">
        <v>40710</v>
      </c>
      <c r="EF1546" s="62">
        <v>118.25</v>
      </c>
      <c r="EG1546" s="62">
        <v>1267.6400149999999</v>
      </c>
      <c r="FU1546" s="451"/>
    </row>
    <row r="1547" spans="135:177" x14ac:dyDescent="0.35">
      <c r="EE1547" s="451">
        <v>40709</v>
      </c>
      <c r="EF1547" s="62">
        <v>118.01</v>
      </c>
      <c r="EG1547" s="62">
        <v>1265.420044</v>
      </c>
      <c r="FU1547" s="451"/>
    </row>
    <row r="1548" spans="135:177" x14ac:dyDescent="0.35">
      <c r="EE1548" s="451">
        <v>40708</v>
      </c>
      <c r="EF1548" s="62">
        <v>119.07</v>
      </c>
      <c r="EG1548" s="62">
        <v>1287.869995</v>
      </c>
      <c r="FU1548" s="451"/>
    </row>
    <row r="1549" spans="135:177" x14ac:dyDescent="0.35">
      <c r="EE1549" s="451">
        <v>40707</v>
      </c>
      <c r="EF1549" s="62">
        <v>116.38</v>
      </c>
      <c r="EG1549" s="62">
        <v>1271.829956</v>
      </c>
      <c r="FU1549" s="451"/>
    </row>
    <row r="1550" spans="135:177" x14ac:dyDescent="0.35">
      <c r="EE1550" s="451">
        <v>40704</v>
      </c>
      <c r="EF1550" s="62">
        <v>115.86</v>
      </c>
      <c r="EG1550" s="62">
        <v>1270.9799800000001</v>
      </c>
      <c r="FU1550" s="451"/>
    </row>
    <row r="1551" spans="135:177" x14ac:dyDescent="0.35">
      <c r="EE1551" s="451">
        <v>40703</v>
      </c>
      <c r="EF1551" s="62">
        <v>117.94</v>
      </c>
      <c r="EG1551" s="62">
        <v>1289</v>
      </c>
      <c r="FU1551" s="451"/>
    </row>
    <row r="1552" spans="135:177" x14ac:dyDescent="0.35">
      <c r="EE1552" s="451">
        <v>40702</v>
      </c>
      <c r="EF1552" s="62">
        <v>117.11</v>
      </c>
      <c r="EG1552" s="62">
        <v>1279.5600589999999</v>
      </c>
      <c r="FU1552" s="451"/>
    </row>
    <row r="1553" spans="135:177" x14ac:dyDescent="0.35">
      <c r="EE1553" s="451">
        <v>40701</v>
      </c>
      <c r="EF1553" s="62">
        <v>118.59</v>
      </c>
      <c r="EG1553" s="62">
        <v>1284.9399410000001</v>
      </c>
      <c r="FU1553" s="451"/>
    </row>
    <row r="1554" spans="135:177" x14ac:dyDescent="0.35">
      <c r="EE1554" s="451">
        <v>40700</v>
      </c>
      <c r="EF1554" s="62">
        <v>118.49</v>
      </c>
      <c r="EG1554" s="62">
        <v>1286.170044</v>
      </c>
      <c r="FU1554" s="451"/>
    </row>
    <row r="1555" spans="135:177" x14ac:dyDescent="0.35">
      <c r="EE1555" s="451">
        <v>40697</v>
      </c>
      <c r="EF1555" s="62">
        <v>119.82</v>
      </c>
      <c r="EG1555" s="62">
        <v>1300.160034</v>
      </c>
      <c r="FU1555" s="451"/>
    </row>
    <row r="1556" spans="135:177" x14ac:dyDescent="0.35">
      <c r="EE1556" s="451">
        <v>40696</v>
      </c>
      <c r="EF1556" s="62">
        <v>120.7</v>
      </c>
      <c r="EG1556" s="62">
        <v>1312.9399410000001</v>
      </c>
      <c r="FU1556" s="451"/>
    </row>
    <row r="1557" spans="135:177" x14ac:dyDescent="0.35">
      <c r="EE1557" s="451">
        <v>40695</v>
      </c>
      <c r="EF1557" s="62">
        <v>121.14</v>
      </c>
      <c r="EG1557" s="62">
        <v>1314.5500489999999</v>
      </c>
      <c r="FU1557" s="451"/>
    </row>
    <row r="1558" spans="135:177" x14ac:dyDescent="0.35">
      <c r="EE1558" s="451">
        <v>40694</v>
      </c>
      <c r="EF1558" s="62">
        <v>125.03</v>
      </c>
      <c r="EG1558" s="62">
        <v>1345.1999510000001</v>
      </c>
      <c r="FU1558" s="451"/>
    </row>
    <row r="1559" spans="135:177" x14ac:dyDescent="0.35">
      <c r="EE1559" s="451">
        <v>40690</v>
      </c>
      <c r="EF1559" s="62">
        <v>125.97</v>
      </c>
      <c r="EG1559" s="62">
        <v>1331.099976</v>
      </c>
      <c r="FU1559" s="451"/>
    </row>
    <row r="1560" spans="135:177" x14ac:dyDescent="0.35">
      <c r="EE1560" s="451">
        <v>40689</v>
      </c>
      <c r="EF1560" s="62">
        <v>125.74</v>
      </c>
      <c r="EG1560" s="62">
        <v>1325.6899410000001</v>
      </c>
      <c r="FU1560" s="451"/>
    </row>
    <row r="1561" spans="135:177" x14ac:dyDescent="0.35">
      <c r="EE1561" s="451">
        <v>40688</v>
      </c>
      <c r="EF1561" s="62">
        <v>123.83</v>
      </c>
      <c r="EG1561" s="62">
        <v>1320.469971</v>
      </c>
      <c r="FU1561" s="451"/>
    </row>
    <row r="1562" spans="135:177" x14ac:dyDescent="0.35">
      <c r="EE1562" s="451">
        <v>40687</v>
      </c>
      <c r="EF1562" s="62">
        <v>122.75</v>
      </c>
      <c r="EG1562" s="62">
        <v>1316.280029</v>
      </c>
      <c r="FU1562" s="451"/>
    </row>
    <row r="1563" spans="135:177" x14ac:dyDescent="0.35">
      <c r="EE1563" s="451">
        <v>40686</v>
      </c>
      <c r="EF1563" s="62">
        <v>124.47</v>
      </c>
      <c r="EG1563" s="62">
        <v>1317.369995</v>
      </c>
      <c r="FU1563" s="451"/>
    </row>
    <row r="1564" spans="135:177" x14ac:dyDescent="0.35">
      <c r="EE1564" s="451">
        <v>40683</v>
      </c>
      <c r="EF1564" s="62">
        <v>123.49</v>
      </c>
      <c r="EG1564" s="62">
        <v>1333.2700199999999</v>
      </c>
      <c r="FU1564" s="451"/>
    </row>
    <row r="1565" spans="135:177" x14ac:dyDescent="0.35">
      <c r="EE1565" s="451">
        <v>40682</v>
      </c>
      <c r="EF1565" s="62">
        <v>124.82</v>
      </c>
      <c r="EG1565" s="62">
        <v>1343.599976</v>
      </c>
      <c r="FU1565" s="451"/>
    </row>
    <row r="1566" spans="135:177" x14ac:dyDescent="0.35">
      <c r="EE1566" s="451">
        <v>40681</v>
      </c>
      <c r="EF1566" s="62">
        <v>122.91</v>
      </c>
      <c r="EG1566" s="62">
        <v>1340.6800539999999</v>
      </c>
      <c r="FU1566" s="451"/>
    </row>
    <row r="1567" spans="135:177" x14ac:dyDescent="0.35">
      <c r="EE1567" s="451">
        <v>40680</v>
      </c>
      <c r="EF1567" s="62">
        <v>121</v>
      </c>
      <c r="EG1567" s="62">
        <v>1328.9799800000001</v>
      </c>
      <c r="FU1567" s="451"/>
    </row>
    <row r="1568" spans="135:177" x14ac:dyDescent="0.35">
      <c r="EE1568" s="451">
        <v>40679</v>
      </c>
      <c r="EF1568" s="62">
        <v>121.91</v>
      </c>
      <c r="EG1568" s="62">
        <v>1329.469971</v>
      </c>
      <c r="FU1568" s="451"/>
    </row>
    <row r="1569" spans="135:177" x14ac:dyDescent="0.35">
      <c r="EE1569" s="451">
        <v>40676</v>
      </c>
      <c r="EF1569" s="62">
        <v>123.97</v>
      </c>
      <c r="EG1569" s="62">
        <v>1337.7700199999999</v>
      </c>
      <c r="FU1569" s="451"/>
    </row>
    <row r="1570" spans="135:177" x14ac:dyDescent="0.35">
      <c r="EE1570" s="451">
        <v>40675</v>
      </c>
      <c r="EF1570" s="62">
        <v>123.73</v>
      </c>
      <c r="EG1570" s="62">
        <v>1348.650024</v>
      </c>
      <c r="FU1570" s="451"/>
    </row>
    <row r="1571" spans="135:177" x14ac:dyDescent="0.35">
      <c r="EE1571" s="451">
        <v>40674</v>
      </c>
      <c r="EF1571" s="62">
        <v>122.58</v>
      </c>
      <c r="EG1571" s="62">
        <v>1342.079956</v>
      </c>
      <c r="FU1571" s="451"/>
    </row>
    <row r="1572" spans="135:177" x14ac:dyDescent="0.35">
      <c r="EE1572" s="451">
        <v>40673</v>
      </c>
      <c r="EF1572" s="62">
        <v>121.33</v>
      </c>
      <c r="EG1572" s="62">
        <v>1357.160034</v>
      </c>
      <c r="FU1572" s="451"/>
    </row>
    <row r="1573" spans="135:177" x14ac:dyDescent="0.35">
      <c r="EE1573" s="451">
        <v>40672</v>
      </c>
      <c r="EF1573" s="62">
        <v>118.84</v>
      </c>
      <c r="EG1573" s="62">
        <v>1346.290039</v>
      </c>
      <c r="FU1573" s="451"/>
    </row>
    <row r="1574" spans="135:177" x14ac:dyDescent="0.35">
      <c r="EE1574" s="451">
        <v>40669</v>
      </c>
      <c r="EF1574" s="62">
        <v>119.39</v>
      </c>
      <c r="EG1574" s="62">
        <v>1340.1999510000001</v>
      </c>
      <c r="FU1574" s="451"/>
    </row>
    <row r="1575" spans="135:177" x14ac:dyDescent="0.35">
      <c r="EE1575" s="451">
        <v>40668</v>
      </c>
      <c r="EF1575" s="62">
        <v>120.25</v>
      </c>
      <c r="EG1575" s="62">
        <v>1335.099976</v>
      </c>
      <c r="FU1575" s="451"/>
    </row>
    <row r="1576" spans="135:177" x14ac:dyDescent="0.35">
      <c r="EE1576" s="451">
        <v>40667</v>
      </c>
      <c r="EF1576" s="62">
        <v>118.52</v>
      </c>
      <c r="EG1576" s="62">
        <v>1347.3199460000001</v>
      </c>
      <c r="FU1576" s="451"/>
    </row>
    <row r="1577" spans="135:177" x14ac:dyDescent="0.35">
      <c r="EE1577" s="451">
        <v>40666</v>
      </c>
      <c r="EF1577" s="62">
        <v>117.2</v>
      </c>
      <c r="EG1577" s="62">
        <v>1356.619995</v>
      </c>
      <c r="FU1577" s="451"/>
    </row>
    <row r="1578" spans="135:177" x14ac:dyDescent="0.35">
      <c r="EE1578" s="451">
        <v>40665</v>
      </c>
      <c r="EF1578" s="62">
        <v>118.46</v>
      </c>
      <c r="EG1578" s="62">
        <v>1361.219971</v>
      </c>
      <c r="FU1578" s="451"/>
    </row>
    <row r="1579" spans="135:177" x14ac:dyDescent="0.35">
      <c r="EE1579" s="451">
        <v>40662</v>
      </c>
      <c r="EF1579" s="62">
        <v>121.11</v>
      </c>
      <c r="EG1579" s="62">
        <v>1363.6099850000001</v>
      </c>
      <c r="FU1579" s="451"/>
    </row>
    <row r="1580" spans="135:177" x14ac:dyDescent="0.35">
      <c r="EE1580" s="451">
        <v>40661</v>
      </c>
      <c r="EF1580" s="62">
        <v>121.29</v>
      </c>
      <c r="EG1580" s="62">
        <v>1360.4799800000001</v>
      </c>
      <c r="FU1580" s="451"/>
    </row>
    <row r="1581" spans="135:177" x14ac:dyDescent="0.35">
      <c r="EE1581" s="451">
        <v>40660</v>
      </c>
      <c r="EF1581" s="62">
        <v>122.61</v>
      </c>
      <c r="EG1581" s="62">
        <v>1355.660034</v>
      </c>
      <c r="FU1581" s="451"/>
    </row>
    <row r="1582" spans="135:177" x14ac:dyDescent="0.35">
      <c r="EE1582" s="451">
        <v>40659</v>
      </c>
      <c r="EF1582" s="62">
        <v>124.32</v>
      </c>
      <c r="EG1582" s="62">
        <v>1347.23999</v>
      </c>
      <c r="FU1582" s="451"/>
    </row>
    <row r="1583" spans="135:177" x14ac:dyDescent="0.35">
      <c r="EE1583" s="451">
        <v>40658</v>
      </c>
      <c r="EF1583" s="62">
        <v>126.88</v>
      </c>
      <c r="EG1583" s="62">
        <v>1335.25</v>
      </c>
      <c r="FU1583" s="451"/>
    </row>
    <row r="1584" spans="135:177" x14ac:dyDescent="0.35">
      <c r="EE1584" s="451">
        <v>40654</v>
      </c>
      <c r="EF1584" s="62">
        <v>122.07</v>
      </c>
      <c r="EG1584" s="62">
        <v>1337.380005</v>
      </c>
      <c r="FU1584" s="451"/>
    </row>
    <row r="1585" spans="135:177" x14ac:dyDescent="0.35">
      <c r="EE1585" s="451">
        <v>40653</v>
      </c>
      <c r="EF1585" s="62">
        <v>123.38</v>
      </c>
      <c r="EG1585" s="62">
        <v>1330.3599850000001</v>
      </c>
      <c r="FU1585" s="451"/>
    </row>
    <row r="1586" spans="135:177" x14ac:dyDescent="0.35">
      <c r="EE1586" s="451">
        <v>40652</v>
      </c>
      <c r="EF1586" s="62">
        <v>122.66</v>
      </c>
      <c r="EG1586" s="62">
        <v>1312.619995</v>
      </c>
      <c r="FU1586" s="451"/>
    </row>
    <row r="1587" spans="135:177" x14ac:dyDescent="0.35">
      <c r="EE1587" s="451">
        <v>40651</v>
      </c>
      <c r="EF1587" s="62">
        <v>121.93</v>
      </c>
      <c r="EG1587" s="62">
        <v>1305.1400149999999</v>
      </c>
      <c r="FU1587" s="451"/>
    </row>
    <row r="1588" spans="135:177" x14ac:dyDescent="0.35">
      <c r="EE1588" s="451">
        <v>40648</v>
      </c>
      <c r="EF1588" s="62">
        <v>124.65</v>
      </c>
      <c r="EG1588" s="62">
        <v>1319.6800539999999</v>
      </c>
      <c r="FU1588" s="451"/>
    </row>
    <row r="1589" spans="135:177" x14ac:dyDescent="0.35">
      <c r="EE1589" s="451">
        <v>40647</v>
      </c>
      <c r="EF1589" s="62">
        <v>123.42</v>
      </c>
      <c r="EG1589" s="62">
        <v>1314.5200199999999</v>
      </c>
      <c r="FU1589" s="451"/>
    </row>
    <row r="1590" spans="135:177" x14ac:dyDescent="0.35">
      <c r="EE1590" s="451">
        <v>40646</v>
      </c>
      <c r="EF1590" s="62">
        <v>123.38</v>
      </c>
      <c r="EG1590" s="62">
        <v>1314.410034</v>
      </c>
      <c r="FU1590" s="451"/>
    </row>
    <row r="1591" spans="135:177" x14ac:dyDescent="0.35">
      <c r="EE1591" s="451">
        <v>40645</v>
      </c>
      <c r="EF1591" s="62">
        <v>120.48</v>
      </c>
      <c r="EG1591" s="62">
        <v>1314.160034</v>
      </c>
      <c r="FU1591" s="451"/>
    </row>
    <row r="1592" spans="135:177" x14ac:dyDescent="0.35">
      <c r="EE1592" s="451">
        <v>40644</v>
      </c>
      <c r="EF1592" s="62">
        <v>120.5</v>
      </c>
      <c r="EG1592" s="62">
        <v>1324.459961</v>
      </c>
      <c r="FU1592" s="451"/>
    </row>
    <row r="1593" spans="135:177" x14ac:dyDescent="0.35">
      <c r="EE1593" s="451">
        <v>40641</v>
      </c>
      <c r="EF1593" s="62">
        <v>120.17</v>
      </c>
      <c r="EG1593" s="62">
        <v>1328.170044</v>
      </c>
      <c r="FU1593" s="451"/>
    </row>
    <row r="1594" spans="135:177" x14ac:dyDescent="0.35">
      <c r="EE1594" s="451">
        <v>40640</v>
      </c>
      <c r="EF1594" s="62">
        <v>122.22</v>
      </c>
      <c r="EG1594" s="62">
        <v>1333.51001</v>
      </c>
      <c r="FU1594" s="451"/>
    </row>
    <row r="1595" spans="135:177" x14ac:dyDescent="0.35">
      <c r="EE1595" s="451">
        <v>40639</v>
      </c>
      <c r="EF1595" s="62">
        <v>123.9</v>
      </c>
      <c r="EG1595" s="62">
        <v>1335.540039</v>
      </c>
      <c r="FU1595" s="451"/>
    </row>
    <row r="1596" spans="135:177" x14ac:dyDescent="0.35">
      <c r="EE1596" s="451">
        <v>40638</v>
      </c>
      <c r="EF1596" s="62">
        <v>128.69</v>
      </c>
      <c r="EG1596" s="62">
        <v>1332.630005</v>
      </c>
      <c r="FU1596" s="451"/>
    </row>
    <row r="1597" spans="135:177" x14ac:dyDescent="0.35">
      <c r="EE1597" s="451">
        <v>40637</v>
      </c>
      <c r="EF1597" s="62">
        <v>128.66999999999999</v>
      </c>
      <c r="EG1597" s="62">
        <v>1332.869995</v>
      </c>
      <c r="FU1597" s="451"/>
    </row>
    <row r="1598" spans="135:177" x14ac:dyDescent="0.35">
      <c r="EE1598" s="451">
        <v>40634</v>
      </c>
      <c r="EF1598" s="62">
        <v>127.87</v>
      </c>
      <c r="EG1598" s="62">
        <v>1332.410034</v>
      </c>
      <c r="FU1598" s="451"/>
    </row>
    <row r="1599" spans="135:177" x14ac:dyDescent="0.35">
      <c r="EE1599" s="451">
        <v>40633</v>
      </c>
      <c r="EF1599" s="62">
        <v>127</v>
      </c>
      <c r="EG1599" s="62">
        <v>1325.829956</v>
      </c>
      <c r="FU1599" s="451"/>
    </row>
    <row r="1600" spans="135:177" x14ac:dyDescent="0.35">
      <c r="EE1600" s="451">
        <v>40632</v>
      </c>
      <c r="EF1600" s="62">
        <v>126.77</v>
      </c>
      <c r="EG1600" s="62">
        <v>1328.26001</v>
      </c>
      <c r="FU1600" s="451"/>
    </row>
    <row r="1601" spans="135:177" x14ac:dyDescent="0.35">
      <c r="EE1601" s="451">
        <v>40631</v>
      </c>
      <c r="EF1601" s="62">
        <v>123.47</v>
      </c>
      <c r="EG1601" s="62">
        <v>1319.4399410000001</v>
      </c>
      <c r="FU1601" s="451"/>
    </row>
    <row r="1602" spans="135:177" x14ac:dyDescent="0.35">
      <c r="EE1602" s="451">
        <v>40630</v>
      </c>
      <c r="EF1602" s="62">
        <v>122.12</v>
      </c>
      <c r="EG1602" s="62">
        <v>1310.1899410000001</v>
      </c>
      <c r="FU1602" s="451"/>
    </row>
    <row r="1603" spans="135:177" x14ac:dyDescent="0.35">
      <c r="EE1603" s="451">
        <v>40627</v>
      </c>
      <c r="EF1603" s="62">
        <v>121.83</v>
      </c>
      <c r="EG1603" s="62">
        <v>1313.8000489999999</v>
      </c>
      <c r="FU1603" s="451"/>
    </row>
    <row r="1604" spans="135:177" x14ac:dyDescent="0.35">
      <c r="EE1604" s="451">
        <v>40626</v>
      </c>
      <c r="EF1604" s="62">
        <v>120.84</v>
      </c>
      <c r="EG1604" s="62">
        <v>1309.660034</v>
      </c>
      <c r="FU1604" s="451"/>
    </row>
    <row r="1605" spans="135:177" x14ac:dyDescent="0.35">
      <c r="EE1605" s="451">
        <v>40625</v>
      </c>
      <c r="EF1605" s="62">
        <v>119.04</v>
      </c>
      <c r="EG1605" s="62">
        <v>1297.540039</v>
      </c>
      <c r="FU1605" s="451"/>
    </row>
    <row r="1606" spans="135:177" x14ac:dyDescent="0.35">
      <c r="EE1606" s="451">
        <v>40624</v>
      </c>
      <c r="EF1606" s="62">
        <v>117.75</v>
      </c>
      <c r="EG1606" s="62">
        <v>1293.7700199999999</v>
      </c>
      <c r="FU1606" s="451"/>
    </row>
    <row r="1607" spans="135:177" x14ac:dyDescent="0.35">
      <c r="EE1607" s="451">
        <v>40623</v>
      </c>
      <c r="EF1607" s="62">
        <v>118.85</v>
      </c>
      <c r="EG1607" s="62">
        <v>1298.380005</v>
      </c>
      <c r="FU1607" s="451"/>
    </row>
    <row r="1608" spans="135:177" x14ac:dyDescent="0.35">
      <c r="EE1608" s="451">
        <v>40620</v>
      </c>
      <c r="EF1608" s="62">
        <v>118.64</v>
      </c>
      <c r="EG1608" s="62">
        <v>1279.209961</v>
      </c>
      <c r="FU1608" s="451"/>
    </row>
    <row r="1609" spans="135:177" x14ac:dyDescent="0.35">
      <c r="EE1609" s="451">
        <v>40619</v>
      </c>
      <c r="EF1609" s="62">
        <v>117.9</v>
      </c>
      <c r="EG1609" s="62">
        <v>1273.719971</v>
      </c>
      <c r="FU1609" s="451"/>
    </row>
    <row r="1610" spans="135:177" x14ac:dyDescent="0.35">
      <c r="EE1610" s="451">
        <v>40618</v>
      </c>
      <c r="EF1610" s="62">
        <v>118.47</v>
      </c>
      <c r="EG1610" s="62">
        <v>1256.880005</v>
      </c>
      <c r="FU1610" s="451"/>
    </row>
    <row r="1611" spans="135:177" x14ac:dyDescent="0.35">
      <c r="EE1611" s="451">
        <v>40617</v>
      </c>
      <c r="EF1611" s="62">
        <v>119.81</v>
      </c>
      <c r="EG1611" s="62">
        <v>1281.869995</v>
      </c>
      <c r="FU1611" s="451"/>
    </row>
    <row r="1612" spans="135:177" x14ac:dyDescent="0.35">
      <c r="EE1612" s="451">
        <v>40616</v>
      </c>
      <c r="EF1612" s="62">
        <v>120.63</v>
      </c>
      <c r="EG1612" s="62">
        <v>1296.3900149999999</v>
      </c>
      <c r="FU1612" s="451"/>
    </row>
    <row r="1613" spans="135:177" x14ac:dyDescent="0.35">
      <c r="EE1613" s="451">
        <v>40613</v>
      </c>
      <c r="EF1613" s="62">
        <v>121.98</v>
      </c>
      <c r="EG1613" s="62">
        <v>1304.280029</v>
      </c>
      <c r="FU1613" s="451"/>
    </row>
    <row r="1614" spans="135:177" x14ac:dyDescent="0.35">
      <c r="EE1614" s="451">
        <v>40612</v>
      </c>
      <c r="EF1614" s="62">
        <v>121.13</v>
      </c>
      <c r="EG1614" s="62">
        <v>1295.1099850000001</v>
      </c>
      <c r="FU1614" s="451"/>
    </row>
    <row r="1615" spans="135:177" x14ac:dyDescent="0.35">
      <c r="EE1615" s="451">
        <v>40611</v>
      </c>
      <c r="EF1615" s="62">
        <v>121.24</v>
      </c>
      <c r="EG1615" s="62">
        <v>1320.0200199999999</v>
      </c>
      <c r="FU1615" s="451"/>
    </row>
    <row r="1616" spans="135:177" x14ac:dyDescent="0.35">
      <c r="EE1616" s="451">
        <v>40610</v>
      </c>
      <c r="EF1616" s="62">
        <v>119.31</v>
      </c>
      <c r="EG1616" s="62">
        <v>1321.8199460000001</v>
      </c>
      <c r="FU1616" s="451"/>
    </row>
    <row r="1617" spans="135:177" x14ac:dyDescent="0.35">
      <c r="EE1617" s="451">
        <v>40609</v>
      </c>
      <c r="EF1617" s="62">
        <v>119.17</v>
      </c>
      <c r="EG1617" s="62">
        <v>1310.130005</v>
      </c>
      <c r="FU1617" s="451"/>
    </row>
    <row r="1618" spans="135:177" x14ac:dyDescent="0.35">
      <c r="EE1618" s="451">
        <v>40606</v>
      </c>
      <c r="EF1618" s="62">
        <v>120.24</v>
      </c>
      <c r="EG1618" s="62">
        <v>1321.150024</v>
      </c>
      <c r="FU1618" s="451"/>
    </row>
    <row r="1619" spans="135:177" x14ac:dyDescent="0.35">
      <c r="EE1619" s="451">
        <v>40605</v>
      </c>
      <c r="EF1619" s="62">
        <v>119.56</v>
      </c>
      <c r="EG1619" s="62">
        <v>1330.969971</v>
      </c>
      <c r="FU1619" s="451"/>
    </row>
    <row r="1620" spans="135:177" x14ac:dyDescent="0.35">
      <c r="EE1620" s="451">
        <v>40604</v>
      </c>
      <c r="EF1620" s="62">
        <v>116.21</v>
      </c>
      <c r="EG1620" s="62">
        <v>1308.4399410000001</v>
      </c>
      <c r="FU1620" s="451"/>
    </row>
    <row r="1621" spans="135:177" x14ac:dyDescent="0.35">
      <c r="EE1621" s="451">
        <v>40603</v>
      </c>
      <c r="EF1621" s="62">
        <v>115.83</v>
      </c>
      <c r="EG1621" s="62">
        <v>1306.329956</v>
      </c>
      <c r="FU1621" s="451"/>
    </row>
    <row r="1622" spans="135:177" x14ac:dyDescent="0.35">
      <c r="EE1622" s="451">
        <v>40602</v>
      </c>
      <c r="EF1622" s="62">
        <v>116.75</v>
      </c>
      <c r="EG1622" s="62">
        <v>1327.219971</v>
      </c>
      <c r="FU1622" s="451"/>
    </row>
    <row r="1623" spans="135:177" x14ac:dyDescent="0.35">
      <c r="EE1623" s="451">
        <v>40599</v>
      </c>
      <c r="EF1623" s="62">
        <v>116.31</v>
      </c>
      <c r="EG1623" s="62">
        <v>1319.880005</v>
      </c>
      <c r="FU1623" s="451"/>
    </row>
    <row r="1624" spans="135:177" x14ac:dyDescent="0.35">
      <c r="EE1624" s="451">
        <v>40598</v>
      </c>
      <c r="EF1624" s="62">
        <v>114.94</v>
      </c>
      <c r="EG1624" s="62">
        <v>1306.099976</v>
      </c>
      <c r="FU1624" s="451"/>
    </row>
    <row r="1625" spans="135:177" x14ac:dyDescent="0.35">
      <c r="EE1625" s="451">
        <v>40597</v>
      </c>
      <c r="EF1625" s="62">
        <v>115.65</v>
      </c>
      <c r="EG1625" s="62">
        <v>1307.400024</v>
      </c>
      <c r="FU1625" s="451"/>
    </row>
    <row r="1626" spans="135:177" x14ac:dyDescent="0.35">
      <c r="EE1626" s="451">
        <v>40596</v>
      </c>
      <c r="EF1626" s="62">
        <v>116.1</v>
      </c>
      <c r="EG1626" s="62">
        <v>1315.4399410000001</v>
      </c>
      <c r="FU1626" s="451"/>
    </row>
    <row r="1627" spans="135:177" x14ac:dyDescent="0.35">
      <c r="EE1627" s="451">
        <v>40592</v>
      </c>
      <c r="EF1627" s="62">
        <v>119.43</v>
      </c>
      <c r="EG1627" s="62">
        <v>1343.01001</v>
      </c>
      <c r="FU1627" s="451"/>
    </row>
    <row r="1628" spans="135:177" x14ac:dyDescent="0.35">
      <c r="EE1628" s="451">
        <v>40591</v>
      </c>
      <c r="EF1628" s="62">
        <v>118.18</v>
      </c>
      <c r="EG1628" s="62">
        <v>1340.4300539999999</v>
      </c>
      <c r="FU1628" s="451"/>
    </row>
    <row r="1629" spans="135:177" x14ac:dyDescent="0.35">
      <c r="EE1629" s="451">
        <v>40590</v>
      </c>
      <c r="EF1629" s="62">
        <v>117.15</v>
      </c>
      <c r="EG1629" s="62">
        <v>1336.3199460000001</v>
      </c>
      <c r="FU1629" s="451"/>
    </row>
    <row r="1630" spans="135:177" x14ac:dyDescent="0.35">
      <c r="EE1630" s="451">
        <v>40589</v>
      </c>
      <c r="EF1630" s="62">
        <v>117.02</v>
      </c>
      <c r="EG1630" s="62">
        <v>1328.01001</v>
      </c>
      <c r="FU1630" s="451"/>
    </row>
    <row r="1631" spans="135:177" x14ac:dyDescent="0.35">
      <c r="EE1631" s="451">
        <v>40588</v>
      </c>
      <c r="EF1631" s="62">
        <v>118.15</v>
      </c>
      <c r="EG1631" s="62">
        <v>1332.3199460000001</v>
      </c>
      <c r="FU1631" s="451"/>
    </row>
    <row r="1632" spans="135:177" x14ac:dyDescent="0.35">
      <c r="EE1632" s="451">
        <v>40585</v>
      </c>
      <c r="EF1632" s="62">
        <v>116.11</v>
      </c>
      <c r="EG1632" s="62">
        <v>1329.150024</v>
      </c>
      <c r="FU1632" s="451"/>
    </row>
    <row r="1633" spans="135:177" x14ac:dyDescent="0.35">
      <c r="EE1633" s="451">
        <v>40584</v>
      </c>
      <c r="EF1633" s="62">
        <v>99.71</v>
      </c>
      <c r="EG1633" s="62">
        <v>1321.869995</v>
      </c>
      <c r="FU1633" s="451"/>
    </row>
    <row r="1634" spans="135:177" x14ac:dyDescent="0.35">
      <c r="EE1634" s="451">
        <v>40583</v>
      </c>
      <c r="EF1634" s="62">
        <v>98.5</v>
      </c>
      <c r="EG1634" s="62">
        <v>1320.880005</v>
      </c>
      <c r="FU1634" s="451"/>
    </row>
    <row r="1635" spans="135:177" x14ac:dyDescent="0.35">
      <c r="EE1635" s="451">
        <v>40582</v>
      </c>
      <c r="EF1635" s="62">
        <v>97.78</v>
      </c>
      <c r="EG1635" s="62">
        <v>1324.5699460000001</v>
      </c>
      <c r="FU1635" s="451"/>
    </row>
    <row r="1636" spans="135:177" x14ac:dyDescent="0.35">
      <c r="EE1636" s="451">
        <v>40581</v>
      </c>
      <c r="EF1636" s="62">
        <v>97.05</v>
      </c>
      <c r="EG1636" s="62">
        <v>1319.0500489999999</v>
      </c>
      <c r="FU1636" s="451"/>
    </row>
    <row r="1637" spans="135:177" x14ac:dyDescent="0.35">
      <c r="EE1637" s="451">
        <v>40578</v>
      </c>
      <c r="EF1637" s="62">
        <v>98.87</v>
      </c>
      <c r="EG1637" s="62">
        <v>1310.869995</v>
      </c>
      <c r="FU1637" s="451"/>
    </row>
    <row r="1638" spans="135:177" x14ac:dyDescent="0.35">
      <c r="EE1638" s="451">
        <v>40577</v>
      </c>
      <c r="EF1638" s="62">
        <v>98.93</v>
      </c>
      <c r="EG1638" s="62">
        <v>1307.099976</v>
      </c>
      <c r="FU1638" s="451"/>
    </row>
    <row r="1639" spans="135:177" x14ac:dyDescent="0.35">
      <c r="EE1639" s="451">
        <v>40576</v>
      </c>
      <c r="EF1639" s="62">
        <v>97.88</v>
      </c>
      <c r="EG1639" s="62">
        <v>1304.030029</v>
      </c>
      <c r="FU1639" s="451"/>
    </row>
    <row r="1640" spans="135:177" x14ac:dyDescent="0.35">
      <c r="EE1640" s="451">
        <v>40575</v>
      </c>
      <c r="EF1640" s="62">
        <v>96.96</v>
      </c>
      <c r="EG1640" s="62">
        <v>1307.589966</v>
      </c>
      <c r="FU1640" s="451"/>
    </row>
    <row r="1641" spans="135:177" x14ac:dyDescent="0.35">
      <c r="EE1641" s="451">
        <v>40574</v>
      </c>
      <c r="EF1641" s="62">
        <v>95.56</v>
      </c>
      <c r="EG1641" s="62">
        <v>1286.119995</v>
      </c>
      <c r="FU1641" s="451"/>
    </row>
    <row r="1642" spans="135:177" x14ac:dyDescent="0.35">
      <c r="EE1642" s="451">
        <v>40571</v>
      </c>
      <c r="EF1642" s="62">
        <v>94.86</v>
      </c>
      <c r="EG1642" s="62">
        <v>1276.339966</v>
      </c>
      <c r="FU1642" s="451"/>
    </row>
    <row r="1643" spans="135:177" x14ac:dyDescent="0.35">
      <c r="EE1643" s="451">
        <v>40570</v>
      </c>
      <c r="EF1643" s="62">
        <v>97.14</v>
      </c>
      <c r="EG1643" s="62">
        <v>1299.540039</v>
      </c>
      <c r="FU1643" s="451"/>
    </row>
    <row r="1644" spans="135:177" x14ac:dyDescent="0.35">
      <c r="EE1644" s="451">
        <v>40569</v>
      </c>
      <c r="EF1644" s="62">
        <v>96.1</v>
      </c>
      <c r="EG1644" s="62">
        <v>1296.630005</v>
      </c>
      <c r="FU1644" s="451"/>
    </row>
    <row r="1645" spans="135:177" x14ac:dyDescent="0.35">
      <c r="EE1645" s="451">
        <v>40568</v>
      </c>
      <c r="EF1645" s="62">
        <v>97.62</v>
      </c>
      <c r="EG1645" s="62">
        <v>1291.1800539999999</v>
      </c>
      <c r="FU1645" s="451"/>
    </row>
    <row r="1646" spans="135:177" x14ac:dyDescent="0.35">
      <c r="EE1646" s="451">
        <v>40567</v>
      </c>
      <c r="EF1646" s="62">
        <v>96.96</v>
      </c>
      <c r="EG1646" s="62">
        <v>1290.839966</v>
      </c>
      <c r="FU1646" s="451"/>
    </row>
    <row r="1647" spans="135:177" x14ac:dyDescent="0.35">
      <c r="EE1647" s="451">
        <v>40564</v>
      </c>
      <c r="EF1647" s="62">
        <v>99.57</v>
      </c>
      <c r="EG1647" s="62">
        <v>1283.349976</v>
      </c>
      <c r="FU1647" s="451"/>
    </row>
    <row r="1648" spans="135:177" x14ac:dyDescent="0.35">
      <c r="EE1648" s="451">
        <v>40563</v>
      </c>
      <c r="EF1648" s="62">
        <v>100.15</v>
      </c>
      <c r="EG1648" s="62">
        <v>1280.26001</v>
      </c>
      <c r="FU1648" s="451"/>
    </row>
    <row r="1649" spans="135:177" x14ac:dyDescent="0.35">
      <c r="EE1649" s="451">
        <v>40562</v>
      </c>
      <c r="EF1649" s="62">
        <v>100.43</v>
      </c>
      <c r="EG1649" s="62">
        <v>1281.920044</v>
      </c>
      <c r="FU1649" s="451"/>
    </row>
    <row r="1650" spans="135:177" x14ac:dyDescent="0.35">
      <c r="EE1650" s="451">
        <v>40561</v>
      </c>
      <c r="EF1650" s="62">
        <v>101.75</v>
      </c>
      <c r="EG1650" s="62">
        <v>1295.0200199999999</v>
      </c>
      <c r="FU1650" s="451"/>
    </row>
    <row r="1651" spans="135:177" x14ac:dyDescent="0.35">
      <c r="EE1651" s="451">
        <v>40557</v>
      </c>
      <c r="EF1651" s="62">
        <v>102.18</v>
      </c>
      <c r="EG1651" s="62">
        <v>1293.23999</v>
      </c>
      <c r="FU1651" s="451"/>
    </row>
    <row r="1652" spans="135:177" x14ac:dyDescent="0.35">
      <c r="EE1652" s="451">
        <v>40556</v>
      </c>
      <c r="EF1652" s="62">
        <v>102.11</v>
      </c>
      <c r="EG1652" s="62">
        <v>1283.76001</v>
      </c>
      <c r="FU1652" s="451"/>
    </row>
    <row r="1653" spans="135:177" x14ac:dyDescent="0.35">
      <c r="EE1653" s="451">
        <v>40555</v>
      </c>
      <c r="EF1653" s="62">
        <v>100.34</v>
      </c>
      <c r="EG1653" s="62">
        <v>1285.959961</v>
      </c>
      <c r="FU1653" s="451"/>
    </row>
    <row r="1654" spans="135:177" x14ac:dyDescent="0.35">
      <c r="EE1654" s="451">
        <v>40554</v>
      </c>
      <c r="EF1654" s="62">
        <v>100.8</v>
      </c>
      <c r="EG1654" s="62">
        <v>1274.4799800000001</v>
      </c>
      <c r="FU1654" s="451"/>
    </row>
    <row r="1655" spans="135:177" x14ac:dyDescent="0.35">
      <c r="EE1655" s="451">
        <v>40553</v>
      </c>
      <c r="EF1655" s="62">
        <v>101.56</v>
      </c>
      <c r="EG1655" s="62">
        <v>1269.75</v>
      </c>
      <c r="FU1655" s="451"/>
    </row>
    <row r="1656" spans="135:177" x14ac:dyDescent="0.35">
      <c r="EE1656" s="451">
        <v>40550</v>
      </c>
      <c r="EF1656" s="62">
        <v>101.51</v>
      </c>
      <c r="EG1656" s="62">
        <v>1271.5</v>
      </c>
      <c r="FU1656" s="451"/>
    </row>
    <row r="1657" spans="135:177" x14ac:dyDescent="0.35">
      <c r="EE1657" s="451">
        <v>40549</v>
      </c>
      <c r="EF1657" s="62">
        <v>101.14</v>
      </c>
      <c r="EG1657" s="62">
        <v>1273.849976</v>
      </c>
      <c r="FU1657" s="451"/>
    </row>
    <row r="1658" spans="135:177" x14ac:dyDescent="0.35">
      <c r="EE1658" s="451">
        <v>40548</v>
      </c>
      <c r="EF1658" s="62">
        <v>100.54</v>
      </c>
      <c r="EG1658" s="62">
        <v>1276.5600589999999</v>
      </c>
      <c r="FU1658" s="451"/>
    </row>
    <row r="1659" spans="135:177" x14ac:dyDescent="0.35">
      <c r="EE1659" s="451">
        <v>40547</v>
      </c>
      <c r="EF1659" s="62">
        <v>100.56</v>
      </c>
      <c r="EG1659" s="62">
        <v>1270.1999510000001</v>
      </c>
      <c r="FU1659" s="451"/>
    </row>
    <row r="1660" spans="135:177" x14ac:dyDescent="0.35">
      <c r="EE1660" s="451">
        <v>40546</v>
      </c>
      <c r="EF1660" s="62">
        <v>102.42</v>
      </c>
      <c r="EG1660" s="62">
        <v>1271.869995</v>
      </c>
      <c r="FU1660" s="451"/>
    </row>
    <row r="1661" spans="135:177" x14ac:dyDescent="0.35">
      <c r="EE1661" s="451">
        <v>40543</v>
      </c>
      <c r="EF1661" s="62">
        <v>101.21</v>
      </c>
      <c r="EG1661" s="62">
        <v>1257.6400149999999</v>
      </c>
      <c r="FU1661" s="451"/>
    </row>
    <row r="1662" spans="135:177" x14ac:dyDescent="0.35">
      <c r="EE1662" s="451">
        <v>40542</v>
      </c>
      <c r="EF1662" s="62">
        <v>102.29</v>
      </c>
      <c r="EG1662" s="62">
        <v>1257.880005</v>
      </c>
      <c r="FU1662" s="451"/>
    </row>
    <row r="1663" spans="135:177" x14ac:dyDescent="0.35">
      <c r="EE1663" s="451">
        <v>40541</v>
      </c>
      <c r="EF1663" s="62">
        <v>103.64</v>
      </c>
      <c r="EG1663" s="62">
        <v>1259.780029</v>
      </c>
      <c r="FU1663" s="451"/>
    </row>
    <row r="1664" spans="135:177" x14ac:dyDescent="0.35">
      <c r="EE1664" s="451">
        <v>40540</v>
      </c>
      <c r="EF1664" s="62">
        <v>102.11</v>
      </c>
      <c r="EG1664" s="62">
        <v>1258.51001</v>
      </c>
      <c r="FU1664" s="451"/>
    </row>
    <row r="1665" spans="135:177" x14ac:dyDescent="0.35">
      <c r="EE1665" s="451">
        <v>40539</v>
      </c>
      <c r="EF1665" s="62">
        <v>102.86</v>
      </c>
      <c r="EG1665" s="62">
        <v>1257.540039</v>
      </c>
      <c r="FU1665" s="451"/>
    </row>
    <row r="1666" spans="135:177" x14ac:dyDescent="0.35">
      <c r="EE1666" s="451">
        <v>40535</v>
      </c>
      <c r="EF1666" s="62">
        <v>104.1</v>
      </c>
      <c r="EG1666" s="62">
        <v>1256.7700199999999</v>
      </c>
      <c r="FU1666" s="451"/>
    </row>
    <row r="1667" spans="135:177" x14ac:dyDescent="0.35">
      <c r="EE1667" s="451">
        <v>40534</v>
      </c>
      <c r="EF1667" s="62">
        <v>103.8</v>
      </c>
      <c r="EG1667" s="62">
        <v>1258.839966</v>
      </c>
      <c r="FU1667" s="451"/>
    </row>
    <row r="1668" spans="135:177" x14ac:dyDescent="0.35">
      <c r="EE1668" s="451">
        <v>40533</v>
      </c>
      <c r="EF1668" s="62">
        <v>105.04</v>
      </c>
      <c r="EG1668" s="62">
        <v>1254.599976</v>
      </c>
      <c r="FU1668" s="451"/>
    </row>
    <row r="1669" spans="135:177" x14ac:dyDescent="0.35">
      <c r="EE1669" s="451">
        <v>40532</v>
      </c>
      <c r="EF1669" s="62">
        <v>105.42</v>
      </c>
      <c r="EG1669" s="62">
        <v>1247.079956</v>
      </c>
      <c r="FU1669" s="451"/>
    </row>
    <row r="1670" spans="135:177" x14ac:dyDescent="0.35">
      <c r="EE1670" s="451">
        <v>40529</v>
      </c>
      <c r="EF1670" s="62">
        <v>105.75</v>
      </c>
      <c r="EG1670" s="62">
        <v>1243.910034</v>
      </c>
      <c r="FU1670" s="451"/>
    </row>
    <row r="1671" spans="135:177" x14ac:dyDescent="0.35">
      <c r="EE1671" s="451">
        <v>40528</v>
      </c>
      <c r="EF1671" s="62">
        <v>105.16</v>
      </c>
      <c r="EG1671" s="62">
        <v>1242.869995</v>
      </c>
      <c r="FU1671" s="451"/>
    </row>
    <row r="1672" spans="135:177" x14ac:dyDescent="0.35">
      <c r="EE1672" s="451">
        <v>40527</v>
      </c>
      <c r="EF1672" s="62">
        <v>104.35</v>
      </c>
      <c r="EG1672" s="62">
        <v>1235.2299800000001</v>
      </c>
      <c r="FU1672" s="451"/>
    </row>
    <row r="1673" spans="135:177" x14ac:dyDescent="0.35">
      <c r="EE1673" s="451">
        <v>40526</v>
      </c>
      <c r="EF1673" s="62">
        <v>104.3</v>
      </c>
      <c r="EG1673" s="62">
        <v>1241.589966</v>
      </c>
      <c r="FU1673" s="451"/>
    </row>
    <row r="1674" spans="135:177" x14ac:dyDescent="0.35">
      <c r="EE1674" s="451">
        <v>40525</v>
      </c>
      <c r="EF1674" s="62">
        <v>103.48</v>
      </c>
      <c r="EG1674" s="62">
        <v>1240.459961</v>
      </c>
      <c r="FU1674" s="451"/>
    </row>
    <row r="1675" spans="135:177" x14ac:dyDescent="0.35">
      <c r="EE1675" s="451">
        <v>40522</v>
      </c>
      <c r="EF1675" s="62">
        <v>106.05</v>
      </c>
      <c r="EG1675" s="62">
        <v>1240.400024</v>
      </c>
      <c r="FU1675" s="451"/>
    </row>
    <row r="1676" spans="135:177" x14ac:dyDescent="0.35">
      <c r="EE1676" s="451">
        <v>40521</v>
      </c>
      <c r="EF1676" s="62">
        <v>105.76</v>
      </c>
      <c r="EG1676" s="62">
        <v>1233</v>
      </c>
      <c r="FU1676" s="451"/>
    </row>
    <row r="1677" spans="135:177" x14ac:dyDescent="0.35">
      <c r="EE1677" s="451">
        <v>40520</v>
      </c>
      <c r="EF1677" s="62">
        <v>104.75</v>
      </c>
      <c r="EG1677" s="62">
        <v>1228.280029</v>
      </c>
      <c r="FU1677" s="451"/>
    </row>
    <row r="1678" spans="135:177" x14ac:dyDescent="0.35">
      <c r="EE1678" s="451">
        <v>40519</v>
      </c>
      <c r="EF1678" s="62">
        <v>106.42</v>
      </c>
      <c r="EG1678" s="62">
        <v>1223.75</v>
      </c>
      <c r="FU1678" s="451"/>
    </row>
    <row r="1679" spans="135:177" x14ac:dyDescent="0.35">
      <c r="EE1679" s="451">
        <v>40518</v>
      </c>
      <c r="EF1679" s="62">
        <v>102.51</v>
      </c>
      <c r="EG1679" s="62">
        <v>1223.119995</v>
      </c>
      <c r="FU1679" s="451"/>
    </row>
    <row r="1680" spans="135:177" x14ac:dyDescent="0.35">
      <c r="EE1680" s="451">
        <v>40515</v>
      </c>
      <c r="EF1680" s="62">
        <v>102.85</v>
      </c>
      <c r="EG1680" s="62">
        <v>1224.709961</v>
      </c>
      <c r="FU1680" s="451"/>
    </row>
    <row r="1681" spans="135:177" x14ac:dyDescent="0.35">
      <c r="EE1681" s="451">
        <v>40514</v>
      </c>
      <c r="EF1681" s="62">
        <v>104.47</v>
      </c>
      <c r="EG1681" s="62">
        <v>1221.530029</v>
      </c>
      <c r="FU1681" s="451"/>
    </row>
    <row r="1682" spans="135:177" x14ac:dyDescent="0.35">
      <c r="EE1682" s="451">
        <v>40513</v>
      </c>
      <c r="EF1682" s="62">
        <v>101.9</v>
      </c>
      <c r="EG1682" s="62">
        <v>1206.0699460000001</v>
      </c>
      <c r="FU1682" s="451"/>
    </row>
    <row r="1683" spans="135:177" x14ac:dyDescent="0.35">
      <c r="EE1683" s="451">
        <v>40512</v>
      </c>
      <c r="EF1683" s="62">
        <v>100.24</v>
      </c>
      <c r="EG1683" s="62">
        <v>1180.5500489999999</v>
      </c>
      <c r="FU1683" s="451"/>
    </row>
    <row r="1684" spans="135:177" x14ac:dyDescent="0.35">
      <c r="EE1684" s="451">
        <v>40511</v>
      </c>
      <c r="EF1684" s="62">
        <v>99.54</v>
      </c>
      <c r="EG1684" s="62">
        <v>1187.76001</v>
      </c>
      <c r="FU1684" s="451"/>
    </row>
    <row r="1685" spans="135:177" x14ac:dyDescent="0.35">
      <c r="EE1685" s="451">
        <v>40508</v>
      </c>
      <c r="EF1685" s="62">
        <v>100.25</v>
      </c>
      <c r="EG1685" s="62">
        <v>1189.400024</v>
      </c>
      <c r="FU1685" s="451"/>
    </row>
    <row r="1686" spans="135:177" x14ac:dyDescent="0.35">
      <c r="EE1686" s="451">
        <v>40506</v>
      </c>
      <c r="EF1686" s="62">
        <v>99.39</v>
      </c>
      <c r="EG1686" s="62">
        <v>1198.349976</v>
      </c>
      <c r="FU1686" s="451"/>
    </row>
    <row r="1687" spans="135:177" x14ac:dyDescent="0.35">
      <c r="EE1687" s="451">
        <v>40505</v>
      </c>
      <c r="EF1687" s="62">
        <v>98.23</v>
      </c>
      <c r="EG1687" s="62">
        <v>1180.7299800000001</v>
      </c>
      <c r="FU1687" s="451"/>
    </row>
    <row r="1688" spans="135:177" x14ac:dyDescent="0.35">
      <c r="EE1688" s="451">
        <v>40504</v>
      </c>
      <c r="EF1688" s="62">
        <v>98.06</v>
      </c>
      <c r="EG1688" s="62">
        <v>1197.839966</v>
      </c>
      <c r="FU1688" s="451"/>
    </row>
    <row r="1689" spans="135:177" x14ac:dyDescent="0.35">
      <c r="EE1689" s="451">
        <v>40501</v>
      </c>
      <c r="EF1689" s="62">
        <v>97</v>
      </c>
      <c r="EG1689" s="62">
        <v>1199.7299800000001</v>
      </c>
      <c r="FU1689" s="451"/>
    </row>
    <row r="1690" spans="135:177" x14ac:dyDescent="0.35">
      <c r="EE1690" s="451">
        <v>40500</v>
      </c>
      <c r="EF1690" s="62">
        <v>95.37</v>
      </c>
      <c r="EG1690" s="62">
        <v>1196.6899410000001</v>
      </c>
      <c r="FU1690" s="451"/>
    </row>
    <row r="1691" spans="135:177" x14ac:dyDescent="0.35">
      <c r="EE1691" s="451">
        <v>40499</v>
      </c>
      <c r="EF1691" s="62">
        <v>96.3</v>
      </c>
      <c r="EG1691" s="62">
        <v>1178.589966</v>
      </c>
      <c r="FU1691" s="451"/>
    </row>
    <row r="1692" spans="135:177" x14ac:dyDescent="0.35">
      <c r="EE1692" s="451">
        <v>40498</v>
      </c>
      <c r="EF1692" s="62">
        <v>93.35</v>
      </c>
      <c r="EG1692" s="62">
        <v>1178.339966</v>
      </c>
      <c r="FU1692" s="451"/>
    </row>
    <row r="1693" spans="135:177" x14ac:dyDescent="0.35">
      <c r="EE1693" s="451">
        <v>40497</v>
      </c>
      <c r="EF1693" s="62">
        <v>94.68</v>
      </c>
      <c r="EG1693" s="62">
        <v>1197.75</v>
      </c>
      <c r="FU1693" s="451"/>
    </row>
    <row r="1694" spans="135:177" x14ac:dyDescent="0.35">
      <c r="EE1694" s="451">
        <v>40494</v>
      </c>
      <c r="EF1694" s="62">
        <v>93.85</v>
      </c>
      <c r="EG1694" s="62">
        <v>1199.209961</v>
      </c>
      <c r="FU1694" s="451"/>
    </row>
    <row r="1695" spans="135:177" x14ac:dyDescent="0.35">
      <c r="EE1695" s="451">
        <v>40493</v>
      </c>
      <c r="EF1695" s="62">
        <v>95.24</v>
      </c>
      <c r="EG1695" s="62">
        <v>1213.540039</v>
      </c>
      <c r="FU1695" s="451"/>
    </row>
    <row r="1696" spans="135:177" x14ac:dyDescent="0.35">
      <c r="EE1696" s="451">
        <v>40492</v>
      </c>
      <c r="EF1696" s="62">
        <v>93.83</v>
      </c>
      <c r="EG1696" s="62">
        <v>1218.709961</v>
      </c>
      <c r="FU1696" s="451"/>
    </row>
    <row r="1697" spans="135:177" x14ac:dyDescent="0.35">
      <c r="EE1697" s="451">
        <v>40491</v>
      </c>
      <c r="EF1697" s="62">
        <v>91.82</v>
      </c>
      <c r="EG1697" s="62">
        <v>1213.400024</v>
      </c>
      <c r="FU1697" s="451"/>
    </row>
    <row r="1698" spans="135:177" x14ac:dyDescent="0.35">
      <c r="EE1698" s="451">
        <v>40490</v>
      </c>
      <c r="EF1698" s="62">
        <v>92.66</v>
      </c>
      <c r="EG1698" s="62">
        <v>1223.25</v>
      </c>
      <c r="FU1698" s="451"/>
    </row>
    <row r="1699" spans="135:177" x14ac:dyDescent="0.35">
      <c r="EE1699" s="451">
        <v>40487</v>
      </c>
      <c r="EF1699" s="62">
        <v>93.38</v>
      </c>
      <c r="EG1699" s="62">
        <v>1225.849976</v>
      </c>
      <c r="FU1699" s="451"/>
    </row>
    <row r="1700" spans="135:177" x14ac:dyDescent="0.35">
      <c r="EE1700" s="451">
        <v>40486</v>
      </c>
      <c r="EF1700" s="62">
        <v>92.84</v>
      </c>
      <c r="EG1700" s="62">
        <v>1221.0600589999999</v>
      </c>
      <c r="FU1700" s="451"/>
    </row>
    <row r="1701" spans="135:177" x14ac:dyDescent="0.35">
      <c r="EE1701" s="451">
        <v>40485</v>
      </c>
      <c r="EF1701" s="62">
        <v>91.79</v>
      </c>
      <c r="EG1701" s="62">
        <v>1197.959961</v>
      </c>
      <c r="FU1701" s="451"/>
    </row>
    <row r="1702" spans="135:177" x14ac:dyDescent="0.35">
      <c r="EE1702" s="451">
        <v>40484</v>
      </c>
      <c r="EF1702" s="62">
        <v>91.54</v>
      </c>
      <c r="EG1702" s="62">
        <v>1193.5699460000001</v>
      </c>
      <c r="FU1702" s="451"/>
    </row>
    <row r="1703" spans="135:177" x14ac:dyDescent="0.35">
      <c r="EE1703" s="451">
        <v>40483</v>
      </c>
      <c r="EF1703" s="62">
        <v>90.54</v>
      </c>
      <c r="EG1703" s="62">
        <v>1184.380005</v>
      </c>
      <c r="FU1703" s="451"/>
    </row>
    <row r="1704" spans="135:177" x14ac:dyDescent="0.35">
      <c r="EE1704" s="451">
        <v>40480</v>
      </c>
      <c r="EF1704" s="62">
        <v>89.51</v>
      </c>
      <c r="EG1704" s="62">
        <v>1183.26001</v>
      </c>
      <c r="FU1704" s="451"/>
    </row>
    <row r="1705" spans="135:177" x14ac:dyDescent="0.35">
      <c r="EE1705" s="451">
        <v>40479</v>
      </c>
      <c r="EF1705" s="62">
        <v>90.42</v>
      </c>
      <c r="EG1705" s="62">
        <v>1183.780029</v>
      </c>
      <c r="FU1705" s="451"/>
    </row>
    <row r="1706" spans="135:177" x14ac:dyDescent="0.35">
      <c r="EE1706" s="451">
        <v>40478</v>
      </c>
      <c r="EF1706" s="62">
        <v>89.52</v>
      </c>
      <c r="EG1706" s="62">
        <v>1182.4499510000001</v>
      </c>
      <c r="FU1706" s="451"/>
    </row>
    <row r="1707" spans="135:177" x14ac:dyDescent="0.35">
      <c r="EE1707" s="451">
        <v>40477</v>
      </c>
      <c r="EF1707" s="62">
        <v>94.35</v>
      </c>
      <c r="EG1707" s="62">
        <v>1185.6400149999999</v>
      </c>
      <c r="FU1707" s="451"/>
    </row>
    <row r="1708" spans="135:177" x14ac:dyDescent="0.35">
      <c r="EE1708" s="451">
        <v>40476</v>
      </c>
      <c r="EF1708" s="62">
        <v>94.23</v>
      </c>
      <c r="EG1708" s="62">
        <v>1185.619995</v>
      </c>
      <c r="FU1708" s="451"/>
    </row>
    <row r="1709" spans="135:177" x14ac:dyDescent="0.35">
      <c r="EE1709" s="451">
        <v>40473</v>
      </c>
      <c r="EF1709" s="62">
        <v>94.4</v>
      </c>
      <c r="EG1709" s="62">
        <v>1183.079956</v>
      </c>
      <c r="FU1709" s="451"/>
    </row>
    <row r="1710" spans="135:177" x14ac:dyDescent="0.35">
      <c r="EE1710" s="451">
        <v>40472</v>
      </c>
      <c r="EF1710" s="62">
        <v>89.66</v>
      </c>
      <c r="EG1710" s="62">
        <v>1180.26001</v>
      </c>
      <c r="FU1710" s="451"/>
    </row>
    <row r="1711" spans="135:177" x14ac:dyDescent="0.35">
      <c r="EE1711" s="451">
        <v>40471</v>
      </c>
      <c r="EF1711" s="62">
        <v>89.91</v>
      </c>
      <c r="EG1711" s="62">
        <v>1178.170044</v>
      </c>
      <c r="FU1711" s="451"/>
    </row>
    <row r="1712" spans="135:177" x14ac:dyDescent="0.35">
      <c r="EE1712" s="451">
        <v>40470</v>
      </c>
      <c r="EF1712" s="62">
        <v>90.46</v>
      </c>
      <c r="EG1712" s="62">
        <v>1165.900024</v>
      </c>
      <c r="FU1712" s="451"/>
    </row>
    <row r="1713" spans="135:177" x14ac:dyDescent="0.35">
      <c r="EE1713" s="451">
        <v>40469</v>
      </c>
      <c r="EF1713" s="62">
        <v>91.08</v>
      </c>
      <c r="EG1713" s="62">
        <v>1184.709961</v>
      </c>
      <c r="FU1713" s="451"/>
    </row>
    <row r="1714" spans="135:177" x14ac:dyDescent="0.35">
      <c r="EE1714" s="451">
        <v>40466</v>
      </c>
      <c r="EF1714" s="62">
        <v>92.03</v>
      </c>
      <c r="EG1714" s="62">
        <v>1176.1899410000001</v>
      </c>
      <c r="FU1714" s="451"/>
    </row>
    <row r="1715" spans="135:177" x14ac:dyDescent="0.35">
      <c r="EE1715" s="451">
        <v>40465</v>
      </c>
      <c r="EF1715" s="62">
        <v>91.74</v>
      </c>
      <c r="EG1715" s="62">
        <v>1173.8100589999999</v>
      </c>
      <c r="FU1715" s="451"/>
    </row>
    <row r="1716" spans="135:177" x14ac:dyDescent="0.35">
      <c r="EE1716" s="451">
        <v>40464</v>
      </c>
      <c r="EF1716" s="62">
        <v>90.84</v>
      </c>
      <c r="EG1716" s="62">
        <v>1178.099976</v>
      </c>
      <c r="FU1716" s="451"/>
    </row>
    <row r="1717" spans="135:177" x14ac:dyDescent="0.35">
      <c r="EE1717" s="451">
        <v>40463</v>
      </c>
      <c r="EF1717" s="62">
        <v>90.67</v>
      </c>
      <c r="EG1717" s="62">
        <v>1169.7700199999999</v>
      </c>
      <c r="FU1717" s="451"/>
    </row>
    <row r="1718" spans="135:177" x14ac:dyDescent="0.35">
      <c r="EE1718" s="451">
        <v>40462</v>
      </c>
      <c r="EF1718" s="62">
        <v>90.14</v>
      </c>
      <c r="EG1718" s="62">
        <v>1165.3199460000001</v>
      </c>
      <c r="FU1718" s="451"/>
    </row>
    <row r="1719" spans="135:177" x14ac:dyDescent="0.35">
      <c r="EE1719" s="451">
        <v>40459</v>
      </c>
      <c r="EF1719" s="62">
        <v>89.11</v>
      </c>
      <c r="EG1719" s="62">
        <v>1165.150024</v>
      </c>
      <c r="FU1719" s="451"/>
    </row>
    <row r="1720" spans="135:177" x14ac:dyDescent="0.35">
      <c r="EE1720" s="451">
        <v>40458</v>
      </c>
      <c r="EF1720" s="62">
        <v>89.85</v>
      </c>
      <c r="EG1720" s="62">
        <v>1158.0600589999999</v>
      </c>
      <c r="FU1720" s="451"/>
    </row>
    <row r="1721" spans="135:177" x14ac:dyDescent="0.35">
      <c r="EE1721" s="451">
        <v>40457</v>
      </c>
      <c r="EF1721" s="62">
        <v>88.66</v>
      </c>
      <c r="EG1721" s="62">
        <v>1159.969971</v>
      </c>
      <c r="FU1721" s="451"/>
    </row>
    <row r="1722" spans="135:177" x14ac:dyDescent="0.35">
      <c r="EE1722" s="451">
        <v>40456</v>
      </c>
      <c r="EF1722" s="62">
        <v>91.6</v>
      </c>
      <c r="EG1722" s="62">
        <v>1160.75</v>
      </c>
      <c r="FU1722" s="451"/>
    </row>
    <row r="1723" spans="135:177" x14ac:dyDescent="0.35">
      <c r="EE1723" s="451">
        <v>40455</v>
      </c>
      <c r="EF1723" s="62">
        <v>88.44</v>
      </c>
      <c r="EG1723" s="62">
        <v>1137.030029</v>
      </c>
      <c r="FU1723" s="451"/>
    </row>
    <row r="1724" spans="135:177" x14ac:dyDescent="0.35">
      <c r="EE1724" s="451">
        <v>40452</v>
      </c>
      <c r="EF1724" s="62">
        <v>88.34</v>
      </c>
      <c r="EG1724" s="62">
        <v>1146.23999</v>
      </c>
      <c r="FU1724" s="451"/>
    </row>
    <row r="1725" spans="135:177" x14ac:dyDescent="0.35">
      <c r="EE1725" s="451">
        <v>40451</v>
      </c>
      <c r="EF1725" s="62">
        <v>88.61</v>
      </c>
      <c r="EG1725" s="62">
        <v>1141.1999510000001</v>
      </c>
      <c r="FU1725" s="451"/>
    </row>
    <row r="1726" spans="135:177" x14ac:dyDescent="0.35">
      <c r="EE1726" s="451">
        <v>40450</v>
      </c>
      <c r="EF1726" s="62">
        <v>89.16</v>
      </c>
      <c r="EG1726" s="62">
        <v>1144.7299800000001</v>
      </c>
      <c r="FU1726" s="451"/>
    </row>
    <row r="1727" spans="135:177" x14ac:dyDescent="0.35">
      <c r="EE1727" s="451">
        <v>40449</v>
      </c>
      <c r="EF1727" s="62">
        <v>88.69</v>
      </c>
      <c r="EG1727" s="62">
        <v>1147.6999510000001</v>
      </c>
      <c r="FU1727" s="451"/>
    </row>
    <row r="1728" spans="135:177" x14ac:dyDescent="0.35">
      <c r="EE1728" s="451">
        <v>40448</v>
      </c>
      <c r="EF1728" s="62">
        <v>89.25</v>
      </c>
      <c r="EG1728" s="62">
        <v>1142.160034</v>
      </c>
      <c r="FU1728" s="451"/>
    </row>
    <row r="1729" spans="135:177" x14ac:dyDescent="0.35">
      <c r="EE1729" s="451">
        <v>40445</v>
      </c>
      <c r="EF1729" s="62">
        <v>87.83</v>
      </c>
      <c r="EG1729" s="62">
        <v>1148.670044</v>
      </c>
      <c r="FU1729" s="451"/>
    </row>
    <row r="1730" spans="135:177" x14ac:dyDescent="0.35">
      <c r="EE1730" s="451">
        <v>40444</v>
      </c>
      <c r="EF1730" s="62">
        <v>85.69</v>
      </c>
      <c r="EG1730" s="62">
        <v>1124.829956</v>
      </c>
      <c r="FU1730" s="451"/>
    </row>
    <row r="1731" spans="135:177" x14ac:dyDescent="0.35">
      <c r="EE1731" s="451">
        <v>40443</v>
      </c>
      <c r="EF1731" s="62">
        <v>86.98</v>
      </c>
      <c r="EG1731" s="62">
        <v>1134.280029</v>
      </c>
      <c r="FU1731" s="451"/>
    </row>
    <row r="1732" spans="135:177" x14ac:dyDescent="0.35">
      <c r="EE1732" s="451">
        <v>40442</v>
      </c>
      <c r="EF1732" s="62">
        <v>88.037499999999994</v>
      </c>
      <c r="EG1732" s="62">
        <v>1139.780029</v>
      </c>
      <c r="FU1732" s="451"/>
    </row>
    <row r="1733" spans="135:177" x14ac:dyDescent="0.35">
      <c r="EE1733" s="451">
        <v>40441</v>
      </c>
      <c r="EF1733" s="62">
        <v>88.28</v>
      </c>
      <c r="EG1733" s="62">
        <v>1142.709961</v>
      </c>
      <c r="FU1733" s="451"/>
    </row>
    <row r="1734" spans="135:177" x14ac:dyDescent="0.35">
      <c r="EE1734" s="451">
        <v>40438</v>
      </c>
      <c r="EF1734" s="62">
        <v>86.76</v>
      </c>
      <c r="EG1734" s="62">
        <v>1125.589966</v>
      </c>
      <c r="FU1734" s="451"/>
    </row>
    <row r="1735" spans="135:177" x14ac:dyDescent="0.35">
      <c r="EE1735" s="451">
        <v>40437</v>
      </c>
      <c r="EF1735" s="62">
        <v>86.62</v>
      </c>
      <c r="EG1735" s="62">
        <v>1124.660034</v>
      </c>
      <c r="FU1735" s="451"/>
    </row>
    <row r="1736" spans="135:177" x14ac:dyDescent="0.35">
      <c r="EE1736" s="451">
        <v>40436</v>
      </c>
      <c r="EF1736" s="62">
        <v>87.34</v>
      </c>
      <c r="EG1736" s="62">
        <v>1125.0699460000001</v>
      </c>
      <c r="FU1736" s="451"/>
    </row>
    <row r="1737" spans="135:177" x14ac:dyDescent="0.35">
      <c r="EE1737" s="451">
        <v>40435</v>
      </c>
      <c r="EF1737" s="62">
        <v>87.09</v>
      </c>
      <c r="EG1737" s="62">
        <v>1121.099976</v>
      </c>
      <c r="FU1737" s="451"/>
    </row>
    <row r="1738" spans="135:177" x14ac:dyDescent="0.35">
      <c r="EE1738" s="451">
        <v>40434</v>
      </c>
      <c r="EF1738" s="62">
        <v>86.89</v>
      </c>
      <c r="EG1738" s="62">
        <v>1121.900024</v>
      </c>
      <c r="FU1738" s="451"/>
    </row>
    <row r="1739" spans="135:177" x14ac:dyDescent="0.35">
      <c r="EE1739" s="451">
        <v>40431</v>
      </c>
      <c r="EF1739" s="62">
        <v>86.14</v>
      </c>
      <c r="EG1739" s="62">
        <v>1109.5500489999999</v>
      </c>
      <c r="FU1739" s="451"/>
    </row>
    <row r="1740" spans="135:177" x14ac:dyDescent="0.35">
      <c r="EE1740" s="451">
        <v>40430</v>
      </c>
      <c r="EF1740" s="62">
        <v>85.55</v>
      </c>
      <c r="EG1740" s="62">
        <v>1104.1800539999999</v>
      </c>
      <c r="FU1740" s="451"/>
    </row>
    <row r="1741" spans="135:177" x14ac:dyDescent="0.35">
      <c r="EE1741" s="451">
        <v>40429</v>
      </c>
      <c r="EF1741" s="62">
        <v>86.07</v>
      </c>
      <c r="EG1741" s="62">
        <v>1098.869995</v>
      </c>
      <c r="FU1741" s="451"/>
    </row>
    <row r="1742" spans="135:177" x14ac:dyDescent="0.35">
      <c r="EE1742" s="451">
        <v>40428</v>
      </c>
      <c r="EF1742" s="62">
        <v>85.66</v>
      </c>
      <c r="EG1742" s="62">
        <v>1091.839966</v>
      </c>
      <c r="FU1742" s="451"/>
    </row>
    <row r="1743" spans="135:177" x14ac:dyDescent="0.35">
      <c r="EE1743" s="451">
        <v>40424</v>
      </c>
      <c r="EF1743" s="62">
        <v>85.02</v>
      </c>
      <c r="EG1743" s="62">
        <v>1104.51001</v>
      </c>
      <c r="FU1743" s="451"/>
    </row>
    <row r="1744" spans="135:177" x14ac:dyDescent="0.35">
      <c r="EE1744" s="451">
        <v>40423</v>
      </c>
      <c r="EF1744" s="62">
        <v>85.21</v>
      </c>
      <c r="EG1744" s="62">
        <v>1090.099976</v>
      </c>
      <c r="FU1744" s="451"/>
    </row>
    <row r="1745" spans="135:177" x14ac:dyDescent="0.35">
      <c r="EE1745" s="451">
        <v>40422</v>
      </c>
      <c r="EF1745" s="62">
        <v>82.95</v>
      </c>
      <c r="EG1745" s="62">
        <v>1080.290039</v>
      </c>
      <c r="FU1745" s="451"/>
    </row>
    <row r="1746" spans="135:177" x14ac:dyDescent="0.35">
      <c r="EE1746" s="451">
        <v>40421</v>
      </c>
      <c r="EF1746" s="62">
        <v>79.94</v>
      </c>
      <c r="EG1746" s="62">
        <v>1049.329956</v>
      </c>
      <c r="FU1746" s="451"/>
    </row>
    <row r="1747" spans="135:177" x14ac:dyDescent="0.35">
      <c r="EE1747" s="451">
        <v>40420</v>
      </c>
      <c r="EF1747" s="62">
        <v>79.47</v>
      </c>
      <c r="EG1747" s="62">
        <v>1048.920044</v>
      </c>
      <c r="FU1747" s="451"/>
    </row>
    <row r="1748" spans="135:177" x14ac:dyDescent="0.35">
      <c r="EE1748" s="451">
        <v>40417</v>
      </c>
      <c r="EF1748" s="62">
        <v>79.81</v>
      </c>
      <c r="EG1748" s="62">
        <v>1064.589966</v>
      </c>
      <c r="FU1748" s="451"/>
    </row>
    <row r="1749" spans="135:177" x14ac:dyDescent="0.35">
      <c r="EE1749" s="451">
        <v>40416</v>
      </c>
      <c r="EF1749" s="62">
        <v>79.150000000000006</v>
      </c>
      <c r="EG1749" s="62">
        <v>1047.219971</v>
      </c>
      <c r="FU1749" s="451"/>
    </row>
    <row r="1750" spans="135:177" x14ac:dyDescent="0.35">
      <c r="EE1750" s="451">
        <v>40415</v>
      </c>
      <c r="EF1750" s="62">
        <v>78.930000000000007</v>
      </c>
      <c r="EG1750" s="62">
        <v>1055.329956</v>
      </c>
      <c r="FU1750" s="451"/>
    </row>
    <row r="1751" spans="135:177" x14ac:dyDescent="0.35">
      <c r="EE1751" s="451">
        <v>40414</v>
      </c>
      <c r="EF1751" s="62">
        <v>78.34</v>
      </c>
      <c r="EG1751" s="62">
        <v>1051.869995</v>
      </c>
      <c r="FU1751" s="451"/>
    </row>
    <row r="1752" spans="135:177" x14ac:dyDescent="0.35">
      <c r="EE1752" s="451">
        <v>40413</v>
      </c>
      <c r="EF1752" s="62">
        <v>79.260000000000005</v>
      </c>
      <c r="EG1752" s="62">
        <v>1067.3599850000001</v>
      </c>
      <c r="FU1752" s="451"/>
    </row>
    <row r="1753" spans="135:177" x14ac:dyDescent="0.35">
      <c r="EE1753" s="451">
        <v>40410</v>
      </c>
      <c r="EF1753" s="62">
        <v>79.489999999999995</v>
      </c>
      <c r="EG1753" s="62">
        <v>1071.6899410000001</v>
      </c>
      <c r="FU1753" s="451"/>
    </row>
    <row r="1754" spans="135:177" x14ac:dyDescent="0.35">
      <c r="EE1754" s="451">
        <v>40409</v>
      </c>
      <c r="EF1754" s="62">
        <v>78.650000000000006</v>
      </c>
      <c r="EG1754" s="62">
        <v>1075.630005</v>
      </c>
      <c r="FU1754" s="451"/>
    </row>
    <row r="1755" spans="135:177" x14ac:dyDescent="0.35">
      <c r="EE1755" s="451">
        <v>40408</v>
      </c>
      <c r="EF1755" s="62">
        <v>78.77</v>
      </c>
      <c r="EG1755" s="62">
        <v>1094.160034</v>
      </c>
      <c r="FU1755" s="451"/>
    </row>
    <row r="1756" spans="135:177" x14ac:dyDescent="0.35">
      <c r="EE1756" s="451">
        <v>40407</v>
      </c>
      <c r="EF1756" s="62">
        <v>76.92</v>
      </c>
      <c r="EG1756" s="62">
        <v>1092.540039</v>
      </c>
      <c r="FU1756" s="451"/>
    </row>
    <row r="1757" spans="135:177" x14ac:dyDescent="0.35">
      <c r="EE1757" s="451">
        <v>40406</v>
      </c>
      <c r="EF1757" s="62">
        <v>75.66</v>
      </c>
      <c r="EG1757" s="62">
        <v>1079.380005</v>
      </c>
      <c r="FU1757" s="451"/>
    </row>
    <row r="1758" spans="135:177" x14ac:dyDescent="0.35">
      <c r="EE1758" s="451">
        <v>40403</v>
      </c>
      <c r="EF1758" s="62">
        <v>74.16</v>
      </c>
      <c r="EG1758" s="62">
        <v>1079.25</v>
      </c>
      <c r="FU1758" s="451"/>
    </row>
    <row r="1759" spans="135:177" x14ac:dyDescent="0.35">
      <c r="EE1759" s="451">
        <v>40402</v>
      </c>
      <c r="EF1759" s="62">
        <v>75.56</v>
      </c>
      <c r="EG1759" s="62">
        <v>1083.6099850000001</v>
      </c>
      <c r="FU1759" s="451"/>
    </row>
    <row r="1760" spans="135:177" x14ac:dyDescent="0.35">
      <c r="EE1760" s="451">
        <v>40401</v>
      </c>
      <c r="EF1760" s="62">
        <v>75.8</v>
      </c>
      <c r="EG1760" s="62">
        <v>1089.469971</v>
      </c>
      <c r="FU1760" s="451"/>
    </row>
    <row r="1761" spans="135:177" x14ac:dyDescent="0.35">
      <c r="EE1761" s="451">
        <v>40400</v>
      </c>
      <c r="EF1761" s="62">
        <v>77.47</v>
      </c>
      <c r="EG1761" s="62">
        <v>1121.0600589999999</v>
      </c>
      <c r="FU1761" s="451"/>
    </row>
    <row r="1762" spans="135:177" x14ac:dyDescent="0.35">
      <c r="EE1762" s="451">
        <v>40399</v>
      </c>
      <c r="EF1762" s="62">
        <v>78.510000000000005</v>
      </c>
      <c r="EG1762" s="62">
        <v>1127.790039</v>
      </c>
      <c r="FU1762" s="451"/>
    </row>
    <row r="1763" spans="135:177" x14ac:dyDescent="0.35">
      <c r="EE1763" s="451">
        <v>40396</v>
      </c>
      <c r="EF1763" s="62">
        <v>76.95</v>
      </c>
      <c r="EG1763" s="62">
        <v>1121.6400149999999</v>
      </c>
      <c r="FU1763" s="451"/>
    </row>
    <row r="1764" spans="135:177" x14ac:dyDescent="0.35">
      <c r="EE1764" s="451">
        <v>40395</v>
      </c>
      <c r="EF1764" s="62">
        <v>75.92</v>
      </c>
      <c r="EG1764" s="62">
        <v>1125.8100589999999</v>
      </c>
      <c r="FU1764" s="451"/>
    </row>
    <row r="1765" spans="135:177" x14ac:dyDescent="0.35">
      <c r="EE1765" s="451">
        <v>40394</v>
      </c>
      <c r="EF1765" s="62">
        <v>77.7</v>
      </c>
      <c r="EG1765" s="62">
        <v>1127.23999</v>
      </c>
      <c r="FU1765" s="451"/>
    </row>
    <row r="1766" spans="135:177" x14ac:dyDescent="0.35">
      <c r="EE1766" s="451">
        <v>40393</v>
      </c>
      <c r="EF1766" s="62">
        <v>77.989999999999995</v>
      </c>
      <c r="EG1766" s="62">
        <v>1120.459961</v>
      </c>
      <c r="FU1766" s="451"/>
    </row>
    <row r="1767" spans="135:177" x14ac:dyDescent="0.35">
      <c r="EE1767" s="451">
        <v>40392</v>
      </c>
      <c r="EF1767" s="62">
        <v>77.819999999999993</v>
      </c>
      <c r="EG1767" s="62">
        <v>1125.8599850000001</v>
      </c>
      <c r="FU1767" s="451"/>
    </row>
    <row r="1768" spans="135:177" x14ac:dyDescent="0.35">
      <c r="EE1768" s="451">
        <v>40389</v>
      </c>
      <c r="EF1768" s="62">
        <v>78.209999999999994</v>
      </c>
      <c r="EG1768" s="62">
        <v>1101.599976</v>
      </c>
      <c r="FU1768" s="451"/>
    </row>
    <row r="1769" spans="135:177" x14ac:dyDescent="0.35">
      <c r="EE1769" s="451">
        <v>40388</v>
      </c>
      <c r="EF1769" s="62">
        <v>77.13</v>
      </c>
      <c r="EG1769" s="62">
        <v>1101.530029</v>
      </c>
      <c r="FU1769" s="451"/>
    </row>
    <row r="1770" spans="135:177" x14ac:dyDescent="0.35">
      <c r="EE1770" s="451">
        <v>40387</v>
      </c>
      <c r="EF1770" s="62">
        <v>78.2</v>
      </c>
      <c r="EG1770" s="62">
        <v>1106.130005</v>
      </c>
      <c r="FU1770" s="451"/>
    </row>
    <row r="1771" spans="135:177" x14ac:dyDescent="0.35">
      <c r="EE1771" s="451">
        <v>40386</v>
      </c>
      <c r="EF1771" s="62">
        <v>78.599999999999994</v>
      </c>
      <c r="EG1771" s="62">
        <v>1113.839966</v>
      </c>
      <c r="FU1771" s="451"/>
    </row>
    <row r="1772" spans="135:177" x14ac:dyDescent="0.35">
      <c r="EE1772" s="451">
        <v>40385</v>
      </c>
      <c r="EF1772" s="62">
        <v>78.27</v>
      </c>
      <c r="EG1772" s="62">
        <v>1115.01001</v>
      </c>
      <c r="FU1772" s="451"/>
    </row>
    <row r="1773" spans="135:177" x14ac:dyDescent="0.35">
      <c r="EE1773" s="451">
        <v>40382</v>
      </c>
      <c r="EF1773" s="62">
        <v>76.06</v>
      </c>
      <c r="EG1773" s="62">
        <v>1102.660034</v>
      </c>
      <c r="FU1773" s="451"/>
    </row>
    <row r="1774" spans="135:177" x14ac:dyDescent="0.35">
      <c r="EE1774" s="451">
        <v>40381</v>
      </c>
      <c r="EF1774" s="62">
        <v>76.27</v>
      </c>
      <c r="EG1774" s="62">
        <v>1093.670044</v>
      </c>
      <c r="FU1774" s="451"/>
    </row>
    <row r="1775" spans="135:177" x14ac:dyDescent="0.35">
      <c r="EE1775" s="451">
        <v>40380</v>
      </c>
      <c r="EF1775" s="62">
        <v>74.17</v>
      </c>
      <c r="EG1775" s="62">
        <v>1069.589966</v>
      </c>
      <c r="FU1775" s="451"/>
    </row>
    <row r="1776" spans="135:177" x14ac:dyDescent="0.35">
      <c r="EE1776" s="451">
        <v>40379</v>
      </c>
      <c r="EF1776" s="62">
        <v>75.06</v>
      </c>
      <c r="EG1776" s="62">
        <v>1083.4799800000001</v>
      </c>
      <c r="FU1776" s="451"/>
    </row>
    <row r="1777" spans="135:177" x14ac:dyDescent="0.35">
      <c r="EE1777" s="451">
        <v>40378</v>
      </c>
      <c r="EF1777" s="62">
        <v>74.58</v>
      </c>
      <c r="EG1777" s="62">
        <v>1071.25</v>
      </c>
      <c r="FU1777" s="451"/>
    </row>
    <row r="1778" spans="135:177" x14ac:dyDescent="0.35">
      <c r="EE1778" s="451">
        <v>40375</v>
      </c>
      <c r="EF1778" s="62">
        <v>75.430000000000007</v>
      </c>
      <c r="EG1778" s="62">
        <v>1064.880005</v>
      </c>
      <c r="FU1778" s="451"/>
    </row>
    <row r="1779" spans="135:177" x14ac:dyDescent="0.35">
      <c r="EE1779" s="451">
        <v>40374</v>
      </c>
      <c r="EF1779" s="62">
        <v>78.010000000000005</v>
      </c>
      <c r="EG1779" s="62">
        <v>1096.4799800000001</v>
      </c>
      <c r="FU1779" s="451"/>
    </row>
    <row r="1780" spans="135:177" x14ac:dyDescent="0.35">
      <c r="EE1780" s="451">
        <v>40373</v>
      </c>
      <c r="EF1780" s="62">
        <v>78.12</v>
      </c>
      <c r="EG1780" s="62">
        <v>1095.170044</v>
      </c>
      <c r="FU1780" s="451"/>
    </row>
    <row r="1781" spans="135:177" x14ac:dyDescent="0.35">
      <c r="EE1781" s="451">
        <v>40372</v>
      </c>
      <c r="EF1781" s="62">
        <v>77.7</v>
      </c>
      <c r="EG1781" s="62">
        <v>1095.339966</v>
      </c>
      <c r="FU1781" s="451"/>
    </row>
    <row r="1782" spans="135:177" x14ac:dyDescent="0.35">
      <c r="EE1782" s="451">
        <v>40371</v>
      </c>
      <c r="EF1782" s="62">
        <v>75.72</v>
      </c>
      <c r="EG1782" s="62">
        <v>1078.75</v>
      </c>
      <c r="FU1782" s="451"/>
    </row>
    <row r="1783" spans="135:177" x14ac:dyDescent="0.35">
      <c r="EE1783" s="451">
        <v>40368</v>
      </c>
      <c r="EF1783" s="62">
        <v>76.06</v>
      </c>
      <c r="EG1783" s="62">
        <v>1077.959961</v>
      </c>
      <c r="FU1783" s="451"/>
    </row>
    <row r="1784" spans="135:177" x14ac:dyDescent="0.35">
      <c r="EE1784" s="451">
        <v>40367</v>
      </c>
      <c r="EF1784" s="62">
        <v>75.3</v>
      </c>
      <c r="EG1784" s="62">
        <v>1070.25</v>
      </c>
      <c r="FU1784" s="451"/>
    </row>
    <row r="1785" spans="135:177" x14ac:dyDescent="0.35">
      <c r="EE1785" s="451">
        <v>40366</v>
      </c>
      <c r="EF1785" s="62">
        <v>73.819999999999993</v>
      </c>
      <c r="EG1785" s="62">
        <v>1060.2700199999999</v>
      </c>
      <c r="FU1785" s="451"/>
    </row>
    <row r="1786" spans="135:177" x14ac:dyDescent="0.35">
      <c r="EE1786" s="451">
        <v>40365</v>
      </c>
      <c r="EF1786" s="62">
        <v>74.08</v>
      </c>
      <c r="EG1786" s="62">
        <v>1028.0600589999999</v>
      </c>
      <c r="FU1786" s="451"/>
    </row>
    <row r="1787" spans="135:177" x14ac:dyDescent="0.35">
      <c r="EE1787" s="451">
        <v>40361</v>
      </c>
      <c r="EF1787" s="62">
        <v>76.09</v>
      </c>
      <c r="EG1787" s="62">
        <v>1022.580017</v>
      </c>
      <c r="FU1787" s="451"/>
    </row>
    <row r="1788" spans="135:177" x14ac:dyDescent="0.35">
      <c r="EE1788" s="451">
        <v>40360</v>
      </c>
      <c r="EF1788" s="62">
        <v>76.069999999999993</v>
      </c>
      <c r="EG1788" s="62">
        <v>1027.369995</v>
      </c>
      <c r="FU1788" s="451"/>
    </row>
    <row r="1789" spans="135:177" x14ac:dyDescent="0.35">
      <c r="EE1789" s="451">
        <v>40359</v>
      </c>
      <c r="EF1789" s="62">
        <v>75.290000000000006</v>
      </c>
      <c r="EG1789" s="62">
        <v>1030.709961</v>
      </c>
      <c r="FU1789" s="451"/>
    </row>
    <row r="1790" spans="135:177" x14ac:dyDescent="0.35">
      <c r="EE1790" s="451">
        <v>40358</v>
      </c>
      <c r="EF1790" s="62">
        <v>75.540000000000006</v>
      </c>
      <c r="EG1790" s="62">
        <v>1041.23999</v>
      </c>
      <c r="FU1790" s="451"/>
    </row>
    <row r="1791" spans="135:177" x14ac:dyDescent="0.35">
      <c r="EE1791" s="451">
        <v>40357</v>
      </c>
      <c r="EF1791" s="62">
        <v>78.41</v>
      </c>
      <c r="EG1791" s="62">
        <v>1074.5699460000001</v>
      </c>
      <c r="FU1791" s="451"/>
    </row>
    <row r="1792" spans="135:177" x14ac:dyDescent="0.35">
      <c r="EE1792" s="451">
        <v>40354</v>
      </c>
      <c r="EF1792" s="62">
        <v>78.98</v>
      </c>
      <c r="EG1792" s="62">
        <v>1076.76001</v>
      </c>
      <c r="FU1792" s="451"/>
    </row>
    <row r="1793" spans="135:177" x14ac:dyDescent="0.35">
      <c r="EE1793" s="451">
        <v>40353</v>
      </c>
      <c r="EF1793" s="62">
        <v>79.16</v>
      </c>
      <c r="EG1793" s="62">
        <v>1073.6899410000001</v>
      </c>
      <c r="FU1793" s="451"/>
    </row>
    <row r="1794" spans="135:177" x14ac:dyDescent="0.35">
      <c r="EE1794" s="451">
        <v>40352</v>
      </c>
      <c r="EF1794" s="62">
        <v>80.31</v>
      </c>
      <c r="EG1794" s="62">
        <v>1092.040039</v>
      </c>
      <c r="FU1794" s="451"/>
    </row>
    <row r="1795" spans="135:177" x14ac:dyDescent="0.35">
      <c r="EE1795" s="451">
        <v>40351</v>
      </c>
      <c r="EF1795" s="62">
        <v>80.010000000000005</v>
      </c>
      <c r="EG1795" s="62">
        <v>1095.3100589999999</v>
      </c>
      <c r="FU1795" s="451"/>
    </row>
    <row r="1796" spans="135:177" x14ac:dyDescent="0.35">
      <c r="EE1796" s="451">
        <v>40350</v>
      </c>
      <c r="EF1796" s="62">
        <v>82.41</v>
      </c>
      <c r="EG1796" s="62">
        <v>1113.1999510000001</v>
      </c>
      <c r="FU1796" s="451"/>
    </row>
    <row r="1797" spans="135:177" x14ac:dyDescent="0.35">
      <c r="EE1797" s="451">
        <v>40347</v>
      </c>
      <c r="EF1797" s="62">
        <v>84.01</v>
      </c>
      <c r="EG1797" s="62">
        <v>1117.51001</v>
      </c>
      <c r="FU1797" s="451"/>
    </row>
    <row r="1798" spans="135:177" x14ac:dyDescent="0.35">
      <c r="EE1798" s="451">
        <v>40346</v>
      </c>
      <c r="EF1798" s="62">
        <v>83.7</v>
      </c>
      <c r="EG1798" s="62">
        <v>1116.040039</v>
      </c>
      <c r="FU1798" s="451"/>
    </row>
    <row r="1799" spans="135:177" x14ac:dyDescent="0.35">
      <c r="EE1799" s="451">
        <v>40345</v>
      </c>
      <c r="EF1799" s="62">
        <v>84.41</v>
      </c>
      <c r="EG1799" s="62">
        <v>1114.6099850000001</v>
      </c>
      <c r="FU1799" s="451"/>
    </row>
    <row r="1800" spans="135:177" x14ac:dyDescent="0.35">
      <c r="EE1800" s="451">
        <v>40344</v>
      </c>
      <c r="EF1800" s="62">
        <v>84.81</v>
      </c>
      <c r="EG1800" s="62">
        <v>1115.2299800000001</v>
      </c>
      <c r="FU1800" s="451"/>
    </row>
    <row r="1801" spans="135:177" x14ac:dyDescent="0.35">
      <c r="EE1801" s="451">
        <v>40343</v>
      </c>
      <c r="EF1801" s="62">
        <v>83.52</v>
      </c>
      <c r="EG1801" s="62">
        <v>1089.630005</v>
      </c>
      <c r="FU1801" s="451"/>
    </row>
    <row r="1802" spans="135:177" x14ac:dyDescent="0.35">
      <c r="EE1802" s="451">
        <v>40340</v>
      </c>
      <c r="EF1802" s="62">
        <v>82.99</v>
      </c>
      <c r="EG1802" s="62">
        <v>1091.599976</v>
      </c>
      <c r="FU1802" s="451"/>
    </row>
    <row r="1803" spans="135:177" x14ac:dyDescent="0.35">
      <c r="EE1803" s="451">
        <v>40339</v>
      </c>
      <c r="EF1803" s="62">
        <v>82.46</v>
      </c>
      <c r="EG1803" s="62">
        <v>1086.839966</v>
      </c>
      <c r="FU1803" s="451"/>
    </row>
    <row r="1804" spans="135:177" x14ac:dyDescent="0.35">
      <c r="EE1804" s="451">
        <v>40338</v>
      </c>
      <c r="EF1804" s="62">
        <v>80.37</v>
      </c>
      <c r="EG1804" s="62">
        <v>1055.6899410000001</v>
      </c>
      <c r="FU1804" s="451"/>
    </row>
    <row r="1805" spans="135:177" x14ac:dyDescent="0.35">
      <c r="EE1805" s="451">
        <v>40337</v>
      </c>
      <c r="EF1805" s="62">
        <v>79.77</v>
      </c>
      <c r="EG1805" s="62">
        <v>1062</v>
      </c>
      <c r="FU1805" s="451"/>
    </row>
    <row r="1806" spans="135:177" x14ac:dyDescent="0.35">
      <c r="EE1806" s="451">
        <v>40336</v>
      </c>
      <c r="EF1806" s="62">
        <v>78.72</v>
      </c>
      <c r="EG1806" s="62">
        <v>1050.469971</v>
      </c>
      <c r="FU1806" s="451"/>
    </row>
    <row r="1807" spans="135:177" x14ac:dyDescent="0.35">
      <c r="EE1807" s="451">
        <v>40333</v>
      </c>
      <c r="EF1807" s="62">
        <v>80.69</v>
      </c>
      <c r="EG1807" s="62">
        <v>1064.880005</v>
      </c>
      <c r="FU1807" s="451"/>
    </row>
    <row r="1808" spans="135:177" x14ac:dyDescent="0.35">
      <c r="EE1808" s="451">
        <v>40332</v>
      </c>
      <c r="EF1808" s="62">
        <v>82.54</v>
      </c>
      <c r="EG1808" s="62">
        <v>1102.829956</v>
      </c>
      <c r="FU1808" s="451"/>
    </row>
    <row r="1809" spans="135:177" x14ac:dyDescent="0.35">
      <c r="EE1809" s="451">
        <v>40331</v>
      </c>
      <c r="EF1809" s="62">
        <v>82.34</v>
      </c>
      <c r="EG1809" s="62">
        <v>1098.380005</v>
      </c>
      <c r="FU1809" s="451"/>
    </row>
    <row r="1810" spans="135:177" x14ac:dyDescent="0.35">
      <c r="EE1810" s="451">
        <v>40330</v>
      </c>
      <c r="EF1810" s="62">
        <v>80.52</v>
      </c>
      <c r="EG1810" s="62">
        <v>1070.709961</v>
      </c>
      <c r="FU1810" s="451"/>
    </row>
    <row r="1811" spans="135:177" x14ac:dyDescent="0.35">
      <c r="EE1811" s="451">
        <v>40326</v>
      </c>
      <c r="EF1811" s="62">
        <v>80.83</v>
      </c>
      <c r="EG1811" s="62">
        <v>1089.410034</v>
      </c>
      <c r="FU1811" s="451"/>
    </row>
    <row r="1812" spans="135:177" x14ac:dyDescent="0.35">
      <c r="EE1812" s="451">
        <v>40325</v>
      </c>
      <c r="EF1812" s="62">
        <v>80.67</v>
      </c>
      <c r="EG1812" s="62">
        <v>1103.0600589999999</v>
      </c>
      <c r="FU1812" s="451"/>
    </row>
    <row r="1813" spans="135:177" x14ac:dyDescent="0.35">
      <c r="EE1813" s="451">
        <v>40324</v>
      </c>
      <c r="EF1813" s="62">
        <v>77.650000000000006</v>
      </c>
      <c r="EG1813" s="62">
        <v>1067.9499510000001</v>
      </c>
      <c r="FU1813" s="451"/>
    </row>
    <row r="1814" spans="135:177" x14ac:dyDescent="0.35">
      <c r="EE1814" s="451">
        <v>40323</v>
      </c>
      <c r="EF1814" s="62">
        <v>77.55</v>
      </c>
      <c r="EG1814" s="62">
        <v>1074.030029</v>
      </c>
      <c r="FU1814" s="451"/>
    </row>
    <row r="1815" spans="135:177" x14ac:dyDescent="0.35">
      <c r="EE1815" s="451">
        <v>40322</v>
      </c>
      <c r="EF1815" s="62">
        <v>77.260000000000005</v>
      </c>
      <c r="EG1815" s="62">
        <v>1073.650024</v>
      </c>
      <c r="FU1815" s="451"/>
    </row>
    <row r="1816" spans="135:177" x14ac:dyDescent="0.35">
      <c r="EE1816" s="451">
        <v>40319</v>
      </c>
      <c r="EF1816" s="62">
        <v>76.27</v>
      </c>
      <c r="EG1816" s="62">
        <v>1087.6899410000001</v>
      </c>
      <c r="FU1816" s="451"/>
    </row>
    <row r="1817" spans="135:177" x14ac:dyDescent="0.35">
      <c r="EE1817" s="451">
        <v>40318</v>
      </c>
      <c r="EF1817" s="62">
        <v>75.34</v>
      </c>
      <c r="EG1817" s="62">
        <v>1071.589966</v>
      </c>
      <c r="FU1817" s="451"/>
    </row>
    <row r="1818" spans="135:177" x14ac:dyDescent="0.35">
      <c r="EE1818" s="451">
        <v>40317</v>
      </c>
      <c r="EF1818" s="62">
        <v>76.900000000000006</v>
      </c>
      <c r="EG1818" s="62">
        <v>1115.0500489999999</v>
      </c>
      <c r="FU1818" s="451"/>
    </row>
    <row r="1819" spans="135:177" x14ac:dyDescent="0.35">
      <c r="EE1819" s="451">
        <v>40316</v>
      </c>
      <c r="EF1819" s="62">
        <v>76.56</v>
      </c>
      <c r="EG1819" s="62">
        <v>1120.8000489999999</v>
      </c>
      <c r="FU1819" s="451"/>
    </row>
    <row r="1820" spans="135:177" x14ac:dyDescent="0.35">
      <c r="EE1820" s="451">
        <v>40315</v>
      </c>
      <c r="EF1820" s="62">
        <v>77.37</v>
      </c>
      <c r="EG1820" s="62">
        <v>1136.9399410000001</v>
      </c>
      <c r="FU1820" s="451"/>
    </row>
    <row r="1821" spans="135:177" x14ac:dyDescent="0.35">
      <c r="EE1821" s="451">
        <v>40312</v>
      </c>
      <c r="EF1821" s="62">
        <v>75.989999999999995</v>
      </c>
      <c r="EG1821" s="62">
        <v>1135.6800539999999</v>
      </c>
      <c r="FU1821" s="451"/>
    </row>
    <row r="1822" spans="135:177" x14ac:dyDescent="0.35">
      <c r="EE1822" s="451">
        <v>40311</v>
      </c>
      <c r="EF1822" s="62">
        <v>77.2</v>
      </c>
      <c r="EG1822" s="62">
        <v>1157.4399410000001</v>
      </c>
      <c r="FU1822" s="451"/>
    </row>
    <row r="1823" spans="135:177" x14ac:dyDescent="0.35">
      <c r="EE1823" s="451">
        <v>40310</v>
      </c>
      <c r="EF1823" s="62">
        <v>78.680000000000007</v>
      </c>
      <c r="EG1823" s="62">
        <v>1171.670044</v>
      </c>
      <c r="FU1823" s="451"/>
    </row>
    <row r="1824" spans="135:177" x14ac:dyDescent="0.35">
      <c r="EE1824" s="451">
        <v>40309</v>
      </c>
      <c r="EF1824" s="62">
        <v>77.489999999999995</v>
      </c>
      <c r="EG1824" s="62">
        <v>1155.790039</v>
      </c>
      <c r="FU1824" s="451"/>
    </row>
    <row r="1825" spans="135:177" x14ac:dyDescent="0.35">
      <c r="EE1825" s="451">
        <v>40308</v>
      </c>
      <c r="EF1825" s="62">
        <v>78.22</v>
      </c>
      <c r="EG1825" s="62">
        <v>1159.7299800000001</v>
      </c>
      <c r="FU1825" s="451"/>
    </row>
    <row r="1826" spans="135:177" x14ac:dyDescent="0.35">
      <c r="EE1826" s="451">
        <v>40305</v>
      </c>
      <c r="EF1826" s="62">
        <v>74.31</v>
      </c>
      <c r="EG1826" s="62">
        <v>1110.880005</v>
      </c>
      <c r="FU1826" s="451"/>
    </row>
    <row r="1827" spans="135:177" x14ac:dyDescent="0.35">
      <c r="EE1827" s="451">
        <v>40304</v>
      </c>
      <c r="EF1827" s="62">
        <v>75</v>
      </c>
      <c r="EG1827" s="62">
        <v>1128.150024</v>
      </c>
      <c r="FU1827" s="451"/>
    </row>
    <row r="1828" spans="135:177" x14ac:dyDescent="0.35">
      <c r="EE1828" s="451">
        <v>40303</v>
      </c>
      <c r="EF1828" s="62">
        <v>76.709999999999994</v>
      </c>
      <c r="EG1828" s="62">
        <v>1165.869995</v>
      </c>
      <c r="FU1828" s="451"/>
    </row>
    <row r="1829" spans="135:177" x14ac:dyDescent="0.35">
      <c r="EE1829" s="451">
        <v>40302</v>
      </c>
      <c r="EF1829" s="62">
        <v>77.599999999999994</v>
      </c>
      <c r="EG1829" s="62">
        <v>1173.599976</v>
      </c>
      <c r="FU1829" s="451"/>
    </row>
    <row r="1830" spans="135:177" x14ac:dyDescent="0.35">
      <c r="EE1830" s="451">
        <v>40301</v>
      </c>
      <c r="EF1830" s="62">
        <v>78.989999999999995</v>
      </c>
      <c r="EG1830" s="62">
        <v>1202.26001</v>
      </c>
      <c r="FU1830" s="451"/>
    </row>
    <row r="1831" spans="135:177" x14ac:dyDescent="0.35">
      <c r="EE1831" s="451">
        <v>40298</v>
      </c>
      <c r="EF1831" s="62">
        <v>78.010000000000005</v>
      </c>
      <c r="EG1831" s="62">
        <v>1186.6899410000001</v>
      </c>
      <c r="FU1831" s="451"/>
    </row>
    <row r="1832" spans="135:177" x14ac:dyDescent="0.35">
      <c r="EE1832" s="451">
        <v>40297</v>
      </c>
      <c r="EF1832" s="62">
        <v>79.58</v>
      </c>
      <c r="EG1832" s="62">
        <v>1206.780029</v>
      </c>
      <c r="FU1832" s="451"/>
    </row>
    <row r="1833" spans="135:177" x14ac:dyDescent="0.35">
      <c r="EE1833" s="451">
        <v>40296</v>
      </c>
      <c r="EF1833" s="62">
        <v>79.97</v>
      </c>
      <c r="EG1833" s="62">
        <v>1191.3599850000001</v>
      </c>
      <c r="FU1833" s="451"/>
    </row>
    <row r="1834" spans="135:177" x14ac:dyDescent="0.35">
      <c r="EE1834" s="451">
        <v>40295</v>
      </c>
      <c r="EF1834" s="62">
        <v>86.2</v>
      </c>
      <c r="EG1834" s="62">
        <v>1183.709961</v>
      </c>
      <c r="FU1834" s="451"/>
    </row>
    <row r="1835" spans="135:177" x14ac:dyDescent="0.35">
      <c r="EE1835" s="451">
        <v>40294</v>
      </c>
      <c r="EF1835" s="62">
        <v>87.39</v>
      </c>
      <c r="EG1835" s="62">
        <v>1212.0500489999999</v>
      </c>
      <c r="FU1835" s="451"/>
    </row>
    <row r="1836" spans="135:177" x14ac:dyDescent="0.35">
      <c r="EE1836" s="451">
        <v>40291</v>
      </c>
      <c r="EF1836" s="62">
        <v>87.42</v>
      </c>
      <c r="EG1836" s="62">
        <v>1217.280029</v>
      </c>
      <c r="FU1836" s="451"/>
    </row>
    <row r="1837" spans="135:177" x14ac:dyDescent="0.35">
      <c r="EE1837" s="451">
        <v>40290</v>
      </c>
      <c r="EF1837" s="62">
        <v>87.77</v>
      </c>
      <c r="EG1837" s="62">
        <v>1208.670044</v>
      </c>
      <c r="FU1837" s="451"/>
    </row>
    <row r="1838" spans="135:177" x14ac:dyDescent="0.35">
      <c r="EE1838" s="451">
        <v>40289</v>
      </c>
      <c r="EF1838" s="62">
        <v>85.16</v>
      </c>
      <c r="EG1838" s="62">
        <v>1205.9399410000001</v>
      </c>
      <c r="FU1838" s="451"/>
    </row>
    <row r="1839" spans="135:177" x14ac:dyDescent="0.35">
      <c r="EE1839" s="451">
        <v>40288</v>
      </c>
      <c r="EF1839" s="62">
        <v>83.28</v>
      </c>
      <c r="EG1839" s="62">
        <v>1207.170044</v>
      </c>
      <c r="FU1839" s="451"/>
    </row>
    <row r="1840" spans="135:177" x14ac:dyDescent="0.35">
      <c r="EE1840" s="451">
        <v>40287</v>
      </c>
      <c r="EF1840" s="62">
        <v>83.16</v>
      </c>
      <c r="EG1840" s="62">
        <v>1197.5200199999999</v>
      </c>
      <c r="FU1840" s="451"/>
    </row>
    <row r="1841" spans="135:177" x14ac:dyDescent="0.35">
      <c r="EE1841" s="451">
        <v>40284</v>
      </c>
      <c r="EF1841" s="62">
        <v>83.74</v>
      </c>
      <c r="EG1841" s="62">
        <v>1192.130005</v>
      </c>
      <c r="FU1841" s="451"/>
    </row>
    <row r="1842" spans="135:177" x14ac:dyDescent="0.35">
      <c r="EE1842" s="451">
        <v>40283</v>
      </c>
      <c r="EF1842" s="62">
        <v>83.1</v>
      </c>
      <c r="EG1842" s="62">
        <v>1211.670044</v>
      </c>
      <c r="FU1842" s="451"/>
    </row>
    <row r="1843" spans="135:177" x14ac:dyDescent="0.35">
      <c r="EE1843" s="451">
        <v>40282</v>
      </c>
      <c r="EF1843" s="62">
        <v>83.07</v>
      </c>
      <c r="EG1843" s="62">
        <v>1210.650024</v>
      </c>
      <c r="FU1843" s="451"/>
    </row>
    <row r="1844" spans="135:177" x14ac:dyDescent="0.35">
      <c r="EE1844" s="451">
        <v>40281</v>
      </c>
      <c r="EF1844" s="62">
        <v>82.8</v>
      </c>
      <c r="EG1844" s="62">
        <v>1197.3000489999999</v>
      </c>
      <c r="FU1844" s="451"/>
    </row>
    <row r="1845" spans="135:177" x14ac:dyDescent="0.35">
      <c r="EE1845" s="451">
        <v>40280</v>
      </c>
      <c r="EF1845" s="62">
        <v>82.85</v>
      </c>
      <c r="EG1845" s="62">
        <v>1196.4799800000001</v>
      </c>
      <c r="FU1845" s="451"/>
    </row>
    <row r="1846" spans="135:177" x14ac:dyDescent="0.35">
      <c r="EE1846" s="451">
        <v>40277</v>
      </c>
      <c r="EF1846" s="62">
        <v>82.82</v>
      </c>
      <c r="EG1846" s="62">
        <v>1194.369995</v>
      </c>
      <c r="FU1846" s="451"/>
    </row>
    <row r="1847" spans="135:177" x14ac:dyDescent="0.35">
      <c r="EE1847" s="451">
        <v>40276</v>
      </c>
      <c r="EF1847" s="62">
        <v>82.67</v>
      </c>
      <c r="EG1847" s="62">
        <v>1186.4399410000001</v>
      </c>
      <c r="FU1847" s="451"/>
    </row>
    <row r="1848" spans="135:177" x14ac:dyDescent="0.35">
      <c r="EE1848" s="451">
        <v>40275</v>
      </c>
      <c r="EF1848" s="62">
        <v>81.72</v>
      </c>
      <c r="EG1848" s="62">
        <v>1182.4499510000001</v>
      </c>
      <c r="FU1848" s="451"/>
    </row>
    <row r="1849" spans="135:177" x14ac:dyDescent="0.35">
      <c r="EE1849" s="451">
        <v>40274</v>
      </c>
      <c r="EF1849" s="62">
        <v>81.23</v>
      </c>
      <c r="EG1849" s="62">
        <v>1189.4399410000001</v>
      </c>
      <c r="FU1849" s="451"/>
    </row>
    <row r="1850" spans="135:177" x14ac:dyDescent="0.35">
      <c r="EE1850" s="451">
        <v>40273</v>
      </c>
      <c r="EF1850" s="62">
        <v>80.28</v>
      </c>
      <c r="EG1850" s="62">
        <v>1187.4399410000001</v>
      </c>
      <c r="FU1850" s="451"/>
    </row>
    <row r="1851" spans="135:177" x14ac:dyDescent="0.35">
      <c r="EE1851" s="451">
        <v>40269</v>
      </c>
      <c r="EF1851" s="62">
        <v>76.38</v>
      </c>
      <c r="EG1851" s="62">
        <v>1178.099976</v>
      </c>
      <c r="FU1851" s="451"/>
    </row>
    <row r="1852" spans="135:177" x14ac:dyDescent="0.35">
      <c r="EE1852" s="451">
        <v>40268</v>
      </c>
      <c r="EF1852" s="62">
        <v>76.489999999999995</v>
      </c>
      <c r="EG1852" s="62">
        <v>1169.4300539999999</v>
      </c>
      <c r="FU1852" s="451"/>
    </row>
    <row r="1853" spans="135:177" x14ac:dyDescent="0.35">
      <c r="EE1853" s="451">
        <v>40267</v>
      </c>
      <c r="EF1853" s="62">
        <v>77.17</v>
      </c>
      <c r="EG1853" s="62">
        <v>1173.2700199999999</v>
      </c>
      <c r="FU1853" s="451"/>
    </row>
    <row r="1854" spans="135:177" x14ac:dyDescent="0.35">
      <c r="EE1854" s="451">
        <v>40266</v>
      </c>
      <c r="EF1854" s="62">
        <v>76.91</v>
      </c>
      <c r="EG1854" s="62">
        <v>1173.219971</v>
      </c>
      <c r="FU1854" s="451"/>
    </row>
    <row r="1855" spans="135:177" x14ac:dyDescent="0.35">
      <c r="EE1855" s="451">
        <v>40263</v>
      </c>
      <c r="EF1855" s="62">
        <v>76.91</v>
      </c>
      <c r="EG1855" s="62">
        <v>1166.589966</v>
      </c>
      <c r="FU1855" s="451"/>
    </row>
    <row r="1856" spans="135:177" x14ac:dyDescent="0.35">
      <c r="EE1856" s="451">
        <v>40262</v>
      </c>
      <c r="EF1856" s="62">
        <v>77.290000000000006</v>
      </c>
      <c r="EG1856" s="62">
        <v>1165.7299800000001</v>
      </c>
      <c r="FU1856" s="451"/>
    </row>
    <row r="1857" spans="135:177" x14ac:dyDescent="0.35">
      <c r="EE1857" s="451">
        <v>40261</v>
      </c>
      <c r="EF1857" s="62">
        <v>78.84</v>
      </c>
      <c r="EG1857" s="62">
        <v>1167.719971</v>
      </c>
      <c r="FU1857" s="451"/>
    </row>
    <row r="1858" spans="135:177" x14ac:dyDescent="0.35">
      <c r="EE1858" s="451">
        <v>40260</v>
      </c>
      <c r="EF1858" s="62">
        <v>78.84</v>
      </c>
      <c r="EG1858" s="62">
        <v>1174.170044</v>
      </c>
      <c r="FU1858" s="451"/>
    </row>
    <row r="1859" spans="135:177" x14ac:dyDescent="0.35">
      <c r="EE1859" s="451">
        <v>40259</v>
      </c>
      <c r="EF1859" s="62">
        <v>78.7</v>
      </c>
      <c r="EG1859" s="62">
        <v>1165.8100589999999</v>
      </c>
      <c r="FU1859" s="451"/>
    </row>
    <row r="1860" spans="135:177" x14ac:dyDescent="0.35">
      <c r="EE1860" s="451">
        <v>40256</v>
      </c>
      <c r="EF1860" s="62">
        <v>78.989999999999995</v>
      </c>
      <c r="EG1860" s="62">
        <v>1159.900024</v>
      </c>
      <c r="FU1860" s="451"/>
    </row>
    <row r="1861" spans="135:177" x14ac:dyDescent="0.35">
      <c r="EE1861" s="451">
        <v>40255</v>
      </c>
      <c r="EF1861" s="62">
        <v>78.59</v>
      </c>
      <c r="EG1861" s="62">
        <v>1165.829956</v>
      </c>
      <c r="FU1861" s="451"/>
    </row>
    <row r="1862" spans="135:177" x14ac:dyDescent="0.35">
      <c r="EE1862" s="451">
        <v>40254</v>
      </c>
      <c r="EF1862" s="62">
        <v>78.27</v>
      </c>
      <c r="EG1862" s="62">
        <v>1166.209961</v>
      </c>
      <c r="FU1862" s="451"/>
    </row>
    <row r="1863" spans="135:177" x14ac:dyDescent="0.35">
      <c r="EE1863" s="451">
        <v>40253</v>
      </c>
      <c r="EF1863" s="62">
        <v>78.400000000000006</v>
      </c>
      <c r="EG1863" s="62">
        <v>1159.459961</v>
      </c>
      <c r="FU1863" s="451"/>
    </row>
    <row r="1864" spans="135:177" x14ac:dyDescent="0.35">
      <c r="EE1864" s="451">
        <v>40252</v>
      </c>
      <c r="EF1864" s="62">
        <v>78.03</v>
      </c>
      <c r="EG1864" s="62">
        <v>1150.51001</v>
      </c>
      <c r="FU1864" s="451"/>
    </row>
    <row r="1865" spans="135:177" x14ac:dyDescent="0.35">
      <c r="EE1865" s="451">
        <v>40249</v>
      </c>
      <c r="EF1865" s="62">
        <v>79.150000000000006</v>
      </c>
      <c r="EG1865" s="62">
        <v>1149.98999</v>
      </c>
      <c r="FU1865" s="451"/>
    </row>
    <row r="1866" spans="135:177" x14ac:dyDescent="0.35">
      <c r="EE1866" s="451">
        <v>40248</v>
      </c>
      <c r="EF1866" s="62">
        <v>79.27</v>
      </c>
      <c r="EG1866" s="62">
        <v>1150.23999</v>
      </c>
      <c r="FU1866" s="451"/>
    </row>
    <row r="1867" spans="135:177" x14ac:dyDescent="0.35">
      <c r="EE1867" s="451">
        <v>40247</v>
      </c>
      <c r="EF1867" s="62">
        <v>77.27</v>
      </c>
      <c r="EG1867" s="62">
        <v>1145.6099850000001</v>
      </c>
      <c r="FU1867" s="451"/>
    </row>
    <row r="1868" spans="135:177" x14ac:dyDescent="0.35">
      <c r="EE1868" s="451">
        <v>40246</v>
      </c>
      <c r="EF1868" s="62">
        <v>76.81</v>
      </c>
      <c r="EG1868" s="62">
        <v>1140.4499510000001</v>
      </c>
      <c r="FU1868" s="451"/>
    </row>
    <row r="1869" spans="135:177" x14ac:dyDescent="0.35">
      <c r="EE1869" s="451">
        <v>40245</v>
      </c>
      <c r="EF1869" s="62">
        <v>78.53</v>
      </c>
      <c r="EG1869" s="62">
        <v>1138.5</v>
      </c>
      <c r="FU1869" s="451"/>
    </row>
    <row r="1870" spans="135:177" x14ac:dyDescent="0.35">
      <c r="EE1870" s="451">
        <v>40242</v>
      </c>
      <c r="EF1870" s="62">
        <v>78.040000000000006</v>
      </c>
      <c r="EG1870" s="62">
        <v>1138.6999510000001</v>
      </c>
      <c r="FU1870" s="451"/>
    </row>
    <row r="1871" spans="135:177" x14ac:dyDescent="0.35">
      <c r="EE1871" s="451">
        <v>40241</v>
      </c>
      <c r="EF1871" s="62">
        <v>74.040000000000006</v>
      </c>
      <c r="EG1871" s="62">
        <v>1122.969971</v>
      </c>
      <c r="FU1871" s="451"/>
    </row>
    <row r="1872" spans="135:177" x14ac:dyDescent="0.35">
      <c r="EE1872" s="451">
        <v>40240</v>
      </c>
      <c r="EF1872" s="62">
        <v>74.09</v>
      </c>
      <c r="EG1872" s="62">
        <v>1118.790039</v>
      </c>
      <c r="FU1872" s="451"/>
    </row>
    <row r="1873" spans="135:177" x14ac:dyDescent="0.35">
      <c r="EE1873" s="451">
        <v>40239</v>
      </c>
      <c r="EF1873" s="62">
        <v>73.92</v>
      </c>
      <c r="EG1873" s="62">
        <v>1118.3100589999999</v>
      </c>
      <c r="FU1873" s="451"/>
    </row>
    <row r="1874" spans="135:177" x14ac:dyDescent="0.35">
      <c r="EE1874" s="451">
        <v>40238</v>
      </c>
      <c r="EF1874" s="62">
        <v>73.150000000000006</v>
      </c>
      <c r="EG1874" s="62">
        <v>1115.709961</v>
      </c>
      <c r="FU1874" s="451"/>
    </row>
    <row r="1875" spans="135:177" x14ac:dyDescent="0.35">
      <c r="EE1875" s="451">
        <v>40235</v>
      </c>
      <c r="EF1875" s="62">
        <v>72.790000000000006</v>
      </c>
      <c r="EG1875" s="62">
        <v>1104.48999</v>
      </c>
      <c r="FU1875" s="451"/>
    </row>
    <row r="1876" spans="135:177" x14ac:dyDescent="0.35">
      <c r="EE1876" s="451">
        <v>40234</v>
      </c>
      <c r="EF1876" s="62">
        <v>72.760000000000005</v>
      </c>
      <c r="EG1876" s="62">
        <v>1102.9399410000001</v>
      </c>
      <c r="FU1876" s="451"/>
    </row>
    <row r="1877" spans="135:177" x14ac:dyDescent="0.35">
      <c r="EE1877" s="451">
        <v>40233</v>
      </c>
      <c r="EF1877" s="62">
        <v>73.040000000000006</v>
      </c>
      <c r="EG1877" s="62">
        <v>1105.23999</v>
      </c>
      <c r="FU1877" s="451"/>
    </row>
    <row r="1878" spans="135:177" x14ac:dyDescent="0.35">
      <c r="EE1878" s="451">
        <v>40232</v>
      </c>
      <c r="EF1878" s="62">
        <v>72.430000000000007</v>
      </c>
      <c r="EG1878" s="62">
        <v>1094.599976</v>
      </c>
      <c r="FU1878" s="451"/>
    </row>
    <row r="1879" spans="135:177" x14ac:dyDescent="0.35">
      <c r="EE1879" s="451">
        <v>40231</v>
      </c>
      <c r="EF1879" s="62">
        <v>72.819999999999993</v>
      </c>
      <c r="EG1879" s="62">
        <v>1108.01001</v>
      </c>
      <c r="FU1879" s="451"/>
    </row>
    <row r="1880" spans="135:177" x14ac:dyDescent="0.35">
      <c r="EE1880" s="451">
        <v>40228</v>
      </c>
      <c r="EF1880" s="62">
        <v>73.84</v>
      </c>
      <c r="EG1880" s="62">
        <v>1109.170044</v>
      </c>
      <c r="FU1880" s="451"/>
    </row>
    <row r="1881" spans="135:177" x14ac:dyDescent="0.35">
      <c r="EE1881" s="451">
        <v>40227</v>
      </c>
      <c r="EF1881" s="62">
        <v>73.34</v>
      </c>
      <c r="EG1881" s="62">
        <v>1106.75</v>
      </c>
      <c r="FU1881" s="451"/>
    </row>
    <row r="1882" spans="135:177" x14ac:dyDescent="0.35">
      <c r="EE1882" s="451">
        <v>40226</v>
      </c>
      <c r="EF1882" s="62">
        <v>73.23</v>
      </c>
      <c r="EG1882" s="62">
        <v>1099.51001</v>
      </c>
      <c r="FU1882" s="451"/>
    </row>
    <row r="1883" spans="135:177" x14ac:dyDescent="0.35">
      <c r="EE1883" s="451">
        <v>40225</v>
      </c>
      <c r="EF1883" s="62">
        <v>73.87</v>
      </c>
      <c r="EG1883" s="62">
        <v>1094.869995</v>
      </c>
      <c r="FU1883" s="451"/>
    </row>
    <row r="1884" spans="135:177" x14ac:dyDescent="0.35">
      <c r="EE1884" s="451">
        <v>40221</v>
      </c>
      <c r="EF1884" s="62">
        <v>73.58</v>
      </c>
      <c r="EG1884" s="62">
        <v>1075.51001</v>
      </c>
      <c r="FU1884" s="451"/>
    </row>
    <row r="1885" spans="135:177" x14ac:dyDescent="0.35">
      <c r="EE1885" s="451">
        <v>40220</v>
      </c>
      <c r="EF1885" s="62">
        <v>72.91</v>
      </c>
      <c r="EG1885" s="62">
        <v>1078.469971</v>
      </c>
      <c r="FU1885" s="451"/>
    </row>
    <row r="1886" spans="135:177" x14ac:dyDescent="0.35">
      <c r="EE1886" s="451">
        <v>40219</v>
      </c>
      <c r="EF1886" s="62">
        <v>72.37</v>
      </c>
      <c r="EG1886" s="62">
        <v>1068.130005</v>
      </c>
      <c r="FU1886" s="451"/>
    </row>
    <row r="1887" spans="135:177" x14ac:dyDescent="0.35">
      <c r="EE1887" s="451">
        <v>40218</v>
      </c>
      <c r="EF1887" s="62">
        <v>72.569999999999993</v>
      </c>
      <c r="EG1887" s="62">
        <v>1070.5200199999999</v>
      </c>
      <c r="FU1887" s="451"/>
    </row>
    <row r="1888" spans="135:177" x14ac:dyDescent="0.35">
      <c r="EE1888" s="451">
        <v>40217</v>
      </c>
      <c r="EF1888" s="62">
        <v>70.959999999999994</v>
      </c>
      <c r="EG1888" s="62">
        <v>1056.73999</v>
      </c>
      <c r="FU1888" s="451"/>
    </row>
    <row r="1889" spans="135:177" x14ac:dyDescent="0.35">
      <c r="EE1889" s="451">
        <v>40214</v>
      </c>
      <c r="EF1889" s="62">
        <v>70.599999999999994</v>
      </c>
      <c r="EG1889" s="62">
        <v>1066.1899410000001</v>
      </c>
      <c r="FU1889" s="451"/>
    </row>
    <row r="1890" spans="135:177" x14ac:dyDescent="0.35">
      <c r="EE1890" s="451">
        <v>40213</v>
      </c>
      <c r="EF1890" s="62">
        <v>71.3</v>
      </c>
      <c r="EG1890" s="62">
        <v>1063.1099850000001</v>
      </c>
      <c r="FU1890" s="451"/>
    </row>
    <row r="1891" spans="135:177" x14ac:dyDescent="0.35">
      <c r="EE1891" s="451">
        <v>40212</v>
      </c>
      <c r="EF1891" s="62">
        <v>74.069999999999993</v>
      </c>
      <c r="EG1891" s="62">
        <v>1097.280029</v>
      </c>
      <c r="FU1891" s="451"/>
    </row>
    <row r="1892" spans="135:177" x14ac:dyDescent="0.35">
      <c r="EE1892" s="451">
        <v>40211</v>
      </c>
      <c r="EF1892" s="62">
        <v>73.72</v>
      </c>
      <c r="EG1892" s="62">
        <v>1103.3199460000001</v>
      </c>
      <c r="FU1892" s="451"/>
    </row>
    <row r="1893" spans="135:177" x14ac:dyDescent="0.35">
      <c r="EE1893" s="451">
        <v>40210</v>
      </c>
      <c r="EF1893" s="62">
        <v>73.44</v>
      </c>
      <c r="EG1893" s="62">
        <v>1089.1899410000001</v>
      </c>
      <c r="FU1893" s="451"/>
    </row>
    <row r="1894" spans="135:177" x14ac:dyDescent="0.35">
      <c r="EE1894" s="451">
        <v>40207</v>
      </c>
      <c r="EF1894" s="62">
        <v>71.42</v>
      </c>
      <c r="EG1894" s="62">
        <v>1073.869995</v>
      </c>
      <c r="FU1894" s="451"/>
    </row>
    <row r="1895" spans="135:177" x14ac:dyDescent="0.35">
      <c r="EE1895" s="451">
        <v>40206</v>
      </c>
      <c r="EF1895" s="62">
        <v>72.010000000000005</v>
      </c>
      <c r="EG1895" s="62">
        <v>1084.530029</v>
      </c>
      <c r="FU1895" s="451"/>
    </row>
    <row r="1896" spans="135:177" x14ac:dyDescent="0.35">
      <c r="EE1896" s="451">
        <v>40205</v>
      </c>
      <c r="EF1896" s="62">
        <v>72</v>
      </c>
      <c r="EG1896" s="62">
        <v>1097.5</v>
      </c>
      <c r="FU1896" s="451"/>
    </row>
    <row r="1897" spans="135:177" x14ac:dyDescent="0.35">
      <c r="EE1897" s="451">
        <v>40204</v>
      </c>
      <c r="EF1897" s="62">
        <v>71.790000000000006</v>
      </c>
      <c r="EG1897" s="62">
        <v>1092.170044</v>
      </c>
      <c r="FU1897" s="451"/>
    </row>
    <row r="1898" spans="135:177" x14ac:dyDescent="0.35">
      <c r="EE1898" s="451">
        <v>40203</v>
      </c>
      <c r="EF1898" s="62">
        <v>71.64</v>
      </c>
      <c r="EG1898" s="62">
        <v>1096.780029</v>
      </c>
      <c r="FU1898" s="451"/>
    </row>
    <row r="1899" spans="135:177" x14ac:dyDescent="0.35">
      <c r="EE1899" s="451">
        <v>40200</v>
      </c>
      <c r="EF1899" s="62">
        <v>72.81</v>
      </c>
      <c r="EG1899" s="62">
        <v>1091.76001</v>
      </c>
      <c r="FU1899" s="451"/>
    </row>
    <row r="1900" spans="135:177" x14ac:dyDescent="0.35">
      <c r="EE1900" s="451">
        <v>40199</v>
      </c>
      <c r="EF1900" s="62">
        <v>73.41</v>
      </c>
      <c r="EG1900" s="62">
        <v>1116.4799800000001</v>
      </c>
      <c r="FU1900" s="451"/>
    </row>
    <row r="1901" spans="135:177" x14ac:dyDescent="0.35">
      <c r="EE1901" s="451">
        <v>40198</v>
      </c>
      <c r="EF1901" s="62">
        <v>68.39</v>
      </c>
      <c r="EG1901" s="62">
        <v>1138.040039</v>
      </c>
      <c r="FU1901" s="451"/>
    </row>
    <row r="1902" spans="135:177" x14ac:dyDescent="0.35">
      <c r="EE1902" s="451">
        <v>40197</v>
      </c>
      <c r="EF1902" s="62">
        <v>68.88</v>
      </c>
      <c r="EG1902" s="62">
        <v>1150.2299800000001</v>
      </c>
      <c r="FU1902" s="451"/>
    </row>
    <row r="1903" spans="135:177" x14ac:dyDescent="0.35">
      <c r="EE1903" s="451">
        <v>40193</v>
      </c>
      <c r="EF1903" s="62">
        <v>68.22</v>
      </c>
      <c r="EG1903" s="62">
        <v>1136.030029</v>
      </c>
      <c r="FU1903" s="451"/>
    </row>
    <row r="1904" spans="135:177" x14ac:dyDescent="0.35">
      <c r="EE1904" s="451">
        <v>40192</v>
      </c>
      <c r="EF1904" s="62">
        <v>68.819999999999993</v>
      </c>
      <c r="EG1904" s="62">
        <v>1148.459961</v>
      </c>
      <c r="FU1904" s="451"/>
    </row>
    <row r="1905" spans="135:177" x14ac:dyDescent="0.35">
      <c r="EE1905" s="451">
        <v>40191</v>
      </c>
      <c r="EF1905" s="62">
        <v>67.819999999999993</v>
      </c>
      <c r="EG1905" s="62">
        <v>1145.6800539999999</v>
      </c>
      <c r="FU1905" s="451"/>
    </row>
    <row r="1906" spans="135:177" x14ac:dyDescent="0.35">
      <c r="EE1906" s="451">
        <v>40190</v>
      </c>
      <c r="EF1906" s="62">
        <v>67.39</v>
      </c>
      <c r="EG1906" s="62">
        <v>1136.219971</v>
      </c>
      <c r="FU1906" s="451"/>
    </row>
    <row r="1907" spans="135:177" x14ac:dyDescent="0.35">
      <c r="EE1907" s="451">
        <v>40189</v>
      </c>
      <c r="EF1907" s="62">
        <v>67.53</v>
      </c>
      <c r="EG1907" s="62">
        <v>1146.9799800000001</v>
      </c>
      <c r="FU1907" s="451"/>
    </row>
    <row r="1908" spans="135:177" x14ac:dyDescent="0.35">
      <c r="EE1908" s="451">
        <v>40186</v>
      </c>
      <c r="EF1908" s="62">
        <v>66.27</v>
      </c>
      <c r="EG1908" s="62">
        <v>1144.9799800000001</v>
      </c>
      <c r="FU1908" s="451"/>
    </row>
    <row r="1909" spans="135:177" x14ac:dyDescent="0.35">
      <c r="EE1909" s="451">
        <v>40185</v>
      </c>
      <c r="EF1909" s="62">
        <v>65.650000000000006</v>
      </c>
      <c r="EG1909" s="62">
        <v>1141.6899410000001</v>
      </c>
      <c r="FU1909" s="451"/>
    </row>
    <row r="1910" spans="135:177" x14ac:dyDescent="0.35">
      <c r="EE1910" s="451">
        <v>40184</v>
      </c>
      <c r="EF1910" s="62">
        <v>65.739999999999995</v>
      </c>
      <c r="EG1910" s="62">
        <v>1137.1400149999999</v>
      </c>
      <c r="FU1910" s="451"/>
    </row>
    <row r="1911" spans="135:177" x14ac:dyDescent="0.35">
      <c r="EE1911" s="451">
        <v>40183</v>
      </c>
      <c r="EF1911" s="62">
        <v>65.89</v>
      </c>
      <c r="EG1911" s="62">
        <v>1136.5200199999999</v>
      </c>
      <c r="FU1911" s="451"/>
    </row>
    <row r="1912" spans="135:177" x14ac:dyDescent="0.35">
      <c r="EE1912" s="451">
        <v>40182</v>
      </c>
      <c r="EF1912" s="62">
        <v>66.47</v>
      </c>
      <c r="EG1912" s="62">
        <v>1132.98999</v>
      </c>
      <c r="FU1912" s="451"/>
    </row>
    <row r="1913" spans="135:177" x14ac:dyDescent="0.35">
      <c r="EE1913" s="451">
        <v>40178</v>
      </c>
      <c r="EF1913" s="62">
        <v>66.94</v>
      </c>
      <c r="EG1913" s="62">
        <v>1115.099976</v>
      </c>
      <c r="FU1913" s="451"/>
    </row>
    <row r="1914" spans="135:177" x14ac:dyDescent="0.35">
      <c r="EE1914" s="451">
        <v>40177</v>
      </c>
      <c r="EF1914" s="62">
        <v>67.94</v>
      </c>
      <c r="EG1914" s="62">
        <v>1126.420044</v>
      </c>
      <c r="FU1914" s="451"/>
    </row>
    <row r="1915" spans="135:177" x14ac:dyDescent="0.35">
      <c r="EE1915" s="451">
        <v>40176</v>
      </c>
      <c r="EF1915" s="62">
        <v>68.63</v>
      </c>
      <c r="EG1915" s="62">
        <v>1126.1999510000001</v>
      </c>
      <c r="FU1915" s="451"/>
    </row>
    <row r="1916" spans="135:177" x14ac:dyDescent="0.35">
      <c r="EE1916" s="451">
        <v>40175</v>
      </c>
      <c r="EF1916" s="62">
        <v>67.95</v>
      </c>
      <c r="EG1916" s="62">
        <v>1127.780029</v>
      </c>
      <c r="FU1916" s="451"/>
    </row>
    <row r="1917" spans="135:177" x14ac:dyDescent="0.35">
      <c r="EE1917" s="451">
        <v>40171</v>
      </c>
      <c r="EF1917" s="62">
        <v>68.22</v>
      </c>
      <c r="EG1917" s="62">
        <v>1126.4799800000001</v>
      </c>
      <c r="FU1917" s="451"/>
    </row>
    <row r="1918" spans="135:177" x14ac:dyDescent="0.35">
      <c r="EE1918" s="451">
        <v>40170</v>
      </c>
      <c r="EF1918" s="62">
        <v>68.319999999999993</v>
      </c>
      <c r="EG1918" s="62">
        <v>1120.589966</v>
      </c>
      <c r="FU1918" s="451"/>
    </row>
    <row r="1919" spans="135:177" x14ac:dyDescent="0.35">
      <c r="EE1919" s="451">
        <v>40169</v>
      </c>
      <c r="EF1919" s="62">
        <v>68.42</v>
      </c>
      <c r="EG1919" s="62">
        <v>1118.0200199999999</v>
      </c>
      <c r="FU1919" s="451"/>
    </row>
    <row r="1920" spans="135:177" x14ac:dyDescent="0.35">
      <c r="EE1920" s="451">
        <v>40168</v>
      </c>
      <c r="EF1920" s="62">
        <v>67.27</v>
      </c>
      <c r="EG1920" s="62">
        <v>1114.0500489999999</v>
      </c>
      <c r="FU1920" s="451"/>
    </row>
    <row r="1921" spans="135:177" x14ac:dyDescent="0.35">
      <c r="EE1921" s="451">
        <v>40165</v>
      </c>
      <c r="EF1921" s="62">
        <v>66.06</v>
      </c>
      <c r="EG1921" s="62">
        <v>1102.469971</v>
      </c>
      <c r="FU1921" s="451"/>
    </row>
    <row r="1922" spans="135:177" x14ac:dyDescent="0.35">
      <c r="EE1922" s="451">
        <v>40164</v>
      </c>
      <c r="EF1922" s="62">
        <v>64.86</v>
      </c>
      <c r="EG1922" s="62">
        <v>1096.079956</v>
      </c>
      <c r="FU1922" s="451"/>
    </row>
    <row r="1923" spans="135:177" x14ac:dyDescent="0.35">
      <c r="EE1923" s="451">
        <v>40163</v>
      </c>
      <c r="EF1923" s="62">
        <v>64.540000000000006</v>
      </c>
      <c r="EG1923" s="62">
        <v>1109.1800539999999</v>
      </c>
      <c r="FU1923" s="451"/>
    </row>
    <row r="1924" spans="135:177" x14ac:dyDescent="0.35">
      <c r="EE1924" s="451">
        <v>40162</v>
      </c>
      <c r="EF1924" s="62">
        <v>64.349999999999994</v>
      </c>
      <c r="EG1924" s="62">
        <v>1107.9300539999999</v>
      </c>
      <c r="FU1924" s="451"/>
    </row>
    <row r="1925" spans="135:177" x14ac:dyDescent="0.35">
      <c r="EE1925" s="451">
        <v>40161</v>
      </c>
      <c r="EF1925" s="62">
        <v>65.099999999999994</v>
      </c>
      <c r="EG1925" s="62">
        <v>1114.1099850000001</v>
      </c>
      <c r="FU1925" s="451"/>
    </row>
    <row r="1926" spans="135:177" x14ac:dyDescent="0.35">
      <c r="EE1926" s="451">
        <v>40158</v>
      </c>
      <c r="EF1926" s="62">
        <v>64.61</v>
      </c>
      <c r="EG1926" s="62">
        <v>1106.410034</v>
      </c>
      <c r="FU1926" s="451"/>
    </row>
    <row r="1927" spans="135:177" x14ac:dyDescent="0.35">
      <c r="EE1927" s="451">
        <v>40157</v>
      </c>
      <c r="EF1927" s="62">
        <v>63.88</v>
      </c>
      <c r="EG1927" s="62">
        <v>1102.349976</v>
      </c>
      <c r="FU1927" s="451"/>
    </row>
    <row r="1928" spans="135:177" x14ac:dyDescent="0.35">
      <c r="EE1928" s="451">
        <v>40156</v>
      </c>
      <c r="EF1928" s="62">
        <v>63.9</v>
      </c>
      <c r="EG1928" s="62">
        <v>1095.9499510000001</v>
      </c>
      <c r="FU1928" s="451"/>
    </row>
    <row r="1929" spans="135:177" x14ac:dyDescent="0.35">
      <c r="EE1929" s="451">
        <v>40155</v>
      </c>
      <c r="EF1929" s="62">
        <v>64.400000000000006</v>
      </c>
      <c r="EG1929" s="62">
        <v>1091.9399410000001</v>
      </c>
      <c r="FU1929" s="451"/>
    </row>
    <row r="1930" spans="135:177" x14ac:dyDescent="0.35">
      <c r="EE1930" s="451">
        <v>40154</v>
      </c>
      <c r="EF1930" s="62">
        <v>64.95</v>
      </c>
      <c r="EG1930" s="62">
        <v>1103.25</v>
      </c>
      <c r="FU1930" s="451"/>
    </row>
    <row r="1931" spans="135:177" x14ac:dyDescent="0.35">
      <c r="EE1931" s="451">
        <v>40151</v>
      </c>
      <c r="EF1931" s="62">
        <v>64.180000000000007</v>
      </c>
      <c r="EG1931" s="62">
        <v>1105.9799800000001</v>
      </c>
      <c r="FU1931" s="451"/>
    </row>
    <row r="1932" spans="135:177" x14ac:dyDescent="0.35">
      <c r="EE1932" s="451">
        <v>40150</v>
      </c>
      <c r="EF1932" s="62">
        <v>63.95</v>
      </c>
      <c r="EG1932" s="62">
        <v>1099.920044</v>
      </c>
      <c r="FU1932" s="451"/>
    </row>
    <row r="1933" spans="135:177" x14ac:dyDescent="0.35">
      <c r="EE1933" s="451">
        <v>40149</v>
      </c>
      <c r="EF1933" s="62">
        <v>65.37</v>
      </c>
      <c r="EG1933" s="62">
        <v>1109.23999</v>
      </c>
      <c r="FU1933" s="451"/>
    </row>
    <row r="1934" spans="135:177" x14ac:dyDescent="0.35">
      <c r="EE1934" s="451">
        <v>40148</v>
      </c>
      <c r="EF1934" s="62">
        <v>64.05</v>
      </c>
      <c r="EG1934" s="62">
        <v>1108.8599850000001</v>
      </c>
      <c r="FU1934" s="451"/>
    </row>
    <row r="1935" spans="135:177" x14ac:dyDescent="0.35">
      <c r="EE1935" s="451">
        <v>40147</v>
      </c>
      <c r="EF1935" s="62">
        <v>62.96</v>
      </c>
      <c r="EG1935" s="62">
        <v>1095.630005</v>
      </c>
      <c r="FU1935" s="451"/>
    </row>
    <row r="1936" spans="135:177" x14ac:dyDescent="0.35">
      <c r="EE1936" s="451">
        <v>40144</v>
      </c>
      <c r="EF1936" s="62">
        <v>63.31</v>
      </c>
      <c r="EG1936" s="62">
        <v>1091.48999</v>
      </c>
      <c r="FU1936" s="451"/>
    </row>
    <row r="1937" spans="135:177" x14ac:dyDescent="0.35">
      <c r="EE1937" s="451">
        <v>40142</v>
      </c>
      <c r="EF1937" s="62">
        <v>63.82</v>
      </c>
      <c r="EG1937" s="62">
        <v>1110.630005</v>
      </c>
      <c r="FU1937" s="451"/>
    </row>
    <row r="1938" spans="135:177" x14ac:dyDescent="0.35">
      <c r="EE1938" s="451">
        <v>40141</v>
      </c>
      <c r="EF1938" s="62">
        <v>63.78</v>
      </c>
      <c r="EG1938" s="62">
        <v>1105.650024</v>
      </c>
      <c r="FU1938" s="451"/>
    </row>
    <row r="1939" spans="135:177" x14ac:dyDescent="0.35">
      <c r="EE1939" s="451">
        <v>40140</v>
      </c>
      <c r="EF1939" s="62">
        <v>64.209999999999994</v>
      </c>
      <c r="EG1939" s="62">
        <v>1106.23999</v>
      </c>
      <c r="FU1939" s="451"/>
    </row>
    <row r="1940" spans="135:177" x14ac:dyDescent="0.35">
      <c r="EE1940" s="451">
        <v>40137</v>
      </c>
      <c r="EF1940" s="62">
        <v>63.74</v>
      </c>
      <c r="EG1940" s="62">
        <v>1091.380005</v>
      </c>
      <c r="FU1940" s="451"/>
    </row>
    <row r="1941" spans="135:177" x14ac:dyDescent="0.35">
      <c r="EE1941" s="451">
        <v>40136</v>
      </c>
      <c r="EF1941" s="62">
        <v>63.64</v>
      </c>
      <c r="EG1941" s="62">
        <v>1094.900024</v>
      </c>
      <c r="FU1941" s="451"/>
    </row>
    <row r="1942" spans="135:177" x14ac:dyDescent="0.35">
      <c r="EE1942" s="451">
        <v>40135</v>
      </c>
      <c r="EF1942" s="62">
        <v>64.28</v>
      </c>
      <c r="EG1942" s="62">
        <v>1109.8000489999999</v>
      </c>
      <c r="FU1942" s="451"/>
    </row>
    <row r="1943" spans="135:177" x14ac:dyDescent="0.35">
      <c r="EE1943" s="451">
        <v>40134</v>
      </c>
      <c r="EF1943" s="62">
        <v>62.34</v>
      </c>
      <c r="EG1943" s="62">
        <v>1110.3199460000001</v>
      </c>
      <c r="FU1943" s="451"/>
    </row>
    <row r="1944" spans="135:177" x14ac:dyDescent="0.35">
      <c r="EE1944" s="451">
        <v>40133</v>
      </c>
      <c r="EF1944" s="62">
        <v>62.42</v>
      </c>
      <c r="EG1944" s="62">
        <v>1109.3000489999999</v>
      </c>
      <c r="FU1944" s="451"/>
    </row>
    <row r="1945" spans="135:177" x14ac:dyDescent="0.35">
      <c r="EE1945" s="451">
        <v>40130</v>
      </c>
      <c r="EF1945" s="62">
        <v>61.51</v>
      </c>
      <c r="EG1945" s="62">
        <v>1093.4799800000001</v>
      </c>
      <c r="FU1945" s="451"/>
    </row>
    <row r="1946" spans="135:177" x14ac:dyDescent="0.35">
      <c r="EE1946" s="451">
        <v>40129</v>
      </c>
      <c r="EF1946" s="62">
        <v>61.45</v>
      </c>
      <c r="EG1946" s="62">
        <v>1087.23999</v>
      </c>
      <c r="FU1946" s="451"/>
    </row>
    <row r="1947" spans="135:177" x14ac:dyDescent="0.35">
      <c r="EE1947" s="451">
        <v>40128</v>
      </c>
      <c r="EF1947" s="62">
        <v>62.79</v>
      </c>
      <c r="EG1947" s="62">
        <v>1098.51001</v>
      </c>
      <c r="FU1947" s="451"/>
    </row>
    <row r="1948" spans="135:177" x14ac:dyDescent="0.35">
      <c r="EE1948" s="451">
        <v>40127</v>
      </c>
      <c r="EF1948" s="62">
        <v>62.51</v>
      </c>
      <c r="EG1948" s="62">
        <v>1093.01001</v>
      </c>
      <c r="FU1948" s="451"/>
    </row>
    <row r="1949" spans="135:177" x14ac:dyDescent="0.35">
      <c r="EE1949" s="451">
        <v>40126</v>
      </c>
      <c r="EF1949" s="62">
        <v>62.59</v>
      </c>
      <c r="EG1949" s="62">
        <v>1093.079956</v>
      </c>
      <c r="FU1949" s="451"/>
    </row>
    <row r="1950" spans="135:177" x14ac:dyDescent="0.35">
      <c r="EE1950" s="451">
        <v>40123</v>
      </c>
      <c r="EF1950" s="62">
        <v>61.39</v>
      </c>
      <c r="EG1950" s="62">
        <v>1069.3000489999999</v>
      </c>
      <c r="FU1950" s="451"/>
    </row>
    <row r="1951" spans="135:177" x14ac:dyDescent="0.35">
      <c r="EE1951" s="451">
        <v>40122</v>
      </c>
      <c r="EF1951" s="62">
        <v>61.41</v>
      </c>
      <c r="EG1951" s="62">
        <v>1066.630005</v>
      </c>
      <c r="FU1951" s="451"/>
    </row>
    <row r="1952" spans="135:177" x14ac:dyDescent="0.35">
      <c r="EE1952" s="451">
        <v>40121</v>
      </c>
      <c r="EF1952" s="62">
        <v>60.72</v>
      </c>
      <c r="EG1952" s="62">
        <v>1046.5</v>
      </c>
      <c r="FU1952" s="451"/>
    </row>
    <row r="1953" spans="135:177" x14ac:dyDescent="0.35">
      <c r="EE1953" s="451">
        <v>40120</v>
      </c>
      <c r="EF1953" s="62">
        <v>60.79</v>
      </c>
      <c r="EG1953" s="62">
        <v>1045.410034</v>
      </c>
      <c r="FU1953" s="451"/>
    </row>
    <row r="1954" spans="135:177" x14ac:dyDescent="0.35">
      <c r="EE1954" s="451">
        <v>40119</v>
      </c>
      <c r="EF1954" s="62">
        <v>60.25</v>
      </c>
      <c r="EG1954" s="62">
        <v>1042.880005</v>
      </c>
      <c r="FU1954" s="451"/>
    </row>
    <row r="1955" spans="135:177" x14ac:dyDescent="0.35">
      <c r="EE1955" s="451">
        <v>40116</v>
      </c>
      <c r="EF1955" s="62">
        <v>59.98</v>
      </c>
      <c r="EG1955" s="62">
        <v>1036.1899410000001</v>
      </c>
      <c r="FU1955" s="451"/>
    </row>
    <row r="1956" spans="135:177" x14ac:dyDescent="0.35">
      <c r="EE1956" s="451">
        <v>40115</v>
      </c>
      <c r="EF1956" s="62">
        <v>61.2</v>
      </c>
      <c r="EG1956" s="62">
        <v>1066.1099850000001</v>
      </c>
      <c r="FU1956" s="451"/>
    </row>
    <row r="1957" spans="135:177" x14ac:dyDescent="0.35">
      <c r="EE1957" s="451">
        <v>40114</v>
      </c>
      <c r="EF1957" s="62">
        <v>58.74</v>
      </c>
      <c r="EG1957" s="62">
        <v>1042.630005</v>
      </c>
      <c r="FU1957" s="451"/>
    </row>
    <row r="1958" spans="135:177" x14ac:dyDescent="0.35">
      <c r="EE1958" s="451">
        <v>40113</v>
      </c>
      <c r="EF1958" s="62">
        <v>55.1</v>
      </c>
      <c r="EG1958" s="62">
        <v>1063.410034</v>
      </c>
      <c r="FU1958" s="451"/>
    </row>
    <row r="1959" spans="135:177" x14ac:dyDescent="0.35">
      <c r="EE1959" s="451">
        <v>40112</v>
      </c>
      <c r="EF1959" s="62">
        <v>55.61</v>
      </c>
      <c r="EG1959" s="62">
        <v>1066.9499510000001</v>
      </c>
      <c r="FU1959" s="451"/>
    </row>
    <row r="1960" spans="135:177" x14ac:dyDescent="0.35">
      <c r="EE1960" s="451">
        <v>40109</v>
      </c>
      <c r="EF1960" s="62">
        <v>55.95</v>
      </c>
      <c r="EG1960" s="62">
        <v>1079.599976</v>
      </c>
      <c r="FU1960" s="451"/>
    </row>
    <row r="1961" spans="135:177" x14ac:dyDescent="0.35">
      <c r="EE1961" s="451">
        <v>40108</v>
      </c>
      <c r="EF1961" s="62">
        <v>55.59</v>
      </c>
      <c r="EG1961" s="62">
        <v>1092.910034</v>
      </c>
      <c r="FU1961" s="451"/>
    </row>
    <row r="1962" spans="135:177" x14ac:dyDescent="0.35">
      <c r="EE1962" s="451">
        <v>40107</v>
      </c>
      <c r="EF1962" s="62">
        <v>54.36</v>
      </c>
      <c r="EG1962" s="62">
        <v>1081.400024</v>
      </c>
      <c r="FU1962" s="451"/>
    </row>
    <row r="1963" spans="135:177" x14ac:dyDescent="0.35">
      <c r="EE1963" s="451">
        <v>40106</v>
      </c>
      <c r="EF1963" s="62">
        <v>56.15</v>
      </c>
      <c r="EG1963" s="62">
        <v>1091.0600589999999</v>
      </c>
      <c r="FU1963" s="451"/>
    </row>
    <row r="1964" spans="135:177" x14ac:dyDescent="0.35">
      <c r="EE1964" s="451">
        <v>40105</v>
      </c>
      <c r="EF1964" s="62">
        <v>57.22</v>
      </c>
      <c r="EG1964" s="62">
        <v>1097.910034</v>
      </c>
      <c r="FU1964" s="451"/>
    </row>
    <row r="1965" spans="135:177" x14ac:dyDescent="0.35">
      <c r="EE1965" s="451">
        <v>40102</v>
      </c>
      <c r="EF1965" s="62">
        <v>56.37</v>
      </c>
      <c r="EG1965" s="62">
        <v>1087.6800539999999</v>
      </c>
      <c r="FU1965" s="451"/>
    </row>
    <row r="1966" spans="135:177" x14ac:dyDescent="0.35">
      <c r="EE1966" s="451">
        <v>40101</v>
      </c>
      <c r="EF1966" s="62">
        <v>55.5</v>
      </c>
      <c r="EG1966" s="62">
        <v>1096.5600589999999</v>
      </c>
      <c r="FU1966" s="451"/>
    </row>
    <row r="1967" spans="135:177" x14ac:dyDescent="0.35">
      <c r="EE1967" s="451">
        <v>40100</v>
      </c>
      <c r="EF1967" s="62">
        <v>55.23</v>
      </c>
      <c r="EG1967" s="62">
        <v>1092.0200199999999</v>
      </c>
      <c r="FU1967" s="451"/>
    </row>
    <row r="1968" spans="135:177" x14ac:dyDescent="0.35">
      <c r="EE1968" s="451">
        <v>40099</v>
      </c>
      <c r="EF1968" s="62">
        <v>54.83</v>
      </c>
      <c r="EG1968" s="62">
        <v>1073.1899410000001</v>
      </c>
      <c r="FU1968" s="451"/>
    </row>
    <row r="1969" spans="135:177" x14ac:dyDescent="0.35">
      <c r="EE1969" s="451">
        <v>40098</v>
      </c>
      <c r="EF1969" s="62">
        <v>55.55</v>
      </c>
      <c r="EG1969" s="62">
        <v>1076.1899410000001</v>
      </c>
      <c r="FU1969" s="451"/>
    </row>
    <row r="1970" spans="135:177" x14ac:dyDescent="0.35">
      <c r="EE1970" s="451">
        <v>40095</v>
      </c>
      <c r="EF1970" s="62">
        <v>55.64</v>
      </c>
      <c r="EG1970" s="62">
        <v>1071.48999</v>
      </c>
      <c r="FU1970" s="451"/>
    </row>
    <row r="1971" spans="135:177" x14ac:dyDescent="0.35">
      <c r="EE1971" s="451">
        <v>40094</v>
      </c>
      <c r="EF1971" s="62">
        <v>55.15</v>
      </c>
      <c r="EG1971" s="62">
        <v>1065.4799800000001</v>
      </c>
      <c r="FU1971" s="451"/>
    </row>
    <row r="1972" spans="135:177" x14ac:dyDescent="0.35">
      <c r="EE1972" s="451">
        <v>40093</v>
      </c>
      <c r="EF1972" s="62">
        <v>54.36</v>
      </c>
      <c r="EG1972" s="62">
        <v>1057.579956</v>
      </c>
      <c r="FU1972" s="451"/>
    </row>
    <row r="1973" spans="135:177" x14ac:dyDescent="0.35">
      <c r="EE1973" s="451">
        <v>40092</v>
      </c>
      <c r="EF1973" s="62">
        <v>54.82</v>
      </c>
      <c r="EG1973" s="62">
        <v>1054.719971</v>
      </c>
      <c r="FU1973" s="451"/>
    </row>
    <row r="1974" spans="135:177" x14ac:dyDescent="0.35">
      <c r="EE1974" s="451">
        <v>40091</v>
      </c>
      <c r="EF1974" s="62">
        <v>53.53</v>
      </c>
      <c r="EG1974" s="62">
        <v>1040.459961</v>
      </c>
      <c r="FU1974" s="451"/>
    </row>
    <row r="1975" spans="135:177" x14ac:dyDescent="0.35">
      <c r="EE1975" s="451">
        <v>40088</v>
      </c>
      <c r="EF1975" s="62">
        <v>53.24</v>
      </c>
      <c r="EG1975" s="62">
        <v>1025.209961</v>
      </c>
      <c r="FU1975" s="451"/>
    </row>
    <row r="1976" spans="135:177" x14ac:dyDescent="0.35">
      <c r="EE1976" s="451">
        <v>40087</v>
      </c>
      <c r="EF1976" s="62">
        <v>53.48</v>
      </c>
      <c r="EG1976" s="62">
        <v>1029.849976</v>
      </c>
      <c r="FU1976" s="451"/>
    </row>
    <row r="1977" spans="135:177" x14ac:dyDescent="0.35">
      <c r="EE1977" s="451">
        <v>40086</v>
      </c>
      <c r="EF1977" s="62">
        <v>55</v>
      </c>
      <c r="EG1977" s="62">
        <v>1057.079956</v>
      </c>
      <c r="FU1977" s="451"/>
    </row>
    <row r="1978" spans="135:177" x14ac:dyDescent="0.35">
      <c r="EE1978" s="451">
        <v>40085</v>
      </c>
      <c r="EF1978" s="62">
        <v>55.32</v>
      </c>
      <c r="EG1978" s="62">
        <v>1060.6099850000001</v>
      </c>
      <c r="FU1978" s="451"/>
    </row>
    <row r="1979" spans="135:177" x14ac:dyDescent="0.35">
      <c r="EE1979" s="451">
        <v>40084</v>
      </c>
      <c r="EF1979" s="62">
        <v>54.99</v>
      </c>
      <c r="EG1979" s="62">
        <v>1062.9799800000001</v>
      </c>
      <c r="FU1979" s="451"/>
    </row>
    <row r="1980" spans="135:177" x14ac:dyDescent="0.35">
      <c r="EE1980" s="451">
        <v>40081</v>
      </c>
      <c r="EF1980" s="62">
        <v>54.95</v>
      </c>
      <c r="EG1980" s="62">
        <v>1044.380005</v>
      </c>
      <c r="FU1980" s="451"/>
    </row>
    <row r="1981" spans="135:177" x14ac:dyDescent="0.35">
      <c r="EE1981" s="451">
        <v>40080</v>
      </c>
      <c r="EF1981" s="62">
        <v>55.1</v>
      </c>
      <c r="EG1981" s="62">
        <v>1050.780029</v>
      </c>
      <c r="FU1981" s="451"/>
    </row>
    <row r="1982" spans="135:177" x14ac:dyDescent="0.35">
      <c r="EE1982" s="451">
        <v>40079</v>
      </c>
      <c r="EF1982" s="62">
        <v>54.96</v>
      </c>
      <c r="EG1982" s="62">
        <v>1060.869995</v>
      </c>
      <c r="FU1982" s="451"/>
    </row>
    <row r="1983" spans="135:177" x14ac:dyDescent="0.35">
      <c r="EE1983" s="451">
        <v>40078</v>
      </c>
      <c r="EF1983" s="62">
        <v>56.07</v>
      </c>
      <c r="EG1983" s="62">
        <v>1071.660034</v>
      </c>
      <c r="FU1983" s="451"/>
    </row>
    <row r="1984" spans="135:177" x14ac:dyDescent="0.35">
      <c r="EE1984" s="451">
        <v>40077</v>
      </c>
      <c r="EF1984" s="62">
        <v>57.52</v>
      </c>
      <c r="EG1984" s="62">
        <v>1064.660034</v>
      </c>
      <c r="FU1984" s="451"/>
    </row>
    <row r="1985" spans="135:177" x14ac:dyDescent="0.35">
      <c r="EE1985" s="451">
        <v>40074</v>
      </c>
      <c r="EF1985" s="62">
        <v>58.05</v>
      </c>
      <c r="EG1985" s="62">
        <v>1068.3000489999999</v>
      </c>
      <c r="FU1985" s="451"/>
    </row>
    <row r="1986" spans="135:177" x14ac:dyDescent="0.35">
      <c r="EE1986" s="451">
        <v>40073</v>
      </c>
      <c r="EF1986" s="62">
        <v>56.32</v>
      </c>
      <c r="EG1986" s="62">
        <v>1065.48999</v>
      </c>
      <c r="FU1986" s="451"/>
    </row>
    <row r="1987" spans="135:177" x14ac:dyDescent="0.35">
      <c r="EE1987" s="451">
        <v>40072</v>
      </c>
      <c r="EF1987" s="62">
        <v>56.77</v>
      </c>
      <c r="EG1987" s="62">
        <v>1068.76001</v>
      </c>
      <c r="FU1987" s="451"/>
    </row>
    <row r="1988" spans="135:177" x14ac:dyDescent="0.35">
      <c r="EE1988" s="451">
        <v>40071</v>
      </c>
      <c r="EF1988" s="62">
        <v>56.17</v>
      </c>
      <c r="EG1988" s="62">
        <v>1052.630005</v>
      </c>
      <c r="FU1988" s="451"/>
    </row>
    <row r="1989" spans="135:177" x14ac:dyDescent="0.35">
      <c r="EE1989" s="451">
        <v>40070</v>
      </c>
      <c r="EF1989" s="62">
        <v>55.37</v>
      </c>
      <c r="EG1989" s="62">
        <v>1049.339966</v>
      </c>
      <c r="FU1989" s="451"/>
    </row>
    <row r="1990" spans="135:177" x14ac:dyDescent="0.35">
      <c r="EE1990" s="451">
        <v>40067</v>
      </c>
      <c r="EF1990" s="62">
        <v>54.3</v>
      </c>
      <c r="EG1990" s="62">
        <v>1042.7299800000001</v>
      </c>
      <c r="FU1990" s="451"/>
    </row>
    <row r="1991" spans="135:177" x14ac:dyDescent="0.35">
      <c r="EE1991" s="451">
        <v>40066</v>
      </c>
      <c r="EF1991" s="62">
        <v>53.97</v>
      </c>
      <c r="EG1991" s="62">
        <v>1044.1400149999999</v>
      </c>
      <c r="FU1991" s="451"/>
    </row>
    <row r="1992" spans="135:177" x14ac:dyDescent="0.35">
      <c r="EE1992" s="451">
        <v>40065</v>
      </c>
      <c r="EF1992" s="62">
        <v>53.92</v>
      </c>
      <c r="EG1992" s="62">
        <v>1033.369995</v>
      </c>
      <c r="FU1992" s="451"/>
    </row>
    <row r="1993" spans="135:177" x14ac:dyDescent="0.35">
      <c r="EE1993" s="451">
        <v>40064</v>
      </c>
      <c r="EF1993" s="62">
        <v>54.08</v>
      </c>
      <c r="EG1993" s="62">
        <v>1025.3900149999999</v>
      </c>
      <c r="FU1993" s="451"/>
    </row>
    <row r="1994" spans="135:177" x14ac:dyDescent="0.35">
      <c r="EE1994" s="451">
        <v>40060</v>
      </c>
      <c r="EF1994" s="62">
        <v>53.3</v>
      </c>
      <c r="EG1994" s="62">
        <v>1016.400024</v>
      </c>
      <c r="FU1994" s="451"/>
    </row>
    <row r="1995" spans="135:177" x14ac:dyDescent="0.35">
      <c r="EE1995" s="451">
        <v>40059</v>
      </c>
      <c r="EF1995" s="62">
        <v>52.82</v>
      </c>
      <c r="EG1995" s="62">
        <v>1003.23999</v>
      </c>
      <c r="FU1995" s="451"/>
    </row>
    <row r="1996" spans="135:177" x14ac:dyDescent="0.35">
      <c r="EE1996" s="451">
        <v>40058</v>
      </c>
      <c r="EF1996" s="62">
        <v>51.98</v>
      </c>
      <c r="EG1996" s="62">
        <v>994.75</v>
      </c>
      <c r="FU1996" s="451"/>
    </row>
    <row r="1997" spans="135:177" x14ac:dyDescent="0.35">
      <c r="EE1997" s="451">
        <v>40057</v>
      </c>
      <c r="EF1997" s="62">
        <v>51.82</v>
      </c>
      <c r="EG1997" s="62">
        <v>998.03997800000002</v>
      </c>
      <c r="FU1997" s="451"/>
    </row>
    <row r="1998" spans="135:177" x14ac:dyDescent="0.35">
      <c r="EE1998" s="451">
        <v>40056</v>
      </c>
      <c r="EF1998" s="62">
        <v>52.21</v>
      </c>
      <c r="EG1998" s="62">
        <v>1020.619995</v>
      </c>
      <c r="FU1998" s="451"/>
    </row>
    <row r="1999" spans="135:177" x14ac:dyDescent="0.35">
      <c r="EE1999" s="451">
        <v>40053</v>
      </c>
      <c r="EF1999" s="62">
        <v>53.24</v>
      </c>
      <c r="EG1999" s="62">
        <v>1028.9300539999999</v>
      </c>
      <c r="FU1999" s="451"/>
    </row>
    <row r="2000" spans="135:177" x14ac:dyDescent="0.35">
      <c r="EE2000" s="451">
        <v>40052</v>
      </c>
      <c r="EF2000" s="62">
        <v>53.86</v>
      </c>
      <c r="EG2000" s="62">
        <v>1030.9799800000001</v>
      </c>
      <c r="FU2000" s="451"/>
    </row>
    <row r="2001" spans="135:177" x14ac:dyDescent="0.35">
      <c r="EE2001" s="451">
        <v>40051</v>
      </c>
      <c r="EF2001" s="62">
        <v>53.75</v>
      </c>
      <c r="EG2001" s="62">
        <v>1028.119995</v>
      </c>
      <c r="FU2001" s="451"/>
    </row>
    <row r="2002" spans="135:177" x14ac:dyDescent="0.35">
      <c r="EE2002" s="451">
        <v>40050</v>
      </c>
      <c r="EF2002" s="62">
        <v>53.35</v>
      </c>
      <c r="EG2002" s="62">
        <v>1028</v>
      </c>
      <c r="FU2002" s="451"/>
    </row>
    <row r="2003" spans="135:177" x14ac:dyDescent="0.35">
      <c r="EE2003" s="451">
        <v>40049</v>
      </c>
      <c r="EF2003" s="62">
        <v>53.06</v>
      </c>
      <c r="EG2003" s="62">
        <v>1025.5699460000001</v>
      </c>
      <c r="FU2003" s="451"/>
    </row>
    <row r="2004" spans="135:177" x14ac:dyDescent="0.35">
      <c r="EE2004" s="451">
        <v>40046</v>
      </c>
      <c r="EF2004" s="62">
        <v>53.68</v>
      </c>
      <c r="EG2004" s="62">
        <v>1026.130005</v>
      </c>
      <c r="FU2004" s="451"/>
    </row>
    <row r="2005" spans="135:177" x14ac:dyDescent="0.35">
      <c r="EE2005" s="451">
        <v>40045</v>
      </c>
      <c r="EF2005" s="62">
        <v>52.93</v>
      </c>
      <c r="EG2005" s="62">
        <v>1007.369995</v>
      </c>
      <c r="FU2005" s="451"/>
    </row>
    <row r="2006" spans="135:177" x14ac:dyDescent="0.35">
      <c r="EE2006" s="451">
        <v>40044</v>
      </c>
      <c r="EF2006" s="62">
        <v>52.15</v>
      </c>
      <c r="EG2006" s="62">
        <v>996.46002199999998</v>
      </c>
      <c r="FU2006" s="451"/>
    </row>
    <row r="2007" spans="135:177" x14ac:dyDescent="0.35">
      <c r="EE2007" s="451">
        <v>40043</v>
      </c>
      <c r="EF2007" s="62">
        <v>52.8</v>
      </c>
      <c r="EG2007" s="62">
        <v>989.669983</v>
      </c>
      <c r="FU2007" s="451"/>
    </row>
    <row r="2008" spans="135:177" x14ac:dyDescent="0.35">
      <c r="EE2008" s="451">
        <v>40042</v>
      </c>
      <c r="EF2008" s="62">
        <v>52.03</v>
      </c>
      <c r="EG2008" s="62">
        <v>979.72997999999995</v>
      </c>
      <c r="FU2008" s="451"/>
    </row>
    <row r="2009" spans="135:177" x14ac:dyDescent="0.35">
      <c r="EE2009" s="451">
        <v>40039</v>
      </c>
      <c r="EF2009" s="62">
        <v>53.42</v>
      </c>
      <c r="EG2009" s="62">
        <v>1004.090027</v>
      </c>
      <c r="FU2009" s="451"/>
    </row>
    <row r="2010" spans="135:177" x14ac:dyDescent="0.35">
      <c r="EE2010" s="451">
        <v>40038</v>
      </c>
      <c r="EF2010" s="62">
        <v>54.09</v>
      </c>
      <c r="EG2010" s="62">
        <v>1012.72998</v>
      </c>
      <c r="FU2010" s="451"/>
    </row>
    <row r="2011" spans="135:177" x14ac:dyDescent="0.35">
      <c r="EE2011" s="451">
        <v>40037</v>
      </c>
      <c r="EF2011" s="62">
        <v>53.76</v>
      </c>
      <c r="EG2011" s="62">
        <v>1005.809998</v>
      </c>
      <c r="FU2011" s="451"/>
    </row>
    <row r="2012" spans="135:177" x14ac:dyDescent="0.35">
      <c r="EE2012" s="451">
        <v>40036</v>
      </c>
      <c r="EF2012" s="62">
        <v>53.14</v>
      </c>
      <c r="EG2012" s="62">
        <v>994.34997599999997</v>
      </c>
      <c r="FU2012" s="451"/>
    </row>
    <row r="2013" spans="135:177" x14ac:dyDescent="0.35">
      <c r="EE2013" s="451">
        <v>40035</v>
      </c>
      <c r="EF2013" s="62">
        <v>53.5</v>
      </c>
      <c r="EG2013" s="62">
        <v>1007.099976</v>
      </c>
      <c r="FU2013" s="451"/>
    </row>
    <row r="2014" spans="135:177" x14ac:dyDescent="0.35">
      <c r="EE2014" s="451">
        <v>40032</v>
      </c>
      <c r="EF2014" s="62">
        <v>54.12</v>
      </c>
      <c r="EG2014" s="62">
        <v>1010.47998</v>
      </c>
      <c r="FU2014" s="451"/>
    </row>
    <row r="2015" spans="135:177" x14ac:dyDescent="0.35">
      <c r="EE2015" s="451">
        <v>40031</v>
      </c>
      <c r="EF2015" s="62">
        <v>53.65</v>
      </c>
      <c r="EG2015" s="62">
        <v>997.080017</v>
      </c>
      <c r="FU2015" s="451"/>
    </row>
    <row r="2016" spans="135:177" x14ac:dyDescent="0.35">
      <c r="EE2016" s="451">
        <v>40030</v>
      </c>
      <c r="EF2016" s="62">
        <v>54.84</v>
      </c>
      <c r="EG2016" s="62">
        <v>1002.719971</v>
      </c>
      <c r="FU2016" s="451"/>
    </row>
    <row r="2017" spans="135:177" x14ac:dyDescent="0.35">
      <c r="EE2017" s="451">
        <v>40029</v>
      </c>
      <c r="EF2017" s="62">
        <v>55.36</v>
      </c>
      <c r="EG2017" s="62">
        <v>1005.650024</v>
      </c>
      <c r="FU2017" s="451"/>
    </row>
    <row r="2018" spans="135:177" x14ac:dyDescent="0.35">
      <c r="EE2018" s="451">
        <v>40028</v>
      </c>
      <c r="EF2018" s="62">
        <v>55.2</v>
      </c>
      <c r="EG2018" s="62">
        <v>1002.630005</v>
      </c>
      <c r="FU2018" s="451"/>
    </row>
    <row r="2019" spans="135:177" x14ac:dyDescent="0.35">
      <c r="EE2019" s="451">
        <v>40025</v>
      </c>
      <c r="EF2019" s="62">
        <v>54.92</v>
      </c>
      <c r="EG2019" s="62">
        <v>987.47997999999995</v>
      </c>
      <c r="FU2019" s="451"/>
    </row>
    <row r="2020" spans="135:177" x14ac:dyDescent="0.35">
      <c r="EE2020" s="451">
        <v>40024</v>
      </c>
      <c r="EF2020" s="62">
        <v>54.26</v>
      </c>
      <c r="EG2020" s="62">
        <v>986.75</v>
      </c>
      <c r="FU2020" s="451"/>
    </row>
    <row r="2021" spans="135:177" x14ac:dyDescent="0.35">
      <c r="EE2021" s="451">
        <v>40023</v>
      </c>
      <c r="EF2021" s="62">
        <v>53.89</v>
      </c>
      <c r="EG2021" s="62">
        <v>975.15002400000003</v>
      </c>
      <c r="FU2021" s="451"/>
    </row>
    <row r="2022" spans="135:177" x14ac:dyDescent="0.35">
      <c r="EE2022" s="451">
        <v>40022</v>
      </c>
      <c r="EF2022" s="62">
        <v>56.84</v>
      </c>
      <c r="EG2022" s="62">
        <v>979.61999500000002</v>
      </c>
      <c r="FU2022" s="451"/>
    </row>
    <row r="2023" spans="135:177" x14ac:dyDescent="0.35">
      <c r="EE2023" s="451">
        <v>40021</v>
      </c>
      <c r="EF2023" s="62">
        <v>56.38</v>
      </c>
      <c r="EG2023" s="62">
        <v>982.17999299999997</v>
      </c>
      <c r="FU2023" s="451"/>
    </row>
    <row r="2024" spans="135:177" x14ac:dyDescent="0.35">
      <c r="EE2024" s="451">
        <v>40018</v>
      </c>
      <c r="EF2024" s="62">
        <v>55.18</v>
      </c>
      <c r="EG2024" s="62">
        <v>979.26000999999997</v>
      </c>
      <c r="FU2024" s="451"/>
    </row>
    <row r="2025" spans="135:177" x14ac:dyDescent="0.35">
      <c r="EE2025" s="451">
        <v>40017</v>
      </c>
      <c r="EF2025" s="62">
        <v>54.94</v>
      </c>
      <c r="EG2025" s="62">
        <v>976.28997800000002</v>
      </c>
      <c r="FU2025" s="451"/>
    </row>
    <row r="2026" spans="135:177" x14ac:dyDescent="0.35">
      <c r="EE2026" s="451">
        <v>40016</v>
      </c>
      <c r="EF2026" s="62">
        <v>53.47</v>
      </c>
      <c r="EG2026" s="62">
        <v>954.07000700000003</v>
      </c>
      <c r="FU2026" s="451"/>
    </row>
    <row r="2027" spans="135:177" x14ac:dyDescent="0.35">
      <c r="EE2027" s="451">
        <v>40015</v>
      </c>
      <c r="EF2027" s="62">
        <v>52.82</v>
      </c>
      <c r="EG2027" s="62">
        <v>954.580017</v>
      </c>
      <c r="FU2027" s="451"/>
    </row>
    <row r="2028" spans="135:177" x14ac:dyDescent="0.35">
      <c r="EE2028" s="451">
        <v>40014</v>
      </c>
      <c r="EF2028" s="62">
        <v>54.31</v>
      </c>
      <c r="EG2028" s="62">
        <v>951.13000499999998</v>
      </c>
      <c r="FU2028" s="451"/>
    </row>
    <row r="2029" spans="135:177" x14ac:dyDescent="0.35">
      <c r="EE2029" s="451">
        <v>40011</v>
      </c>
      <c r="EF2029" s="62">
        <v>53.58</v>
      </c>
      <c r="EG2029" s="62">
        <v>940.38000499999998</v>
      </c>
      <c r="FU2029" s="451"/>
    </row>
    <row r="2030" spans="135:177" x14ac:dyDescent="0.35">
      <c r="EE2030" s="451">
        <v>40010</v>
      </c>
      <c r="EF2030" s="62">
        <v>53.75</v>
      </c>
      <c r="EG2030" s="62">
        <v>940.73999000000003</v>
      </c>
      <c r="FU2030" s="451"/>
    </row>
    <row r="2031" spans="135:177" x14ac:dyDescent="0.35">
      <c r="EE2031" s="451">
        <v>40009</v>
      </c>
      <c r="EF2031" s="62">
        <v>53.53</v>
      </c>
      <c r="EG2031" s="62">
        <v>932.67999299999997</v>
      </c>
      <c r="FU2031" s="451"/>
    </row>
    <row r="2032" spans="135:177" x14ac:dyDescent="0.35">
      <c r="EE2032" s="451">
        <v>40008</v>
      </c>
      <c r="EF2032" s="62">
        <v>53.15</v>
      </c>
      <c r="EG2032" s="62">
        <v>905.84002699999996</v>
      </c>
      <c r="FU2032" s="451"/>
    </row>
    <row r="2033" spans="135:177" x14ac:dyDescent="0.35">
      <c r="EE2033" s="451">
        <v>40007</v>
      </c>
      <c r="EF2033" s="62">
        <v>51.52</v>
      </c>
      <c r="EG2033" s="62">
        <v>901.04998799999998</v>
      </c>
      <c r="FU2033" s="451"/>
    </row>
    <row r="2034" spans="135:177" x14ac:dyDescent="0.35">
      <c r="EE2034" s="451">
        <v>40004</v>
      </c>
      <c r="EF2034" s="62">
        <v>50.19</v>
      </c>
      <c r="EG2034" s="62">
        <v>879.13000499999998</v>
      </c>
      <c r="FU2034" s="451"/>
    </row>
    <row r="2035" spans="135:177" x14ac:dyDescent="0.35">
      <c r="EE2035" s="451">
        <v>40003</v>
      </c>
      <c r="EF2035" s="62">
        <v>49.17</v>
      </c>
      <c r="EG2035" s="62">
        <v>882.67999299999997</v>
      </c>
      <c r="FU2035" s="451"/>
    </row>
    <row r="2036" spans="135:177" x14ac:dyDescent="0.35">
      <c r="EE2036" s="451">
        <v>40002</v>
      </c>
      <c r="EF2036" s="62">
        <v>49.01</v>
      </c>
      <c r="EG2036" s="62">
        <v>879.55999799999995</v>
      </c>
      <c r="FU2036" s="451"/>
    </row>
    <row r="2037" spans="135:177" x14ac:dyDescent="0.35">
      <c r="EE2037" s="451">
        <v>40001</v>
      </c>
      <c r="EF2037" s="62">
        <v>48.59</v>
      </c>
      <c r="EG2037" s="62">
        <v>881.03002900000001</v>
      </c>
      <c r="FU2037" s="451"/>
    </row>
    <row r="2038" spans="135:177" x14ac:dyDescent="0.35">
      <c r="EE2038" s="451">
        <v>40000</v>
      </c>
      <c r="EF2038" s="62">
        <v>48.98</v>
      </c>
      <c r="EG2038" s="62">
        <v>898.71997099999999</v>
      </c>
      <c r="FU2038" s="451"/>
    </row>
    <row r="2039" spans="135:177" x14ac:dyDescent="0.35">
      <c r="EE2039" s="451">
        <v>39996</v>
      </c>
      <c r="EF2039" s="62">
        <v>48.79</v>
      </c>
      <c r="EG2039" s="62">
        <v>896.419983</v>
      </c>
      <c r="FU2039" s="451"/>
    </row>
    <row r="2040" spans="135:177" x14ac:dyDescent="0.35">
      <c r="EE2040" s="451">
        <v>39995</v>
      </c>
      <c r="EF2040" s="62">
        <v>50.53</v>
      </c>
      <c r="EG2040" s="62">
        <v>923.330017</v>
      </c>
      <c r="FU2040" s="451"/>
    </row>
    <row r="2041" spans="135:177" x14ac:dyDescent="0.35">
      <c r="EE2041" s="451">
        <v>39994</v>
      </c>
      <c r="EF2041" s="62">
        <v>49.86</v>
      </c>
      <c r="EG2041" s="62">
        <v>919.32000700000003</v>
      </c>
      <c r="FU2041" s="451"/>
    </row>
    <row r="2042" spans="135:177" x14ac:dyDescent="0.35">
      <c r="EE2042" s="451">
        <v>39993</v>
      </c>
      <c r="EF2042" s="62">
        <v>50.02</v>
      </c>
      <c r="EG2042" s="62">
        <v>927.22997999999995</v>
      </c>
      <c r="FU2042" s="451"/>
    </row>
    <row r="2043" spans="135:177" x14ac:dyDescent="0.35">
      <c r="EE2043" s="451">
        <v>39990</v>
      </c>
      <c r="EF2043" s="62">
        <v>51.3</v>
      </c>
      <c r="EG2043" s="62">
        <v>918.90002400000003</v>
      </c>
      <c r="FU2043" s="451"/>
    </row>
    <row r="2044" spans="135:177" x14ac:dyDescent="0.35">
      <c r="EE2044" s="451">
        <v>39989</v>
      </c>
      <c r="EF2044" s="62">
        <v>50.95</v>
      </c>
      <c r="EG2044" s="62">
        <v>920.26000999999997</v>
      </c>
      <c r="FU2044" s="451"/>
    </row>
    <row r="2045" spans="135:177" x14ac:dyDescent="0.35">
      <c r="EE2045" s="451">
        <v>39988</v>
      </c>
      <c r="EF2045" s="62">
        <v>50.05</v>
      </c>
      <c r="EG2045" s="62">
        <v>900.94000200000005</v>
      </c>
      <c r="FU2045" s="451"/>
    </row>
    <row r="2046" spans="135:177" x14ac:dyDescent="0.35">
      <c r="EE2046" s="451">
        <v>39987</v>
      </c>
      <c r="EF2046" s="62">
        <v>49.97</v>
      </c>
      <c r="EG2046" s="62">
        <v>895.09997599999997</v>
      </c>
      <c r="FU2046" s="451"/>
    </row>
    <row r="2047" spans="135:177" x14ac:dyDescent="0.35">
      <c r="EE2047" s="451">
        <v>39986</v>
      </c>
      <c r="EF2047" s="62">
        <v>51.35</v>
      </c>
      <c r="EG2047" s="62">
        <v>893.03997800000002</v>
      </c>
      <c r="FU2047" s="451"/>
    </row>
    <row r="2048" spans="135:177" x14ac:dyDescent="0.35">
      <c r="EE2048" s="451">
        <v>39983</v>
      </c>
      <c r="EF2048" s="62">
        <v>51.57</v>
      </c>
      <c r="EG2048" s="62">
        <v>921.22997999999995</v>
      </c>
      <c r="FU2048" s="451"/>
    </row>
    <row r="2049" spans="135:177" x14ac:dyDescent="0.35">
      <c r="EE2049" s="451">
        <v>39982</v>
      </c>
      <c r="EF2049" s="62">
        <v>51.15</v>
      </c>
      <c r="EG2049" s="62">
        <v>918.36999500000002</v>
      </c>
      <c r="FU2049" s="451"/>
    </row>
    <row r="2050" spans="135:177" x14ac:dyDescent="0.35">
      <c r="EE2050" s="451">
        <v>39981</v>
      </c>
      <c r="EF2050" s="62">
        <v>50.46</v>
      </c>
      <c r="EG2050" s="62">
        <v>910.71002199999998</v>
      </c>
      <c r="FU2050" s="451"/>
    </row>
    <row r="2051" spans="135:177" x14ac:dyDescent="0.35">
      <c r="EE2051" s="451">
        <v>39980</v>
      </c>
      <c r="EF2051" s="62">
        <v>49.84</v>
      </c>
      <c r="EG2051" s="62">
        <v>911.96997099999999</v>
      </c>
      <c r="FU2051" s="451"/>
    </row>
    <row r="2052" spans="135:177" x14ac:dyDescent="0.35">
      <c r="EE2052" s="451">
        <v>39979</v>
      </c>
      <c r="EF2052" s="62">
        <v>50.53</v>
      </c>
      <c r="EG2052" s="62">
        <v>923.71997099999999</v>
      </c>
      <c r="FU2052" s="451"/>
    </row>
    <row r="2053" spans="135:177" x14ac:dyDescent="0.35">
      <c r="EE2053" s="451">
        <v>39976</v>
      </c>
      <c r="EF2053" s="62">
        <v>51.48</v>
      </c>
      <c r="EG2053" s="62">
        <v>946.21002199999998</v>
      </c>
      <c r="FU2053" s="451"/>
    </row>
    <row r="2054" spans="135:177" x14ac:dyDescent="0.35">
      <c r="EE2054" s="451">
        <v>39975</v>
      </c>
      <c r="EF2054" s="62">
        <v>51.01</v>
      </c>
      <c r="EG2054" s="62">
        <v>944.89001499999995</v>
      </c>
      <c r="FU2054" s="451"/>
    </row>
    <row r="2055" spans="135:177" x14ac:dyDescent="0.35">
      <c r="EE2055" s="451">
        <v>39974</v>
      </c>
      <c r="EF2055" s="62">
        <v>52.81</v>
      </c>
      <c r="EG2055" s="62">
        <v>939.15002400000003</v>
      </c>
      <c r="FU2055" s="451"/>
    </row>
    <row r="2056" spans="135:177" x14ac:dyDescent="0.35">
      <c r="EE2056" s="451">
        <v>39973</v>
      </c>
      <c r="EF2056" s="62">
        <v>53.1</v>
      </c>
      <c r="EG2056" s="62">
        <v>942.42999299999997</v>
      </c>
      <c r="FU2056" s="451"/>
    </row>
    <row r="2057" spans="135:177" x14ac:dyDescent="0.35">
      <c r="EE2057" s="451">
        <v>39972</v>
      </c>
      <c r="EF2057" s="62">
        <v>52.05</v>
      </c>
      <c r="EG2057" s="62">
        <v>939.14001499999995</v>
      </c>
      <c r="FU2057" s="451"/>
    </row>
    <row r="2058" spans="135:177" x14ac:dyDescent="0.35">
      <c r="EE2058" s="451">
        <v>39969</v>
      </c>
      <c r="EF2058" s="62">
        <v>52.58</v>
      </c>
      <c r="EG2058" s="62">
        <v>940.09002699999996</v>
      </c>
      <c r="FU2058" s="451"/>
    </row>
    <row r="2059" spans="135:177" x14ac:dyDescent="0.35">
      <c r="EE2059" s="451">
        <v>39968</v>
      </c>
      <c r="EF2059" s="62">
        <v>53.31</v>
      </c>
      <c r="EG2059" s="62">
        <v>942.46002199999998</v>
      </c>
      <c r="FU2059" s="451"/>
    </row>
    <row r="2060" spans="135:177" x14ac:dyDescent="0.35">
      <c r="EE2060" s="451">
        <v>39967</v>
      </c>
      <c r="EF2060" s="62">
        <v>52.86</v>
      </c>
      <c r="EG2060" s="62">
        <v>931.76000999999997</v>
      </c>
      <c r="FU2060" s="451"/>
    </row>
    <row r="2061" spans="135:177" x14ac:dyDescent="0.35">
      <c r="EE2061" s="451">
        <v>39966</v>
      </c>
      <c r="EF2061" s="62">
        <v>53.35</v>
      </c>
      <c r="EG2061" s="62">
        <v>944.73999000000003</v>
      </c>
      <c r="FU2061" s="451"/>
    </row>
    <row r="2062" spans="135:177" x14ac:dyDescent="0.35">
      <c r="EE2062" s="451">
        <v>39965</v>
      </c>
      <c r="EF2062" s="62">
        <v>53.85</v>
      </c>
      <c r="EG2062" s="62">
        <v>942.86999500000002</v>
      </c>
      <c r="FU2062" s="451"/>
    </row>
    <row r="2063" spans="135:177" x14ac:dyDescent="0.35">
      <c r="EE2063" s="451">
        <v>39962</v>
      </c>
      <c r="EF2063" s="62">
        <v>53.24</v>
      </c>
      <c r="EG2063" s="62">
        <v>919.14001499999995</v>
      </c>
      <c r="FU2063" s="451"/>
    </row>
    <row r="2064" spans="135:177" x14ac:dyDescent="0.35">
      <c r="EE2064" s="451">
        <v>39961</v>
      </c>
      <c r="EF2064" s="62">
        <v>52.65</v>
      </c>
      <c r="EG2064" s="62">
        <v>906.830017</v>
      </c>
      <c r="FU2064" s="451"/>
    </row>
    <row r="2065" spans="135:177" x14ac:dyDescent="0.35">
      <c r="EE2065" s="451">
        <v>39960</v>
      </c>
      <c r="EF2065" s="62">
        <v>53.19</v>
      </c>
      <c r="EG2065" s="62">
        <v>893.05999799999995</v>
      </c>
      <c r="FU2065" s="451"/>
    </row>
    <row r="2066" spans="135:177" x14ac:dyDescent="0.35">
      <c r="EE2066" s="451">
        <v>39959</v>
      </c>
      <c r="EF2066" s="62">
        <v>52.41</v>
      </c>
      <c r="EG2066" s="62">
        <v>910.330017</v>
      </c>
      <c r="FU2066" s="451"/>
    </row>
    <row r="2067" spans="135:177" x14ac:dyDescent="0.35">
      <c r="EE2067" s="451">
        <v>39955</v>
      </c>
      <c r="EF2067" s="62">
        <v>49.62</v>
      </c>
      <c r="EG2067" s="62">
        <v>887</v>
      </c>
      <c r="FU2067" s="451"/>
    </row>
    <row r="2068" spans="135:177" x14ac:dyDescent="0.35">
      <c r="EE2068" s="451">
        <v>39954</v>
      </c>
      <c r="EF2068" s="62">
        <v>50.72</v>
      </c>
      <c r="EG2068" s="62">
        <v>888.330017</v>
      </c>
      <c r="FU2068" s="451"/>
    </row>
    <row r="2069" spans="135:177" x14ac:dyDescent="0.35">
      <c r="EE2069" s="451">
        <v>39953</v>
      </c>
      <c r="EF2069" s="62">
        <v>51.33</v>
      </c>
      <c r="EG2069" s="62">
        <v>903.46997099999999</v>
      </c>
      <c r="FU2069" s="451"/>
    </row>
    <row r="2070" spans="135:177" x14ac:dyDescent="0.35">
      <c r="EE2070" s="451">
        <v>39952</v>
      </c>
      <c r="EF2070" s="62">
        <v>51.97</v>
      </c>
      <c r="EG2070" s="62">
        <v>908.13000499999998</v>
      </c>
      <c r="FU2070" s="451"/>
    </row>
    <row r="2071" spans="135:177" x14ac:dyDescent="0.35">
      <c r="EE2071" s="451">
        <v>39951</v>
      </c>
      <c r="EF2071" s="62">
        <v>52.55</v>
      </c>
      <c r="EG2071" s="62">
        <v>909.71002199999998</v>
      </c>
      <c r="FU2071" s="451"/>
    </row>
    <row r="2072" spans="135:177" x14ac:dyDescent="0.35">
      <c r="EE2072" s="451">
        <v>39948</v>
      </c>
      <c r="EF2072" s="62">
        <v>51.02</v>
      </c>
      <c r="EG2072" s="62">
        <v>882.88000499999998</v>
      </c>
      <c r="FU2072" s="451"/>
    </row>
    <row r="2073" spans="135:177" x14ac:dyDescent="0.35">
      <c r="EE2073" s="451">
        <v>39947</v>
      </c>
      <c r="EF2073" s="62">
        <v>50.86</v>
      </c>
      <c r="EG2073" s="62">
        <v>893.07000700000003</v>
      </c>
      <c r="FU2073" s="451"/>
    </row>
    <row r="2074" spans="135:177" x14ac:dyDescent="0.35">
      <c r="EE2074" s="451">
        <v>39946</v>
      </c>
      <c r="EF2074" s="62">
        <v>50.01</v>
      </c>
      <c r="EG2074" s="62">
        <v>883.919983</v>
      </c>
      <c r="FU2074" s="451"/>
    </row>
    <row r="2075" spans="135:177" x14ac:dyDescent="0.35">
      <c r="EE2075" s="451">
        <v>39945</v>
      </c>
      <c r="EF2075" s="62">
        <v>51.79</v>
      </c>
      <c r="EG2075" s="62">
        <v>908.34997599999997</v>
      </c>
      <c r="FU2075" s="451"/>
    </row>
    <row r="2076" spans="135:177" x14ac:dyDescent="0.35">
      <c r="EE2076" s="451">
        <v>39944</v>
      </c>
      <c r="EF2076" s="62">
        <v>53.02</v>
      </c>
      <c r="EG2076" s="62">
        <v>909.23999000000003</v>
      </c>
      <c r="FU2076" s="451"/>
    </row>
    <row r="2077" spans="135:177" x14ac:dyDescent="0.35">
      <c r="EE2077" s="451">
        <v>39941</v>
      </c>
      <c r="EF2077" s="62">
        <v>52.92</v>
      </c>
      <c r="EG2077" s="62">
        <v>929.22997999999995</v>
      </c>
      <c r="FU2077" s="451"/>
    </row>
    <row r="2078" spans="135:177" x14ac:dyDescent="0.35">
      <c r="EE2078" s="451">
        <v>39940</v>
      </c>
      <c r="EF2078" s="62">
        <v>54.03</v>
      </c>
      <c r="EG2078" s="62">
        <v>907.39001499999995</v>
      </c>
      <c r="FU2078" s="451"/>
    </row>
    <row r="2079" spans="135:177" x14ac:dyDescent="0.35">
      <c r="EE2079" s="451">
        <v>39939</v>
      </c>
      <c r="EF2079" s="62">
        <v>55.15</v>
      </c>
      <c r="EG2079" s="62">
        <v>919.53002900000001</v>
      </c>
      <c r="FU2079" s="451"/>
    </row>
    <row r="2080" spans="135:177" x14ac:dyDescent="0.35">
      <c r="EE2080" s="451">
        <v>39938</v>
      </c>
      <c r="EF2080" s="62">
        <v>57.29</v>
      </c>
      <c r="EG2080" s="62">
        <v>903.79998799999998</v>
      </c>
      <c r="FU2080" s="451"/>
    </row>
    <row r="2081" spans="135:177" x14ac:dyDescent="0.35">
      <c r="EE2081" s="451">
        <v>39937</v>
      </c>
      <c r="EF2081" s="62">
        <v>57.05</v>
      </c>
      <c r="EG2081" s="62">
        <v>907.23999000000003</v>
      </c>
      <c r="FU2081" s="451"/>
    </row>
    <row r="2082" spans="135:177" x14ac:dyDescent="0.35">
      <c r="EE2082" s="451">
        <v>39934</v>
      </c>
      <c r="EF2082" s="62">
        <v>55.91</v>
      </c>
      <c r="EG2082" s="62">
        <v>877.52002000000005</v>
      </c>
      <c r="FU2082" s="451"/>
    </row>
    <row r="2083" spans="135:177" x14ac:dyDescent="0.35">
      <c r="EE2083" s="451">
        <v>39933</v>
      </c>
      <c r="EF2083" s="62">
        <v>56.01</v>
      </c>
      <c r="EG2083" s="62">
        <v>872.80999799999995</v>
      </c>
      <c r="FU2083" s="451"/>
    </row>
    <row r="2084" spans="135:177" x14ac:dyDescent="0.35">
      <c r="EE2084" s="451">
        <v>39932</v>
      </c>
      <c r="EF2084" s="62">
        <v>55.37</v>
      </c>
      <c r="EG2084" s="62">
        <v>873.64001499999995</v>
      </c>
      <c r="FU2084" s="451"/>
    </row>
    <row r="2085" spans="135:177" x14ac:dyDescent="0.35">
      <c r="EE2085" s="451">
        <v>39931</v>
      </c>
      <c r="EF2085" s="62">
        <v>62.93</v>
      </c>
      <c r="EG2085" s="62">
        <v>855.15997300000004</v>
      </c>
      <c r="FU2085" s="451"/>
    </row>
    <row r="2086" spans="135:177" x14ac:dyDescent="0.35">
      <c r="EE2086" s="451">
        <v>39930</v>
      </c>
      <c r="EF2086" s="62">
        <v>63.3</v>
      </c>
      <c r="EG2086" s="62">
        <v>857.51000999999997</v>
      </c>
      <c r="FU2086" s="451"/>
    </row>
    <row r="2087" spans="135:177" x14ac:dyDescent="0.35">
      <c r="EE2087" s="451">
        <v>39927</v>
      </c>
      <c r="EF2087" s="62">
        <v>63.75</v>
      </c>
      <c r="EG2087" s="62">
        <v>866.22997999999995</v>
      </c>
      <c r="FU2087" s="451"/>
    </row>
    <row r="2088" spans="135:177" x14ac:dyDescent="0.35">
      <c r="EE2088" s="451">
        <v>39926</v>
      </c>
      <c r="EF2088" s="62">
        <v>62.45</v>
      </c>
      <c r="EG2088" s="62">
        <v>851.919983</v>
      </c>
      <c r="FU2088" s="451"/>
    </row>
    <row r="2089" spans="135:177" x14ac:dyDescent="0.35">
      <c r="EE2089" s="451">
        <v>39925</v>
      </c>
      <c r="EF2089" s="62">
        <v>62.69</v>
      </c>
      <c r="EG2089" s="62">
        <v>843.54998799999998</v>
      </c>
      <c r="FU2089" s="451"/>
    </row>
    <row r="2090" spans="135:177" x14ac:dyDescent="0.35">
      <c r="EE2090" s="451">
        <v>39924</v>
      </c>
      <c r="EF2090" s="62">
        <v>60.08</v>
      </c>
      <c r="EG2090" s="62">
        <v>850.080017</v>
      </c>
      <c r="FU2090" s="451"/>
    </row>
    <row r="2091" spans="135:177" x14ac:dyDescent="0.35">
      <c r="EE2091" s="451">
        <v>39923</v>
      </c>
      <c r="EF2091" s="62">
        <v>57.92</v>
      </c>
      <c r="EG2091" s="62">
        <v>832.39001499999995</v>
      </c>
      <c r="FU2091" s="451"/>
    </row>
    <row r="2092" spans="135:177" x14ac:dyDescent="0.35">
      <c r="EE2092" s="451">
        <v>39920</v>
      </c>
      <c r="EF2092" s="62">
        <v>59.86</v>
      </c>
      <c r="EG2092" s="62">
        <v>869.59997599999997</v>
      </c>
      <c r="FU2092" s="451"/>
    </row>
    <row r="2093" spans="135:177" x14ac:dyDescent="0.35">
      <c r="EE2093" s="451">
        <v>39919</v>
      </c>
      <c r="EF2093" s="62">
        <v>58.88</v>
      </c>
      <c r="EG2093" s="62">
        <v>865.29998799999998</v>
      </c>
      <c r="FU2093" s="451"/>
    </row>
    <row r="2094" spans="135:177" x14ac:dyDescent="0.35">
      <c r="EE2094" s="451">
        <v>39918</v>
      </c>
      <c r="EF2094" s="62">
        <v>56.46</v>
      </c>
      <c r="EG2094" s="62">
        <v>852.05999799999995</v>
      </c>
      <c r="FU2094" s="451"/>
    </row>
    <row r="2095" spans="135:177" x14ac:dyDescent="0.35">
      <c r="EE2095" s="451">
        <v>39917</v>
      </c>
      <c r="EF2095" s="62">
        <v>56.56</v>
      </c>
      <c r="EG2095" s="62">
        <v>841.5</v>
      </c>
      <c r="FU2095" s="451"/>
    </row>
    <row r="2096" spans="135:177" x14ac:dyDescent="0.35">
      <c r="EE2096" s="451">
        <v>39916</v>
      </c>
      <c r="EF2096" s="62">
        <v>57.51</v>
      </c>
      <c r="EG2096" s="62">
        <v>858.72997999999995</v>
      </c>
      <c r="FU2096" s="451"/>
    </row>
    <row r="2097" spans="135:177" x14ac:dyDescent="0.35">
      <c r="EE2097" s="451">
        <v>39912</v>
      </c>
      <c r="EF2097" s="62">
        <v>57.6</v>
      </c>
      <c r="EG2097" s="62">
        <v>856.55999799999995</v>
      </c>
      <c r="FU2097" s="451"/>
    </row>
    <row r="2098" spans="135:177" x14ac:dyDescent="0.35">
      <c r="EE2098" s="451">
        <v>39911</v>
      </c>
      <c r="EF2098" s="62">
        <v>55.57</v>
      </c>
      <c r="EG2098" s="62">
        <v>825.15997300000004</v>
      </c>
      <c r="FU2098" s="451"/>
    </row>
    <row r="2099" spans="135:177" x14ac:dyDescent="0.35">
      <c r="EE2099" s="451">
        <v>39910</v>
      </c>
      <c r="EF2099" s="62">
        <v>54.82</v>
      </c>
      <c r="EG2099" s="62">
        <v>815.54998799999998</v>
      </c>
      <c r="FU2099" s="451"/>
    </row>
    <row r="2100" spans="135:177" x14ac:dyDescent="0.35">
      <c r="EE2100" s="451">
        <v>39909</v>
      </c>
      <c r="EF2100" s="62">
        <v>57.46</v>
      </c>
      <c r="EG2100" s="62">
        <v>835.47997999999995</v>
      </c>
      <c r="FU2100" s="451"/>
    </row>
    <row r="2101" spans="135:177" x14ac:dyDescent="0.35">
      <c r="EE2101" s="451">
        <v>39906</v>
      </c>
      <c r="EF2101" s="62">
        <v>57.96</v>
      </c>
      <c r="EG2101" s="62">
        <v>842.5</v>
      </c>
      <c r="FU2101" s="451"/>
    </row>
    <row r="2102" spans="135:177" x14ac:dyDescent="0.35">
      <c r="EE2102" s="451">
        <v>39905</v>
      </c>
      <c r="EF2102" s="62">
        <v>57.12</v>
      </c>
      <c r="EG2102" s="62">
        <v>834.38000499999998</v>
      </c>
      <c r="FU2102" s="451"/>
    </row>
    <row r="2103" spans="135:177" x14ac:dyDescent="0.35">
      <c r="EE2103" s="451">
        <v>39904</v>
      </c>
      <c r="EF2103" s="62">
        <v>56.03</v>
      </c>
      <c r="EG2103" s="62">
        <v>811.080017</v>
      </c>
      <c r="FU2103" s="451"/>
    </row>
    <row r="2104" spans="135:177" x14ac:dyDescent="0.35">
      <c r="EE2104" s="451">
        <v>39903</v>
      </c>
      <c r="EF2104" s="62">
        <v>55.9</v>
      </c>
      <c r="EG2104" s="62">
        <v>797.86999500000002</v>
      </c>
      <c r="FU2104" s="451"/>
    </row>
    <row r="2105" spans="135:177" x14ac:dyDescent="0.35">
      <c r="EE2105" s="451">
        <v>39902</v>
      </c>
      <c r="EF2105" s="62">
        <v>54.82</v>
      </c>
      <c r="EG2105" s="62">
        <v>787.53002900000001</v>
      </c>
      <c r="FU2105" s="451"/>
    </row>
    <row r="2106" spans="135:177" x14ac:dyDescent="0.35">
      <c r="EE2106" s="451">
        <v>39899</v>
      </c>
      <c r="EF2106" s="62">
        <v>56.44</v>
      </c>
      <c r="EG2106" s="62">
        <v>815.94000200000005</v>
      </c>
      <c r="FU2106" s="451"/>
    </row>
    <row r="2107" spans="135:177" x14ac:dyDescent="0.35">
      <c r="EE2107" s="451">
        <v>39898</v>
      </c>
      <c r="EF2107" s="62">
        <v>58.03</v>
      </c>
      <c r="EG2107" s="62">
        <v>832.85998500000005</v>
      </c>
      <c r="FU2107" s="451"/>
    </row>
    <row r="2108" spans="135:177" x14ac:dyDescent="0.35">
      <c r="EE2108" s="451">
        <v>39897</v>
      </c>
      <c r="EF2108" s="62">
        <v>54.43</v>
      </c>
      <c r="EG2108" s="62">
        <v>813.88000499999998</v>
      </c>
      <c r="FU2108" s="451"/>
    </row>
    <row r="2109" spans="135:177" x14ac:dyDescent="0.35">
      <c r="EE2109" s="451">
        <v>39896</v>
      </c>
      <c r="EF2109" s="62">
        <v>53.84</v>
      </c>
      <c r="EG2109" s="62">
        <v>806.11999500000002</v>
      </c>
      <c r="FU2109" s="451"/>
    </row>
    <row r="2110" spans="135:177" x14ac:dyDescent="0.35">
      <c r="EE2110" s="451">
        <v>39895</v>
      </c>
      <c r="EF2110" s="62">
        <v>54.83</v>
      </c>
      <c r="EG2110" s="62">
        <v>822.919983</v>
      </c>
      <c r="FU2110" s="451"/>
    </row>
    <row r="2111" spans="135:177" x14ac:dyDescent="0.35">
      <c r="EE2111" s="451">
        <v>39892</v>
      </c>
      <c r="EF2111" s="62">
        <v>52.15</v>
      </c>
      <c r="EG2111" s="62">
        <v>768.53997800000002</v>
      </c>
      <c r="FU2111" s="451"/>
    </row>
    <row r="2112" spans="135:177" x14ac:dyDescent="0.35">
      <c r="EE2112" s="451">
        <v>39891</v>
      </c>
      <c r="EF2112" s="62">
        <v>53.42</v>
      </c>
      <c r="EG2112" s="62">
        <v>784.03997800000002</v>
      </c>
      <c r="FU2112" s="451"/>
    </row>
    <row r="2113" spans="135:177" x14ac:dyDescent="0.35">
      <c r="EE2113" s="451">
        <v>39890</v>
      </c>
      <c r="EF2113" s="62">
        <v>54.46</v>
      </c>
      <c r="EG2113" s="62">
        <v>794.34997599999997</v>
      </c>
      <c r="FU2113" s="451"/>
    </row>
    <row r="2114" spans="135:177" x14ac:dyDescent="0.35">
      <c r="EE2114" s="451">
        <v>39889</v>
      </c>
      <c r="EF2114" s="62">
        <v>51.29</v>
      </c>
      <c r="EG2114" s="62">
        <v>778.11999500000002</v>
      </c>
      <c r="FU2114" s="451"/>
    </row>
    <row r="2115" spans="135:177" x14ac:dyDescent="0.35">
      <c r="EE2115" s="451">
        <v>39888</v>
      </c>
      <c r="EF2115" s="62">
        <v>50.21</v>
      </c>
      <c r="EG2115" s="62">
        <v>753.89001499999995</v>
      </c>
      <c r="FU2115" s="451"/>
    </row>
    <row r="2116" spans="135:177" x14ac:dyDescent="0.35">
      <c r="EE2116" s="451">
        <v>39885</v>
      </c>
      <c r="EF2116" s="62">
        <v>51.56</v>
      </c>
      <c r="EG2116" s="62">
        <v>756.54998799999998</v>
      </c>
      <c r="FU2116" s="451"/>
    </row>
    <row r="2117" spans="135:177" x14ac:dyDescent="0.35">
      <c r="EE2117" s="451">
        <v>39884</v>
      </c>
      <c r="EF2117" s="62">
        <v>51.19</v>
      </c>
      <c r="EG2117" s="62">
        <v>750.73999000000003</v>
      </c>
      <c r="FU2117" s="451"/>
    </row>
    <row r="2118" spans="135:177" x14ac:dyDescent="0.35">
      <c r="EE2118" s="451">
        <v>39883</v>
      </c>
      <c r="EF2118" s="62">
        <v>48.89</v>
      </c>
      <c r="EG2118" s="62">
        <v>721.35998500000005</v>
      </c>
      <c r="FU2118" s="451"/>
    </row>
    <row r="2119" spans="135:177" x14ac:dyDescent="0.35">
      <c r="EE2119" s="451">
        <v>39882</v>
      </c>
      <c r="EF2119" s="62">
        <v>48.16</v>
      </c>
      <c r="EG2119" s="62">
        <v>719.59997599999997</v>
      </c>
      <c r="FU2119" s="451"/>
    </row>
    <row r="2120" spans="135:177" x14ac:dyDescent="0.35">
      <c r="EE2120" s="451">
        <v>39881</v>
      </c>
      <c r="EF2120" s="62">
        <v>45.64</v>
      </c>
      <c r="EG2120" s="62">
        <v>676.53002900000001</v>
      </c>
      <c r="FU2120" s="451"/>
    </row>
    <row r="2121" spans="135:177" x14ac:dyDescent="0.35">
      <c r="EE2121" s="451">
        <v>39878</v>
      </c>
      <c r="EF2121" s="62">
        <v>44.18</v>
      </c>
      <c r="EG2121" s="62">
        <v>683.38000499999998</v>
      </c>
      <c r="FU2121" s="451"/>
    </row>
    <row r="2122" spans="135:177" x14ac:dyDescent="0.35">
      <c r="EE2122" s="451">
        <v>39877</v>
      </c>
      <c r="EF2122" s="62">
        <v>44.08</v>
      </c>
      <c r="EG2122" s="62">
        <v>682.54998799999998</v>
      </c>
      <c r="FU2122" s="451"/>
    </row>
    <row r="2123" spans="135:177" x14ac:dyDescent="0.35">
      <c r="EE2123" s="451">
        <v>39876</v>
      </c>
      <c r="EF2123" s="62">
        <v>44</v>
      </c>
      <c r="EG2123" s="62">
        <v>712.86999500000002</v>
      </c>
      <c r="FU2123" s="451"/>
    </row>
    <row r="2124" spans="135:177" x14ac:dyDescent="0.35">
      <c r="EE2124" s="451">
        <v>39875</v>
      </c>
      <c r="EF2124" s="62">
        <v>43.33</v>
      </c>
      <c r="EG2124" s="62">
        <v>696.330017</v>
      </c>
      <c r="FU2124" s="451"/>
    </row>
    <row r="2125" spans="135:177" x14ac:dyDescent="0.35">
      <c r="EE2125" s="451">
        <v>39874</v>
      </c>
      <c r="EF2125" s="62">
        <v>43.78</v>
      </c>
      <c r="EG2125" s="62">
        <v>700.82000700000003</v>
      </c>
      <c r="FU2125" s="451"/>
    </row>
    <row r="2126" spans="135:177" x14ac:dyDescent="0.35">
      <c r="EE2126" s="451">
        <v>39871</v>
      </c>
      <c r="EF2126" s="62">
        <v>44.04</v>
      </c>
      <c r="EG2126" s="62">
        <v>735.09002699999996</v>
      </c>
      <c r="FU2126" s="451"/>
    </row>
    <row r="2127" spans="135:177" x14ac:dyDescent="0.35">
      <c r="EE2127" s="451">
        <v>39870</v>
      </c>
      <c r="EF2127" s="62">
        <v>44.6</v>
      </c>
      <c r="EG2127" s="62">
        <v>752.830017</v>
      </c>
      <c r="FU2127" s="451"/>
    </row>
    <row r="2128" spans="135:177" x14ac:dyDescent="0.35">
      <c r="EE2128" s="451">
        <v>39869</v>
      </c>
      <c r="EF2128" s="62">
        <v>45.73</v>
      </c>
      <c r="EG2128" s="62">
        <v>764.90002400000003</v>
      </c>
      <c r="FU2128" s="451"/>
    </row>
    <row r="2129" spans="135:177" x14ac:dyDescent="0.35">
      <c r="EE2129" s="451">
        <v>39868</v>
      </c>
      <c r="EF2129" s="62">
        <v>46.35</v>
      </c>
      <c r="EG2129" s="62">
        <v>773.14001499999995</v>
      </c>
      <c r="FU2129" s="451"/>
    </row>
    <row r="2130" spans="135:177" x14ac:dyDescent="0.35">
      <c r="EE2130" s="451">
        <v>39867</v>
      </c>
      <c r="EF2130" s="62">
        <v>45.67</v>
      </c>
      <c r="EG2130" s="62">
        <v>743.330017</v>
      </c>
      <c r="FU2130" s="451"/>
    </row>
    <row r="2131" spans="135:177" x14ac:dyDescent="0.35">
      <c r="EE2131" s="451">
        <v>39864</v>
      </c>
      <c r="EF2131" s="62">
        <v>46.28</v>
      </c>
      <c r="EG2131" s="62">
        <v>770.04998799999998</v>
      </c>
      <c r="FU2131" s="451"/>
    </row>
    <row r="2132" spans="135:177" x14ac:dyDescent="0.35">
      <c r="EE2132" s="451">
        <v>39863</v>
      </c>
      <c r="EF2132" s="62">
        <v>45.73</v>
      </c>
      <c r="EG2132" s="62">
        <v>778.94000200000005</v>
      </c>
      <c r="FU2132" s="451"/>
    </row>
    <row r="2133" spans="135:177" x14ac:dyDescent="0.35">
      <c r="EE2133" s="451">
        <v>39862</v>
      </c>
      <c r="EF2133" s="62">
        <v>44.69</v>
      </c>
      <c r="EG2133" s="62">
        <v>788.419983</v>
      </c>
      <c r="FU2133" s="451"/>
    </row>
    <row r="2134" spans="135:177" x14ac:dyDescent="0.35">
      <c r="EE2134" s="451">
        <v>39861</v>
      </c>
      <c r="EF2134" s="62">
        <v>46.07</v>
      </c>
      <c r="EG2134" s="62">
        <v>789.169983</v>
      </c>
      <c r="FU2134" s="451"/>
    </row>
    <row r="2135" spans="135:177" x14ac:dyDescent="0.35">
      <c r="EE2135" s="451">
        <v>39857</v>
      </c>
      <c r="EF2135" s="62">
        <v>47</v>
      </c>
      <c r="EG2135" s="62">
        <v>826.84002699999996</v>
      </c>
      <c r="FU2135" s="451"/>
    </row>
    <row r="2136" spans="135:177" x14ac:dyDescent="0.35">
      <c r="EE2136" s="451">
        <v>39856</v>
      </c>
      <c r="EF2136" s="62">
        <v>49.05</v>
      </c>
      <c r="EG2136" s="62">
        <v>835.19000200000005</v>
      </c>
      <c r="FU2136" s="451"/>
    </row>
    <row r="2137" spans="135:177" x14ac:dyDescent="0.35">
      <c r="EE2137" s="451">
        <v>39855</v>
      </c>
      <c r="EF2137" s="62">
        <v>46.43</v>
      </c>
      <c r="EG2137" s="62">
        <v>833.73999000000003</v>
      </c>
      <c r="FU2137" s="451"/>
    </row>
    <row r="2138" spans="135:177" x14ac:dyDescent="0.35">
      <c r="EE2138" s="451">
        <v>39854</v>
      </c>
      <c r="EF2138" s="62">
        <v>45.93</v>
      </c>
      <c r="EG2138" s="62">
        <v>827.15997300000004</v>
      </c>
      <c r="FU2138" s="451"/>
    </row>
    <row r="2139" spans="135:177" x14ac:dyDescent="0.35">
      <c r="EE2139" s="451">
        <v>39853</v>
      </c>
      <c r="EF2139" s="62">
        <v>47.64</v>
      </c>
      <c r="EG2139" s="62">
        <v>869.89001499999995</v>
      </c>
      <c r="FU2139" s="451"/>
    </row>
    <row r="2140" spans="135:177" x14ac:dyDescent="0.35">
      <c r="EE2140" s="451">
        <v>39850</v>
      </c>
      <c r="EF2140" s="62">
        <v>47.54</v>
      </c>
      <c r="EG2140" s="62">
        <v>868.59997599999997</v>
      </c>
      <c r="FU2140" s="451"/>
    </row>
    <row r="2141" spans="135:177" x14ac:dyDescent="0.35">
      <c r="EE2141" s="451">
        <v>39849</v>
      </c>
      <c r="EF2141" s="62">
        <v>47.31</v>
      </c>
      <c r="EG2141" s="62">
        <v>845.84997599999997</v>
      </c>
      <c r="FU2141" s="451"/>
    </row>
    <row r="2142" spans="135:177" x14ac:dyDescent="0.35">
      <c r="EE2142" s="451">
        <v>39848</v>
      </c>
      <c r="EF2142" s="62">
        <v>47.26</v>
      </c>
      <c r="EG2142" s="62">
        <v>832.22997999999995</v>
      </c>
      <c r="FU2142" s="451"/>
    </row>
    <row r="2143" spans="135:177" x14ac:dyDescent="0.35">
      <c r="EE2143" s="451">
        <v>39847</v>
      </c>
      <c r="EF2143" s="62">
        <v>47.82</v>
      </c>
      <c r="EG2143" s="62">
        <v>838.51000999999997</v>
      </c>
      <c r="FU2143" s="451"/>
    </row>
    <row r="2144" spans="135:177" x14ac:dyDescent="0.35">
      <c r="EE2144" s="451">
        <v>39846</v>
      </c>
      <c r="EF2144" s="62">
        <v>45.84</v>
      </c>
      <c r="EG2144" s="62">
        <v>825.44000200000005</v>
      </c>
      <c r="FU2144" s="451"/>
    </row>
    <row r="2145" spans="135:177" x14ac:dyDescent="0.35">
      <c r="EE2145" s="451">
        <v>39843</v>
      </c>
      <c r="EF2145" s="62">
        <v>46.98</v>
      </c>
      <c r="EG2145" s="62">
        <v>825.88000499999998</v>
      </c>
      <c r="FU2145" s="451"/>
    </row>
    <row r="2146" spans="135:177" x14ac:dyDescent="0.35">
      <c r="EE2146" s="451">
        <v>39842</v>
      </c>
      <c r="EF2146" s="62">
        <v>47.81</v>
      </c>
      <c r="EG2146" s="62">
        <v>845.14001499999995</v>
      </c>
      <c r="FU2146" s="451"/>
    </row>
    <row r="2147" spans="135:177" x14ac:dyDescent="0.35">
      <c r="EE2147" s="451">
        <v>39841</v>
      </c>
      <c r="EF2147" s="62">
        <v>49.26</v>
      </c>
      <c r="EG2147" s="62">
        <v>874.09002699999996</v>
      </c>
      <c r="FU2147" s="451"/>
    </row>
    <row r="2148" spans="135:177" x14ac:dyDescent="0.35">
      <c r="EE2148" s="451">
        <v>39840</v>
      </c>
      <c r="EF2148" s="62">
        <v>48.93</v>
      </c>
      <c r="EG2148" s="62">
        <v>845.71002199999998</v>
      </c>
      <c r="FU2148" s="451"/>
    </row>
    <row r="2149" spans="135:177" x14ac:dyDescent="0.35">
      <c r="EE2149" s="451">
        <v>39839</v>
      </c>
      <c r="EF2149" s="62">
        <v>49.78</v>
      </c>
      <c r="EG2149" s="62">
        <v>836.57000700000003</v>
      </c>
      <c r="FU2149" s="451"/>
    </row>
    <row r="2150" spans="135:177" x14ac:dyDescent="0.35">
      <c r="EE2150" s="451">
        <v>39836</v>
      </c>
      <c r="EF2150" s="62">
        <v>48.09</v>
      </c>
      <c r="EG2150" s="62">
        <v>831.95001200000002</v>
      </c>
      <c r="FU2150" s="451"/>
    </row>
    <row r="2151" spans="135:177" x14ac:dyDescent="0.35">
      <c r="EE2151" s="451">
        <v>39835</v>
      </c>
      <c r="EF2151" s="62">
        <v>47.42</v>
      </c>
      <c r="EG2151" s="62">
        <v>827.5</v>
      </c>
      <c r="FU2151" s="451"/>
    </row>
    <row r="2152" spans="135:177" x14ac:dyDescent="0.35">
      <c r="EE2152" s="451">
        <v>39834</v>
      </c>
      <c r="EF2152" s="62">
        <v>46.32</v>
      </c>
      <c r="EG2152" s="62">
        <v>840.23999000000003</v>
      </c>
      <c r="FU2152" s="451"/>
    </row>
    <row r="2153" spans="135:177" x14ac:dyDescent="0.35">
      <c r="EE2153" s="451">
        <v>39833</v>
      </c>
      <c r="EF2153" s="62">
        <v>45.21</v>
      </c>
      <c r="EG2153" s="62">
        <v>805.21997099999999</v>
      </c>
      <c r="FU2153" s="451"/>
    </row>
    <row r="2154" spans="135:177" x14ac:dyDescent="0.35">
      <c r="EE2154" s="451">
        <v>39829</v>
      </c>
      <c r="EF2154" s="62">
        <v>48.03</v>
      </c>
      <c r="EG2154" s="62">
        <v>850.11999500000002</v>
      </c>
      <c r="FU2154" s="451"/>
    </row>
    <row r="2155" spans="135:177" x14ac:dyDescent="0.35">
      <c r="EE2155" s="451">
        <v>39828</v>
      </c>
      <c r="EF2155" s="62">
        <v>46.39</v>
      </c>
      <c r="EG2155" s="62">
        <v>843.73999000000003</v>
      </c>
      <c r="FU2155" s="451"/>
    </row>
    <row r="2156" spans="135:177" x14ac:dyDescent="0.35">
      <c r="EE2156" s="451">
        <v>39827</v>
      </c>
      <c r="EF2156" s="62">
        <v>45.97</v>
      </c>
      <c r="EG2156" s="62">
        <v>842.61999500000002</v>
      </c>
      <c r="FU2156" s="451"/>
    </row>
    <row r="2157" spans="135:177" x14ac:dyDescent="0.35">
      <c r="EE2157" s="451">
        <v>39826</v>
      </c>
      <c r="EF2157" s="62">
        <v>49.63</v>
      </c>
      <c r="EG2157" s="62">
        <v>871.78997800000002</v>
      </c>
      <c r="FU2157" s="451"/>
    </row>
    <row r="2158" spans="135:177" x14ac:dyDescent="0.35">
      <c r="EE2158" s="451">
        <v>39825</v>
      </c>
      <c r="EF2158" s="62">
        <v>51.72</v>
      </c>
      <c r="EG2158" s="62">
        <v>870.26000999999997</v>
      </c>
      <c r="FU2158" s="451"/>
    </row>
    <row r="2159" spans="135:177" x14ac:dyDescent="0.35">
      <c r="EE2159" s="451">
        <v>39822</v>
      </c>
      <c r="EF2159" s="62">
        <v>51.31</v>
      </c>
      <c r="EG2159" s="62">
        <v>890.34997599999997</v>
      </c>
      <c r="FU2159" s="451"/>
    </row>
    <row r="2160" spans="135:177" x14ac:dyDescent="0.35">
      <c r="EE2160" s="451">
        <v>39821</v>
      </c>
      <c r="EF2160" s="62">
        <v>52.05</v>
      </c>
      <c r="EG2160" s="62">
        <v>909.72997999999995</v>
      </c>
      <c r="FU2160" s="451"/>
    </row>
    <row r="2161" spans="135:177" x14ac:dyDescent="0.35">
      <c r="EE2161" s="451">
        <v>39820</v>
      </c>
      <c r="EF2161" s="62">
        <v>50.79</v>
      </c>
      <c r="EG2161" s="62">
        <v>906.65002400000003</v>
      </c>
      <c r="FU2161" s="451"/>
    </row>
    <row r="2162" spans="135:177" x14ac:dyDescent="0.35">
      <c r="EE2162" s="451">
        <v>39819</v>
      </c>
      <c r="EF2162" s="62">
        <v>53.2</v>
      </c>
      <c r="EG2162" s="62">
        <v>934.70001200000002</v>
      </c>
      <c r="FU2162" s="451"/>
    </row>
    <row r="2163" spans="135:177" x14ac:dyDescent="0.35">
      <c r="EE2163" s="451">
        <v>39818</v>
      </c>
      <c r="EF2163" s="62">
        <v>53.6</v>
      </c>
      <c r="EG2163" s="62">
        <v>927.45001200000002</v>
      </c>
      <c r="FU2163" s="451"/>
    </row>
    <row r="2164" spans="135:177" x14ac:dyDescent="0.35">
      <c r="EE2164" s="451">
        <v>39815</v>
      </c>
      <c r="EF2164" s="62">
        <v>53.94</v>
      </c>
      <c r="EG2164" s="62">
        <v>931.79998799999998</v>
      </c>
      <c r="FU2164" s="451"/>
    </row>
    <row r="2165" spans="135:177" x14ac:dyDescent="0.35">
      <c r="EE2165" s="451">
        <v>39813</v>
      </c>
      <c r="EF2165" s="62">
        <v>52.24</v>
      </c>
      <c r="EG2165" s="62">
        <v>903.25</v>
      </c>
      <c r="FU2165" s="451"/>
    </row>
    <row r="2166" spans="135:177" x14ac:dyDescent="0.35">
      <c r="EE2166" s="451">
        <v>39812</v>
      </c>
      <c r="EF2166" s="62">
        <v>50.22</v>
      </c>
      <c r="EG2166" s="62">
        <v>890.64001499999995</v>
      </c>
      <c r="FU2166" s="451"/>
    </row>
    <row r="2167" spans="135:177" x14ac:dyDescent="0.35">
      <c r="EE2167" s="451">
        <v>39811</v>
      </c>
      <c r="EF2167" s="62">
        <v>49.17</v>
      </c>
      <c r="EG2167" s="62">
        <v>869.419983</v>
      </c>
      <c r="FU2167" s="451"/>
    </row>
    <row r="2168" spans="135:177" x14ac:dyDescent="0.35">
      <c r="EE2168" s="451">
        <v>39808</v>
      </c>
      <c r="EF2168" s="62">
        <v>49.76</v>
      </c>
      <c r="EG2168" s="62">
        <v>872.79998799999998</v>
      </c>
      <c r="FU2168" s="451"/>
    </row>
    <row r="2169" spans="135:177" x14ac:dyDescent="0.35">
      <c r="EE2169" s="451">
        <v>39806</v>
      </c>
      <c r="EF2169" s="62">
        <v>49.6</v>
      </c>
      <c r="EG2169" s="62">
        <v>868.15002400000003</v>
      </c>
      <c r="FU2169" s="451"/>
    </row>
    <row r="2170" spans="135:177" x14ac:dyDescent="0.35">
      <c r="EE2170" s="451">
        <v>39805</v>
      </c>
      <c r="EF2170" s="62">
        <v>50.21</v>
      </c>
      <c r="EG2170" s="62">
        <v>863.15997300000004</v>
      </c>
      <c r="FU2170" s="451"/>
    </row>
    <row r="2171" spans="135:177" x14ac:dyDescent="0.35">
      <c r="EE2171" s="451">
        <v>39804</v>
      </c>
      <c r="EF2171" s="62">
        <v>52.17</v>
      </c>
      <c r="EG2171" s="62">
        <v>871.63000499999998</v>
      </c>
      <c r="FU2171" s="451"/>
    </row>
    <row r="2172" spans="135:177" x14ac:dyDescent="0.35">
      <c r="EE2172" s="451">
        <v>39801</v>
      </c>
      <c r="EF2172" s="62">
        <v>54.66</v>
      </c>
      <c r="EG2172" s="62">
        <v>887.88000499999998</v>
      </c>
      <c r="FU2172" s="451"/>
    </row>
    <row r="2173" spans="135:177" x14ac:dyDescent="0.35">
      <c r="EE2173" s="451">
        <v>39800</v>
      </c>
      <c r="EF2173" s="62">
        <v>55.14</v>
      </c>
      <c r="EG2173" s="62">
        <v>885.28002900000001</v>
      </c>
      <c r="FU2173" s="451"/>
    </row>
    <row r="2174" spans="135:177" x14ac:dyDescent="0.35">
      <c r="EE2174" s="451">
        <v>39799</v>
      </c>
      <c r="EF2174" s="62">
        <v>55.91</v>
      </c>
      <c r="EG2174" s="62">
        <v>904.419983</v>
      </c>
      <c r="FU2174" s="451"/>
    </row>
    <row r="2175" spans="135:177" x14ac:dyDescent="0.35">
      <c r="EE2175" s="451">
        <v>39798</v>
      </c>
      <c r="EF2175" s="62">
        <v>54.67</v>
      </c>
      <c r="EG2175" s="62">
        <v>913.17999299999997</v>
      </c>
      <c r="FU2175" s="451"/>
    </row>
    <row r="2176" spans="135:177" x14ac:dyDescent="0.35">
      <c r="EE2176" s="451">
        <v>39797</v>
      </c>
      <c r="EF2176" s="62">
        <v>51.36</v>
      </c>
      <c r="EG2176" s="62">
        <v>868.57000700000003</v>
      </c>
      <c r="FU2176" s="451"/>
    </row>
    <row r="2177" spans="135:177" x14ac:dyDescent="0.35">
      <c r="EE2177" s="451">
        <v>39794</v>
      </c>
      <c r="EF2177" s="62">
        <v>50.5</v>
      </c>
      <c r="EG2177" s="62">
        <v>879.72997999999995</v>
      </c>
      <c r="FU2177" s="451"/>
    </row>
    <row r="2178" spans="135:177" x14ac:dyDescent="0.35">
      <c r="EE2178" s="451">
        <v>39793</v>
      </c>
      <c r="EF2178" s="62">
        <v>48.15</v>
      </c>
      <c r="EG2178" s="62">
        <v>873.59002699999996</v>
      </c>
      <c r="FU2178" s="451"/>
    </row>
    <row r="2179" spans="135:177" x14ac:dyDescent="0.35">
      <c r="EE2179" s="451">
        <v>39792</v>
      </c>
      <c r="EF2179" s="62">
        <v>51.5</v>
      </c>
      <c r="EG2179" s="62">
        <v>899.23999000000003</v>
      </c>
      <c r="FU2179" s="451"/>
    </row>
    <row r="2180" spans="135:177" x14ac:dyDescent="0.35">
      <c r="EE2180" s="451">
        <v>39791</v>
      </c>
      <c r="EF2180" s="62">
        <v>51.49</v>
      </c>
      <c r="EG2180" s="62">
        <v>888.669983</v>
      </c>
      <c r="FU2180" s="451"/>
    </row>
    <row r="2181" spans="135:177" x14ac:dyDescent="0.35">
      <c r="EE2181" s="451">
        <v>39790</v>
      </c>
      <c r="EF2181" s="62">
        <v>51.83</v>
      </c>
      <c r="EG2181" s="62">
        <v>909.70001200000002</v>
      </c>
      <c r="FU2181" s="451"/>
    </row>
    <row r="2182" spans="135:177" x14ac:dyDescent="0.35">
      <c r="EE2182" s="451">
        <v>39787</v>
      </c>
      <c r="EF2182" s="62">
        <v>50.68</v>
      </c>
      <c r="EG2182" s="62">
        <v>876.07000700000003</v>
      </c>
      <c r="FU2182" s="451"/>
    </row>
    <row r="2183" spans="135:177" x14ac:dyDescent="0.35">
      <c r="EE2183" s="451">
        <v>39786</v>
      </c>
      <c r="EF2183" s="62">
        <v>48.04</v>
      </c>
      <c r="EG2183" s="62">
        <v>845.21997099999999</v>
      </c>
      <c r="FU2183" s="451"/>
    </row>
    <row r="2184" spans="135:177" x14ac:dyDescent="0.35">
      <c r="EE2184" s="451">
        <v>39785</v>
      </c>
      <c r="EF2184" s="62">
        <v>45.93</v>
      </c>
      <c r="EG2184" s="62">
        <v>870.73999000000003</v>
      </c>
      <c r="FU2184" s="451"/>
    </row>
    <row r="2185" spans="135:177" x14ac:dyDescent="0.35">
      <c r="EE2185" s="451">
        <v>39784</v>
      </c>
      <c r="EF2185" s="62">
        <v>43.99</v>
      </c>
      <c r="EG2185" s="62">
        <v>848.80999799999995</v>
      </c>
      <c r="FU2185" s="451"/>
    </row>
    <row r="2186" spans="135:177" x14ac:dyDescent="0.35">
      <c r="EE2186" s="451">
        <v>39783</v>
      </c>
      <c r="EF2186" s="62">
        <v>43.84</v>
      </c>
      <c r="EG2186" s="62">
        <v>816.21002199999998</v>
      </c>
      <c r="FU2186" s="451"/>
    </row>
    <row r="2187" spans="135:177" x14ac:dyDescent="0.35">
      <c r="EE2187" s="451">
        <v>39780</v>
      </c>
      <c r="EF2187" s="62">
        <v>44.44</v>
      </c>
      <c r="EG2187" s="62">
        <v>896.23999000000003</v>
      </c>
      <c r="FU2187" s="451"/>
    </row>
    <row r="2188" spans="135:177" x14ac:dyDescent="0.35">
      <c r="EE2188" s="451">
        <v>39778</v>
      </c>
      <c r="EF2188" s="62">
        <v>43.99</v>
      </c>
      <c r="EG2188" s="62">
        <v>887.67999299999997</v>
      </c>
      <c r="FU2188" s="451"/>
    </row>
    <row r="2189" spans="135:177" x14ac:dyDescent="0.35">
      <c r="EE2189" s="451">
        <v>39777</v>
      </c>
      <c r="EF2189" s="62">
        <v>43.04</v>
      </c>
      <c r="EG2189" s="62">
        <v>857.39001499999995</v>
      </c>
      <c r="FU2189" s="451"/>
    </row>
    <row r="2190" spans="135:177" x14ac:dyDescent="0.35">
      <c r="EE2190" s="451">
        <v>39776</v>
      </c>
      <c r="EF2190" s="62">
        <v>40.25</v>
      </c>
      <c r="EG2190" s="62">
        <v>851.80999799999995</v>
      </c>
      <c r="FU2190" s="451"/>
    </row>
    <row r="2191" spans="135:177" x14ac:dyDescent="0.35">
      <c r="EE2191" s="451">
        <v>39773</v>
      </c>
      <c r="EF2191" s="62">
        <v>37.4</v>
      </c>
      <c r="EG2191" s="62">
        <v>800.03002900000001</v>
      </c>
      <c r="FU2191" s="451"/>
    </row>
    <row r="2192" spans="135:177" x14ac:dyDescent="0.35">
      <c r="EE2192" s="451">
        <v>39772</v>
      </c>
      <c r="EF2192" s="62">
        <v>36.36</v>
      </c>
      <c r="EG2192" s="62">
        <v>752.44000200000005</v>
      </c>
      <c r="FU2192" s="451"/>
    </row>
    <row r="2193" spans="135:177" x14ac:dyDescent="0.35">
      <c r="EE2193" s="451">
        <v>39771</v>
      </c>
      <c r="EF2193" s="62">
        <v>37.200000000000003</v>
      </c>
      <c r="EG2193" s="62">
        <v>806.580017</v>
      </c>
      <c r="FU2193" s="451"/>
    </row>
    <row r="2194" spans="135:177" x14ac:dyDescent="0.35">
      <c r="EE2194" s="451">
        <v>39770</v>
      </c>
      <c r="EF2194" s="62">
        <v>39.770000000000003</v>
      </c>
      <c r="EG2194" s="62">
        <v>859.11999500000002</v>
      </c>
      <c r="FU2194" s="451"/>
    </row>
    <row r="2195" spans="135:177" x14ac:dyDescent="0.35">
      <c r="EE2195" s="451">
        <v>39769</v>
      </c>
      <c r="EF2195" s="62">
        <v>38.58</v>
      </c>
      <c r="EG2195" s="62">
        <v>850.75</v>
      </c>
      <c r="FU2195" s="451"/>
    </row>
    <row r="2196" spans="135:177" x14ac:dyDescent="0.35">
      <c r="EE2196" s="451">
        <v>39766</v>
      </c>
      <c r="EF2196" s="62">
        <v>39.08</v>
      </c>
      <c r="EG2196" s="62">
        <v>873.28997800000002</v>
      </c>
      <c r="FU2196" s="451"/>
    </row>
    <row r="2197" spans="135:177" x14ac:dyDescent="0.35">
      <c r="EE2197" s="451">
        <v>39765</v>
      </c>
      <c r="EF2197" s="62">
        <v>39.72</v>
      </c>
      <c r="EG2197" s="62">
        <v>911.28997800000002</v>
      </c>
      <c r="FU2197" s="451"/>
    </row>
    <row r="2198" spans="135:177" x14ac:dyDescent="0.35">
      <c r="EE2198" s="451">
        <v>39764</v>
      </c>
      <c r="EF2198" s="62">
        <v>37.31</v>
      </c>
      <c r="EG2198" s="62">
        <v>852.29998799999998</v>
      </c>
      <c r="FU2198" s="451"/>
    </row>
    <row r="2199" spans="135:177" x14ac:dyDescent="0.35">
      <c r="EE2199" s="451">
        <v>39763</v>
      </c>
      <c r="EF2199" s="62">
        <v>39.96</v>
      </c>
      <c r="EG2199" s="62">
        <v>898.95001200000002</v>
      </c>
      <c r="FU2199" s="451"/>
    </row>
    <row r="2200" spans="135:177" x14ac:dyDescent="0.35">
      <c r="EE2200" s="451">
        <v>39762</v>
      </c>
      <c r="EF2200" s="62">
        <v>41.73</v>
      </c>
      <c r="EG2200" s="62">
        <v>919.21002199999998</v>
      </c>
      <c r="FU2200" s="451"/>
    </row>
    <row r="2201" spans="135:177" x14ac:dyDescent="0.35">
      <c r="EE2201" s="451">
        <v>39759</v>
      </c>
      <c r="EF2201" s="62">
        <v>44.41</v>
      </c>
      <c r="EG2201" s="62">
        <v>930.98999000000003</v>
      </c>
      <c r="FU2201" s="451"/>
    </row>
    <row r="2202" spans="135:177" x14ac:dyDescent="0.35">
      <c r="EE2202" s="451">
        <v>39758</v>
      </c>
      <c r="EF2202" s="62">
        <v>44.22</v>
      </c>
      <c r="EG2202" s="62">
        <v>904.88000499999998</v>
      </c>
      <c r="FU2202" s="451"/>
    </row>
    <row r="2203" spans="135:177" x14ac:dyDescent="0.35">
      <c r="EE2203" s="451">
        <v>39757</v>
      </c>
      <c r="EF2203" s="62">
        <v>44.37</v>
      </c>
      <c r="EG2203" s="62">
        <v>952.77002000000005</v>
      </c>
      <c r="FU2203" s="451"/>
    </row>
    <row r="2204" spans="135:177" x14ac:dyDescent="0.35">
      <c r="EE2204" s="451">
        <v>39756</v>
      </c>
      <c r="EF2204" s="62">
        <v>46.57</v>
      </c>
      <c r="EG2204" s="62">
        <v>1005.75</v>
      </c>
      <c r="FU2204" s="451"/>
    </row>
    <row r="2205" spans="135:177" x14ac:dyDescent="0.35">
      <c r="EE2205" s="451">
        <v>39755</v>
      </c>
      <c r="EF2205" s="62">
        <v>45.27</v>
      </c>
      <c r="EG2205" s="62">
        <v>966.29998799999998</v>
      </c>
      <c r="FU2205" s="451"/>
    </row>
    <row r="2206" spans="135:177" x14ac:dyDescent="0.35">
      <c r="EE2206" s="451">
        <v>39752</v>
      </c>
      <c r="EF2206" s="62">
        <v>45.12</v>
      </c>
      <c r="EG2206" s="62">
        <v>968.75</v>
      </c>
      <c r="FU2206" s="451"/>
    </row>
    <row r="2207" spans="135:177" x14ac:dyDescent="0.35">
      <c r="EE2207" s="451">
        <v>39751</v>
      </c>
      <c r="EF2207" s="62">
        <v>42.57</v>
      </c>
      <c r="EG2207" s="62">
        <v>954.09002699999996</v>
      </c>
      <c r="FU2207" s="451"/>
    </row>
    <row r="2208" spans="135:177" x14ac:dyDescent="0.35">
      <c r="EE2208" s="451">
        <v>39750</v>
      </c>
      <c r="EF2208" s="62">
        <v>41.11</v>
      </c>
      <c r="EG2208" s="62">
        <v>930.09002699999996</v>
      </c>
      <c r="FU2208" s="451"/>
    </row>
    <row r="2209" spans="135:177" x14ac:dyDescent="0.35">
      <c r="EE2209" s="451">
        <v>39749</v>
      </c>
      <c r="EF2209" s="62">
        <v>39.39</v>
      </c>
      <c r="EG2209" s="62">
        <v>940.51000999999997</v>
      </c>
      <c r="FU2209" s="451"/>
    </row>
    <row r="2210" spans="135:177" x14ac:dyDescent="0.35">
      <c r="EE2210" s="451">
        <v>39748</v>
      </c>
      <c r="EF2210" s="62">
        <v>36.47</v>
      </c>
      <c r="EG2210" s="62">
        <v>848.919983</v>
      </c>
      <c r="FU2210" s="451"/>
    </row>
    <row r="2211" spans="135:177" x14ac:dyDescent="0.35">
      <c r="EE2211" s="451">
        <v>39745</v>
      </c>
      <c r="EF2211" s="62">
        <v>38.049999999999997</v>
      </c>
      <c r="EG2211" s="62">
        <v>876.77002000000005</v>
      </c>
      <c r="FU2211" s="451"/>
    </row>
    <row r="2212" spans="135:177" x14ac:dyDescent="0.35">
      <c r="EE2212" s="451">
        <v>39744</v>
      </c>
      <c r="EF2212" s="62">
        <v>39</v>
      </c>
      <c r="EG2212" s="62">
        <v>908.10998500000005</v>
      </c>
      <c r="FU2212" s="451"/>
    </row>
    <row r="2213" spans="135:177" x14ac:dyDescent="0.35">
      <c r="EE2213" s="451">
        <v>39743</v>
      </c>
      <c r="EF2213" s="62">
        <v>42.11</v>
      </c>
      <c r="EG2213" s="62">
        <v>896.78002900000001</v>
      </c>
      <c r="FU2213" s="451"/>
    </row>
    <row r="2214" spans="135:177" x14ac:dyDescent="0.35">
      <c r="EE2214" s="451">
        <v>39742</v>
      </c>
      <c r="EF2214" s="62">
        <v>41.09</v>
      </c>
      <c r="EG2214" s="62">
        <v>955.04998799999998</v>
      </c>
      <c r="FU2214" s="451"/>
    </row>
    <row r="2215" spans="135:177" x14ac:dyDescent="0.35">
      <c r="EE2215" s="451">
        <v>39741</v>
      </c>
      <c r="EF2215" s="62">
        <v>41.8</v>
      </c>
      <c r="EG2215" s="62">
        <v>985.40002400000003</v>
      </c>
      <c r="FU2215" s="451"/>
    </row>
    <row r="2216" spans="135:177" x14ac:dyDescent="0.35">
      <c r="EE2216" s="451">
        <v>39738</v>
      </c>
      <c r="EF2216" s="62">
        <v>41.23</v>
      </c>
      <c r="EG2216" s="62">
        <v>940.54998799999998</v>
      </c>
      <c r="FU2216" s="451"/>
    </row>
    <row r="2217" spans="135:177" x14ac:dyDescent="0.35">
      <c r="EE2217" s="451">
        <v>39737</v>
      </c>
      <c r="EF2217" s="62">
        <v>39.24</v>
      </c>
      <c r="EG2217" s="62">
        <v>946.42999299999997</v>
      </c>
      <c r="FU2217" s="451"/>
    </row>
    <row r="2218" spans="135:177" x14ac:dyDescent="0.35">
      <c r="EE2218" s="451">
        <v>39736</v>
      </c>
      <c r="EF2218" s="62">
        <v>39.880000000000003</v>
      </c>
      <c r="EG2218" s="62">
        <v>907.84002699999996</v>
      </c>
      <c r="FU2218" s="451"/>
    </row>
    <row r="2219" spans="135:177" x14ac:dyDescent="0.35">
      <c r="EE2219" s="451">
        <v>39735</v>
      </c>
      <c r="EF2219" s="62">
        <v>42.67</v>
      </c>
      <c r="EG2219" s="62">
        <v>998.01000999999997</v>
      </c>
      <c r="FU2219" s="451"/>
    </row>
    <row r="2220" spans="135:177" x14ac:dyDescent="0.35">
      <c r="EE2220" s="451">
        <v>39734</v>
      </c>
      <c r="EF2220" s="62">
        <v>45.56</v>
      </c>
      <c r="EG2220" s="62">
        <v>1003.349976</v>
      </c>
      <c r="FU2220" s="451"/>
    </row>
    <row r="2221" spans="135:177" x14ac:dyDescent="0.35">
      <c r="EE2221" s="451">
        <v>39731</v>
      </c>
      <c r="EF2221" s="62">
        <v>39.24</v>
      </c>
      <c r="EG2221" s="62">
        <v>899.21997099999999</v>
      </c>
      <c r="FU2221" s="451"/>
    </row>
    <row r="2222" spans="135:177" x14ac:dyDescent="0.35">
      <c r="EE2222" s="451">
        <v>39730</v>
      </c>
      <c r="EF2222" s="62">
        <v>41</v>
      </c>
      <c r="EG2222" s="62">
        <v>909.919983</v>
      </c>
      <c r="FU2222" s="451"/>
    </row>
    <row r="2223" spans="135:177" x14ac:dyDescent="0.35">
      <c r="EE2223" s="451">
        <v>39729</v>
      </c>
      <c r="EF2223" s="62">
        <v>41.94</v>
      </c>
      <c r="EG2223" s="62">
        <v>984.94000200000005</v>
      </c>
      <c r="FU2223" s="451"/>
    </row>
    <row r="2224" spans="135:177" x14ac:dyDescent="0.35">
      <c r="EE2224" s="451">
        <v>39728</v>
      </c>
      <c r="EF2224" s="62">
        <v>44.1</v>
      </c>
      <c r="EG2224" s="62">
        <v>996.22997999999995</v>
      </c>
      <c r="FU2224" s="451"/>
    </row>
    <row r="2225" spans="135:177" x14ac:dyDescent="0.35">
      <c r="EE2225" s="451">
        <v>39727</v>
      </c>
      <c r="EF2225" s="62">
        <v>49.14</v>
      </c>
      <c r="EG2225" s="62">
        <v>1056.8900149999999</v>
      </c>
      <c r="FU2225" s="451"/>
    </row>
    <row r="2226" spans="135:177" x14ac:dyDescent="0.35">
      <c r="EE2226" s="451">
        <v>39724</v>
      </c>
      <c r="EF2226" s="62">
        <v>46.58</v>
      </c>
      <c r="EG2226" s="62">
        <v>1099.2299800000001</v>
      </c>
      <c r="FU2226" s="451"/>
    </row>
    <row r="2227" spans="135:177" x14ac:dyDescent="0.35">
      <c r="EE2227" s="451">
        <v>39723</v>
      </c>
      <c r="EF2227" s="62">
        <v>46.5</v>
      </c>
      <c r="EG2227" s="62">
        <v>1114.280029</v>
      </c>
      <c r="FU2227" s="451"/>
    </row>
    <row r="2228" spans="135:177" x14ac:dyDescent="0.35">
      <c r="EE2228" s="451">
        <v>39722</v>
      </c>
      <c r="EF2228" s="62">
        <v>52.05</v>
      </c>
      <c r="EG2228" s="62">
        <v>1161.0600589999999</v>
      </c>
      <c r="FU2228" s="451"/>
    </row>
    <row r="2229" spans="135:177" x14ac:dyDescent="0.35">
      <c r="EE2229" s="451">
        <v>39721</v>
      </c>
      <c r="EF2229" s="62">
        <v>50.9</v>
      </c>
      <c r="EG2229" s="62">
        <v>1166.3599850000001</v>
      </c>
      <c r="FU2229" s="451"/>
    </row>
    <row r="2230" spans="135:177" x14ac:dyDescent="0.35">
      <c r="EE2230" s="451">
        <v>39720</v>
      </c>
      <c r="EF2230" s="62">
        <v>51</v>
      </c>
      <c r="EG2230" s="62">
        <v>1106.420044</v>
      </c>
      <c r="FU2230" s="451"/>
    </row>
    <row r="2231" spans="135:177" x14ac:dyDescent="0.35">
      <c r="EE2231" s="451">
        <v>39717</v>
      </c>
      <c r="EF2231" s="62">
        <v>52.96</v>
      </c>
      <c r="EG2231" s="62">
        <v>1213.2700199999999</v>
      </c>
      <c r="FU2231" s="451"/>
    </row>
    <row r="2232" spans="135:177" x14ac:dyDescent="0.35">
      <c r="EE2232" s="451">
        <v>39716</v>
      </c>
      <c r="EF2232" s="62">
        <v>52.69</v>
      </c>
      <c r="EG2232" s="62">
        <v>1209.1800539999999</v>
      </c>
      <c r="FU2232" s="451"/>
    </row>
    <row r="2233" spans="135:177" x14ac:dyDescent="0.35">
      <c r="EE2233" s="451">
        <v>39715</v>
      </c>
      <c r="EF2233" s="62">
        <v>52.92</v>
      </c>
      <c r="EG2233" s="62">
        <v>1185.869995</v>
      </c>
      <c r="FU2233" s="451"/>
    </row>
    <row r="2234" spans="135:177" x14ac:dyDescent="0.35">
      <c r="EE2234" s="451">
        <v>39714</v>
      </c>
      <c r="EF2234" s="62">
        <v>54.1</v>
      </c>
      <c r="EG2234" s="62">
        <v>1188.219971</v>
      </c>
      <c r="FU2234" s="451"/>
    </row>
    <row r="2235" spans="135:177" x14ac:dyDescent="0.35">
      <c r="EE2235" s="451">
        <v>39713</v>
      </c>
      <c r="EF2235" s="62">
        <v>57.24</v>
      </c>
      <c r="EG2235" s="62">
        <v>1207.089966</v>
      </c>
      <c r="FU2235" s="451"/>
    </row>
    <row r="2236" spans="135:177" x14ac:dyDescent="0.35">
      <c r="EE2236" s="451">
        <v>39710</v>
      </c>
      <c r="EF2236" s="62">
        <v>56.6</v>
      </c>
      <c r="EG2236" s="62">
        <v>1255.079956</v>
      </c>
      <c r="FU2236" s="451"/>
    </row>
    <row r="2237" spans="135:177" x14ac:dyDescent="0.35">
      <c r="EE2237" s="451">
        <v>39709</v>
      </c>
      <c r="EF2237" s="62">
        <v>58.88</v>
      </c>
      <c r="EG2237" s="62">
        <v>1206.51001</v>
      </c>
      <c r="FU2237" s="451"/>
    </row>
    <row r="2238" spans="135:177" x14ac:dyDescent="0.35">
      <c r="EE2238" s="451">
        <v>39708</v>
      </c>
      <c r="EF2238" s="62">
        <v>52.1</v>
      </c>
      <c r="EG2238" s="62">
        <v>1156.3900149999999</v>
      </c>
      <c r="FU2238" s="451"/>
    </row>
    <row r="2239" spans="135:177" x14ac:dyDescent="0.35">
      <c r="EE2239" s="451">
        <v>39707</v>
      </c>
      <c r="EF2239" s="62">
        <v>51.46</v>
      </c>
      <c r="EG2239" s="62">
        <v>1213.599976</v>
      </c>
      <c r="FU2239" s="451"/>
    </row>
    <row r="2240" spans="135:177" x14ac:dyDescent="0.35">
      <c r="EE2240" s="451">
        <v>39706</v>
      </c>
      <c r="EF2240" s="62">
        <v>49</v>
      </c>
      <c r="EG2240" s="62">
        <v>1192.6999510000001</v>
      </c>
      <c r="FU2240" s="451"/>
    </row>
    <row r="2241" spans="135:177" x14ac:dyDescent="0.35">
      <c r="EE2241" s="451">
        <v>39703</v>
      </c>
      <c r="EF2241" s="62">
        <v>47.55</v>
      </c>
      <c r="EG2241" s="62">
        <v>1251.6999510000001</v>
      </c>
      <c r="FU2241" s="451"/>
    </row>
    <row r="2242" spans="135:177" x14ac:dyDescent="0.35">
      <c r="EE2242" s="451">
        <v>39702</v>
      </c>
      <c r="EF2242" s="62">
        <v>54.95</v>
      </c>
      <c r="EG2242" s="62">
        <v>1249.0500489999999</v>
      </c>
      <c r="FU2242" s="451"/>
    </row>
    <row r="2243" spans="135:177" x14ac:dyDescent="0.35">
      <c r="EE2243" s="451">
        <v>39701</v>
      </c>
      <c r="EF2243" s="62">
        <v>52.94</v>
      </c>
      <c r="EG2243" s="62">
        <v>1232.040039</v>
      </c>
      <c r="FU2243" s="451"/>
    </row>
    <row r="2244" spans="135:177" x14ac:dyDescent="0.35">
      <c r="EE2244" s="451">
        <v>39700</v>
      </c>
      <c r="EF2244" s="62">
        <v>52.86</v>
      </c>
      <c r="EG2244" s="62">
        <v>1224.51001</v>
      </c>
      <c r="FU2244" s="451"/>
    </row>
    <row r="2245" spans="135:177" x14ac:dyDescent="0.35">
      <c r="EE2245" s="451">
        <v>39699</v>
      </c>
      <c r="EF2245" s="62">
        <v>53.38</v>
      </c>
      <c r="EG2245" s="62">
        <v>1267.790039</v>
      </c>
      <c r="FU2245" s="451"/>
    </row>
    <row r="2246" spans="135:177" x14ac:dyDescent="0.35">
      <c r="EE2246" s="451">
        <v>39696</v>
      </c>
      <c r="EF2246" s="62">
        <v>52.5</v>
      </c>
      <c r="EG2246" s="62">
        <v>1242.3100589999999</v>
      </c>
      <c r="FU2246" s="451"/>
    </row>
    <row r="2247" spans="135:177" x14ac:dyDescent="0.35">
      <c r="EE2247" s="451">
        <v>39695</v>
      </c>
      <c r="EF2247" s="62">
        <v>50.86</v>
      </c>
      <c r="EG2247" s="62">
        <v>1236.829956</v>
      </c>
      <c r="FU2247" s="451"/>
    </row>
    <row r="2248" spans="135:177" x14ac:dyDescent="0.35">
      <c r="EE2248" s="451">
        <v>39694</v>
      </c>
      <c r="EF2248" s="62">
        <v>53.98</v>
      </c>
      <c r="EG2248" s="62">
        <v>1274.9799800000001</v>
      </c>
      <c r="FU2248" s="451"/>
    </row>
    <row r="2249" spans="135:177" x14ac:dyDescent="0.35">
      <c r="EE2249" s="451">
        <v>39693</v>
      </c>
      <c r="EF2249" s="62">
        <v>53.02</v>
      </c>
      <c r="EG2249" s="62">
        <v>1277.579956</v>
      </c>
      <c r="FU2249" s="451"/>
    </row>
    <row r="2250" spans="135:177" x14ac:dyDescent="0.35">
      <c r="EE2250" s="451">
        <v>39689</v>
      </c>
      <c r="EF2250" s="62">
        <v>53.74</v>
      </c>
      <c r="EG2250" s="62">
        <v>1282.829956</v>
      </c>
      <c r="FU2250" s="451"/>
    </row>
    <row r="2251" spans="135:177" x14ac:dyDescent="0.35">
      <c r="EE2251" s="451">
        <v>39688</v>
      </c>
      <c r="EF2251" s="62">
        <v>54.73</v>
      </c>
      <c r="EG2251" s="62">
        <v>1300.6800539999999</v>
      </c>
      <c r="FU2251" s="451"/>
    </row>
    <row r="2252" spans="135:177" x14ac:dyDescent="0.35">
      <c r="EE2252" s="451">
        <v>39687</v>
      </c>
      <c r="EF2252" s="62">
        <v>52.14</v>
      </c>
      <c r="EG2252" s="62">
        <v>1281.660034</v>
      </c>
      <c r="FU2252" s="451"/>
    </row>
    <row r="2253" spans="135:177" x14ac:dyDescent="0.35">
      <c r="EE2253" s="451">
        <v>39686</v>
      </c>
      <c r="EF2253" s="62">
        <v>53.35</v>
      </c>
      <c r="EG2253" s="62">
        <v>1271.51001</v>
      </c>
      <c r="FU2253" s="451"/>
    </row>
    <row r="2254" spans="135:177" x14ac:dyDescent="0.35">
      <c r="EE2254" s="451">
        <v>39685</v>
      </c>
      <c r="EF2254" s="62">
        <v>54.36</v>
      </c>
      <c r="EG2254" s="62">
        <v>1266.839966</v>
      </c>
      <c r="FU2254" s="451"/>
    </row>
    <row r="2255" spans="135:177" x14ac:dyDescent="0.35">
      <c r="EE2255" s="451">
        <v>39682</v>
      </c>
      <c r="EF2255" s="62">
        <v>54.57</v>
      </c>
      <c r="EG2255" s="62">
        <v>1292.1999510000001</v>
      </c>
      <c r="FU2255" s="451"/>
    </row>
    <row r="2256" spans="135:177" x14ac:dyDescent="0.35">
      <c r="EE2256" s="451">
        <v>39681</v>
      </c>
      <c r="EF2256" s="62">
        <v>53.08</v>
      </c>
      <c r="EG2256" s="62">
        <v>1277.719971</v>
      </c>
      <c r="FU2256" s="451"/>
    </row>
    <row r="2257" spans="135:177" x14ac:dyDescent="0.35">
      <c r="EE2257" s="451">
        <v>39680</v>
      </c>
      <c r="EF2257" s="62">
        <v>53.31</v>
      </c>
      <c r="EG2257" s="62">
        <v>1274.540039</v>
      </c>
      <c r="FU2257" s="451"/>
    </row>
    <row r="2258" spans="135:177" x14ac:dyDescent="0.35">
      <c r="EE2258" s="451">
        <v>39679</v>
      </c>
      <c r="EF2258" s="62">
        <v>53.67</v>
      </c>
      <c r="EG2258" s="62">
        <v>1266.6899410000001</v>
      </c>
      <c r="FU2258" s="451"/>
    </row>
    <row r="2259" spans="135:177" x14ac:dyDescent="0.35">
      <c r="EE2259" s="451">
        <v>39678</v>
      </c>
      <c r="EF2259" s="62">
        <v>54.55</v>
      </c>
      <c r="EG2259" s="62">
        <v>1278.599976</v>
      </c>
      <c r="FU2259" s="451"/>
    </row>
    <row r="2260" spans="135:177" x14ac:dyDescent="0.35">
      <c r="EE2260" s="451">
        <v>39675</v>
      </c>
      <c r="EF2260" s="62">
        <v>54.97</v>
      </c>
      <c r="EG2260" s="62">
        <v>1298.1999510000001</v>
      </c>
      <c r="FU2260" s="451"/>
    </row>
    <row r="2261" spans="135:177" x14ac:dyDescent="0.35">
      <c r="EE2261" s="451">
        <v>39674</v>
      </c>
      <c r="EF2261" s="62">
        <v>54.51</v>
      </c>
      <c r="EG2261" s="62">
        <v>1292.9300539999999</v>
      </c>
      <c r="FU2261" s="451"/>
    </row>
    <row r="2262" spans="135:177" x14ac:dyDescent="0.35">
      <c r="EE2262" s="451">
        <v>39673</v>
      </c>
      <c r="EF2262" s="62">
        <v>53.25</v>
      </c>
      <c r="EG2262" s="62">
        <v>1285.829956</v>
      </c>
      <c r="FU2262" s="451"/>
    </row>
    <row r="2263" spans="135:177" x14ac:dyDescent="0.35">
      <c r="EE2263" s="451">
        <v>39672</v>
      </c>
      <c r="EF2263" s="62">
        <v>54.5</v>
      </c>
      <c r="EG2263" s="62">
        <v>1289.589966</v>
      </c>
      <c r="FU2263" s="451"/>
    </row>
    <row r="2264" spans="135:177" x14ac:dyDescent="0.35">
      <c r="EE2264" s="451">
        <v>39671</v>
      </c>
      <c r="EF2264" s="62">
        <v>53.51</v>
      </c>
      <c r="EG2264" s="62">
        <v>1305.3199460000001</v>
      </c>
      <c r="FU2264" s="451"/>
    </row>
    <row r="2265" spans="135:177" x14ac:dyDescent="0.35">
      <c r="EE2265" s="451">
        <v>39668</v>
      </c>
      <c r="EF2265" s="62">
        <v>52.19</v>
      </c>
      <c r="EG2265" s="62">
        <v>1296.3199460000001</v>
      </c>
      <c r="FU2265" s="451"/>
    </row>
    <row r="2266" spans="135:177" x14ac:dyDescent="0.35">
      <c r="EE2266" s="451">
        <v>39667</v>
      </c>
      <c r="EF2266" s="62">
        <v>50.69</v>
      </c>
      <c r="EG2266" s="62">
        <v>1266.0699460000001</v>
      </c>
      <c r="FU2266" s="451"/>
    </row>
    <row r="2267" spans="135:177" x14ac:dyDescent="0.35">
      <c r="EE2267" s="451">
        <v>39666</v>
      </c>
      <c r="EF2267" s="62">
        <v>51.18</v>
      </c>
      <c r="EG2267" s="62">
        <v>1289.1899410000001</v>
      </c>
      <c r="FU2267" s="451"/>
    </row>
    <row r="2268" spans="135:177" x14ac:dyDescent="0.35">
      <c r="EE2268" s="451">
        <v>39665</v>
      </c>
      <c r="EF2268" s="62">
        <v>50.85</v>
      </c>
      <c r="EG2268" s="62">
        <v>1284.880005</v>
      </c>
      <c r="FU2268" s="451"/>
    </row>
    <row r="2269" spans="135:177" x14ac:dyDescent="0.35">
      <c r="EE2269" s="451">
        <v>39664</v>
      </c>
      <c r="EF2269" s="62">
        <v>50.91</v>
      </c>
      <c r="EG2269" s="62">
        <v>1249.01001</v>
      </c>
      <c r="FU2269" s="451"/>
    </row>
    <row r="2270" spans="135:177" x14ac:dyDescent="0.35">
      <c r="EE2270" s="451">
        <v>39661</v>
      </c>
      <c r="EF2270" s="62">
        <v>50.28</v>
      </c>
      <c r="EG2270" s="62">
        <v>1260.3100589999999</v>
      </c>
      <c r="FU2270" s="451"/>
    </row>
    <row r="2271" spans="135:177" x14ac:dyDescent="0.35">
      <c r="EE2271" s="451">
        <v>39660</v>
      </c>
      <c r="EF2271" s="62">
        <v>50.1</v>
      </c>
      <c r="EG2271" s="62">
        <v>1267.380005</v>
      </c>
      <c r="FU2271" s="451"/>
    </row>
    <row r="2272" spans="135:177" x14ac:dyDescent="0.35">
      <c r="EE2272" s="451">
        <v>39659</v>
      </c>
      <c r="EF2272" s="62">
        <v>49.16</v>
      </c>
      <c r="EG2272" s="62">
        <v>1284.26001</v>
      </c>
      <c r="FU2272" s="451"/>
    </row>
    <row r="2273" spans="135:177" x14ac:dyDescent="0.35">
      <c r="EE2273" s="451">
        <v>39658</v>
      </c>
      <c r="EF2273" s="62">
        <v>47.99</v>
      </c>
      <c r="EG2273" s="62">
        <v>1263.1999510000001</v>
      </c>
      <c r="FU2273" s="451"/>
    </row>
    <row r="2274" spans="135:177" x14ac:dyDescent="0.35">
      <c r="EE2274" s="451">
        <v>39657</v>
      </c>
      <c r="EF2274" s="62">
        <v>46.43</v>
      </c>
      <c r="EG2274" s="62">
        <v>1234.369995</v>
      </c>
      <c r="FU2274" s="451"/>
    </row>
    <row r="2275" spans="135:177" x14ac:dyDescent="0.35">
      <c r="EE2275" s="451">
        <v>39654</v>
      </c>
      <c r="EF2275" s="62">
        <v>46</v>
      </c>
      <c r="EG2275" s="62">
        <v>1257.76001</v>
      </c>
      <c r="FU2275" s="451"/>
    </row>
    <row r="2276" spans="135:177" x14ac:dyDescent="0.35">
      <c r="EE2276" s="451">
        <v>39653</v>
      </c>
      <c r="EF2276" s="62">
        <v>46.33</v>
      </c>
      <c r="EG2276" s="62">
        <v>1252.540039</v>
      </c>
      <c r="FU2276" s="451"/>
    </row>
    <row r="2277" spans="135:177" x14ac:dyDescent="0.35">
      <c r="EE2277" s="451">
        <v>39652</v>
      </c>
      <c r="EF2277" s="62">
        <v>48.74</v>
      </c>
      <c r="EG2277" s="62">
        <v>1282.1899410000001</v>
      </c>
      <c r="FU2277" s="451"/>
    </row>
    <row r="2278" spans="135:177" x14ac:dyDescent="0.35">
      <c r="EE2278" s="451">
        <v>39651</v>
      </c>
      <c r="EF2278" s="62">
        <v>51</v>
      </c>
      <c r="EG2278" s="62">
        <v>1277</v>
      </c>
      <c r="FU2278" s="451"/>
    </row>
    <row r="2279" spans="135:177" x14ac:dyDescent="0.35">
      <c r="EE2279" s="451">
        <v>39650</v>
      </c>
      <c r="EF2279" s="62">
        <v>48.51</v>
      </c>
      <c r="EG2279" s="62">
        <v>1260</v>
      </c>
      <c r="FU2279" s="451"/>
    </row>
    <row r="2280" spans="135:177" x14ac:dyDescent="0.35">
      <c r="EE2280" s="451">
        <v>39647</v>
      </c>
      <c r="EF2280" s="62">
        <v>48.04</v>
      </c>
      <c r="EG2280" s="62">
        <v>1260.6800539999999</v>
      </c>
      <c r="FU2280" s="451"/>
    </row>
    <row r="2281" spans="135:177" x14ac:dyDescent="0.35">
      <c r="EE2281" s="451">
        <v>39646</v>
      </c>
      <c r="EF2281" s="62">
        <v>48.6</v>
      </c>
      <c r="EG2281" s="62">
        <v>1260.3199460000001</v>
      </c>
      <c r="FU2281" s="451"/>
    </row>
    <row r="2282" spans="135:177" x14ac:dyDescent="0.35">
      <c r="EE2282" s="451">
        <v>39645</v>
      </c>
      <c r="EF2282" s="62">
        <v>45.68</v>
      </c>
      <c r="EG2282" s="62">
        <v>1245.3599850000001</v>
      </c>
      <c r="FU2282" s="451"/>
    </row>
    <row r="2283" spans="135:177" x14ac:dyDescent="0.35">
      <c r="EE2283" s="451">
        <v>39644</v>
      </c>
      <c r="EF2283" s="62">
        <v>43.85</v>
      </c>
      <c r="EG2283" s="62">
        <v>1214.910034</v>
      </c>
      <c r="FU2283" s="451"/>
    </row>
    <row r="2284" spans="135:177" x14ac:dyDescent="0.35">
      <c r="EE2284" s="451">
        <v>39643</v>
      </c>
      <c r="EF2284" s="62">
        <v>43.95</v>
      </c>
      <c r="EG2284" s="62">
        <v>1228.3000489999999</v>
      </c>
      <c r="FU2284" s="451"/>
    </row>
    <row r="2285" spans="135:177" x14ac:dyDescent="0.35">
      <c r="EE2285" s="451">
        <v>39640</v>
      </c>
      <c r="EF2285" s="62">
        <v>43.64</v>
      </c>
      <c r="EG2285" s="62">
        <v>1239.48999</v>
      </c>
      <c r="FU2285" s="451"/>
    </row>
    <row r="2286" spans="135:177" x14ac:dyDescent="0.35">
      <c r="EE2286" s="451">
        <v>39639</v>
      </c>
      <c r="EF2286" s="62">
        <v>45.13</v>
      </c>
      <c r="EG2286" s="62">
        <v>1253.3900149999999</v>
      </c>
      <c r="FU2286" s="451"/>
    </row>
    <row r="2287" spans="135:177" x14ac:dyDescent="0.35">
      <c r="EE2287" s="451">
        <v>39638</v>
      </c>
      <c r="EF2287" s="62">
        <v>47.03</v>
      </c>
      <c r="EG2287" s="62">
        <v>1244.6899410000001</v>
      </c>
      <c r="FU2287" s="451"/>
    </row>
    <row r="2288" spans="135:177" x14ac:dyDescent="0.35">
      <c r="EE2288" s="451">
        <v>39637</v>
      </c>
      <c r="EF2288" s="62">
        <v>48.43</v>
      </c>
      <c r="EG2288" s="62">
        <v>1273.6999510000001</v>
      </c>
      <c r="FU2288" s="451"/>
    </row>
    <row r="2289" spans="135:177" x14ac:dyDescent="0.35">
      <c r="EE2289" s="451">
        <v>39636</v>
      </c>
      <c r="EF2289" s="62">
        <v>46.21</v>
      </c>
      <c r="EG2289" s="62">
        <v>1252.3100589999999</v>
      </c>
      <c r="FU2289" s="451"/>
    </row>
    <row r="2290" spans="135:177" x14ac:dyDescent="0.35">
      <c r="EE2290" s="451">
        <v>39632</v>
      </c>
      <c r="EF2290" s="62">
        <v>46.31</v>
      </c>
      <c r="EG2290" s="62">
        <v>1262.900024</v>
      </c>
      <c r="FU2290" s="451"/>
    </row>
    <row r="2291" spans="135:177" x14ac:dyDescent="0.35">
      <c r="EE2291" s="451">
        <v>39631</v>
      </c>
      <c r="EF2291" s="62">
        <v>45.81</v>
      </c>
      <c r="EG2291" s="62">
        <v>1261.5200199999999</v>
      </c>
      <c r="FU2291" s="451"/>
    </row>
    <row r="2292" spans="135:177" x14ac:dyDescent="0.35">
      <c r="EE2292" s="451">
        <v>39630</v>
      </c>
      <c r="EF2292" s="62">
        <v>46.56</v>
      </c>
      <c r="EG2292" s="62">
        <v>1284.910034</v>
      </c>
      <c r="FU2292" s="451"/>
    </row>
    <row r="2293" spans="135:177" x14ac:dyDescent="0.35">
      <c r="EE2293" s="451">
        <v>39629</v>
      </c>
      <c r="EF2293" s="62">
        <v>46.26</v>
      </c>
      <c r="EG2293" s="62">
        <v>1280</v>
      </c>
      <c r="FU2293" s="451"/>
    </row>
    <row r="2294" spans="135:177" x14ac:dyDescent="0.35">
      <c r="EE2294" s="451">
        <v>39626</v>
      </c>
      <c r="EF2294" s="62">
        <v>46.41</v>
      </c>
      <c r="EG2294" s="62">
        <v>1278.380005</v>
      </c>
      <c r="FU2294" s="451"/>
    </row>
    <row r="2295" spans="135:177" x14ac:dyDescent="0.35">
      <c r="EE2295" s="451">
        <v>39625</v>
      </c>
      <c r="EF2295" s="62">
        <v>46.9</v>
      </c>
      <c r="EG2295" s="62">
        <v>1283.150024</v>
      </c>
      <c r="FU2295" s="451"/>
    </row>
    <row r="2296" spans="135:177" x14ac:dyDescent="0.35">
      <c r="EE2296" s="451">
        <v>39624</v>
      </c>
      <c r="EF2296" s="62">
        <v>48.04</v>
      </c>
      <c r="EG2296" s="62">
        <v>1321.969971</v>
      </c>
      <c r="FU2296" s="451"/>
    </row>
    <row r="2297" spans="135:177" x14ac:dyDescent="0.35">
      <c r="EE2297" s="451">
        <v>39623</v>
      </c>
      <c r="EF2297" s="62">
        <v>46.56</v>
      </c>
      <c r="EG2297" s="62">
        <v>1314.290039</v>
      </c>
      <c r="FU2297" s="451"/>
    </row>
    <row r="2298" spans="135:177" x14ac:dyDescent="0.35">
      <c r="EE2298" s="451">
        <v>39622</v>
      </c>
      <c r="EF2298" s="62">
        <v>46.75</v>
      </c>
      <c r="EG2298" s="62">
        <v>1318</v>
      </c>
      <c r="FU2298" s="451"/>
    </row>
    <row r="2299" spans="135:177" x14ac:dyDescent="0.35">
      <c r="EE2299" s="451">
        <v>39619</v>
      </c>
      <c r="EF2299" s="62">
        <v>47.65</v>
      </c>
      <c r="EG2299" s="62">
        <v>1317.9300539999999</v>
      </c>
      <c r="FU2299" s="451"/>
    </row>
    <row r="2300" spans="135:177" x14ac:dyDescent="0.35">
      <c r="EE2300" s="451">
        <v>39618</v>
      </c>
      <c r="EF2300" s="62">
        <v>48.25</v>
      </c>
      <c r="EG2300" s="62">
        <v>1342.829956</v>
      </c>
      <c r="FU2300" s="451"/>
    </row>
    <row r="2301" spans="135:177" x14ac:dyDescent="0.35">
      <c r="EE2301" s="451">
        <v>39617</v>
      </c>
      <c r="EF2301" s="62">
        <v>48.11</v>
      </c>
      <c r="EG2301" s="62">
        <v>1337.8100589999999</v>
      </c>
      <c r="FU2301" s="451"/>
    </row>
    <row r="2302" spans="135:177" x14ac:dyDescent="0.35">
      <c r="EE2302" s="451">
        <v>39616</v>
      </c>
      <c r="EF2302" s="62">
        <v>45.56</v>
      </c>
      <c r="EG2302" s="62">
        <v>1350.9300539999999</v>
      </c>
      <c r="FU2302" s="451"/>
    </row>
    <row r="2303" spans="135:177" x14ac:dyDescent="0.35">
      <c r="EE2303" s="451">
        <v>39615</v>
      </c>
      <c r="EF2303" s="62">
        <v>46.35</v>
      </c>
      <c r="EG2303" s="62">
        <v>1360.1400149999999</v>
      </c>
      <c r="FU2303" s="451"/>
    </row>
    <row r="2304" spans="135:177" x14ac:dyDescent="0.35">
      <c r="EE2304" s="451">
        <v>39612</v>
      </c>
      <c r="EF2304" s="62">
        <v>46.3</v>
      </c>
      <c r="EG2304" s="62">
        <v>1360.030029</v>
      </c>
      <c r="FU2304" s="451"/>
    </row>
    <row r="2305" spans="135:177" x14ac:dyDescent="0.35">
      <c r="EE2305" s="451">
        <v>39611</v>
      </c>
      <c r="EF2305" s="62">
        <v>46.89</v>
      </c>
      <c r="EG2305" s="62">
        <v>1339.869995</v>
      </c>
      <c r="FU2305" s="451"/>
    </row>
    <row r="2306" spans="135:177" x14ac:dyDescent="0.35">
      <c r="EE2306" s="451">
        <v>39610</v>
      </c>
      <c r="EF2306" s="62">
        <v>46.73</v>
      </c>
      <c r="EG2306" s="62">
        <v>1335.48999</v>
      </c>
      <c r="FU2306" s="451"/>
    </row>
    <row r="2307" spans="135:177" x14ac:dyDescent="0.35">
      <c r="EE2307" s="451">
        <v>39609</v>
      </c>
      <c r="EF2307" s="62">
        <v>49.34</v>
      </c>
      <c r="EG2307" s="62">
        <v>1358.4399410000001</v>
      </c>
      <c r="FU2307" s="451"/>
    </row>
    <row r="2308" spans="135:177" x14ac:dyDescent="0.35">
      <c r="EE2308" s="451">
        <v>39608</v>
      </c>
      <c r="EF2308" s="62">
        <v>49.31</v>
      </c>
      <c r="EG2308" s="62">
        <v>1361.76001</v>
      </c>
      <c r="FU2308" s="451"/>
    </row>
    <row r="2309" spans="135:177" x14ac:dyDescent="0.35">
      <c r="EE2309" s="451">
        <v>39605</v>
      </c>
      <c r="EF2309" s="62">
        <v>50.67</v>
      </c>
      <c r="EG2309" s="62">
        <v>1360.6800539999999</v>
      </c>
      <c r="FU2309" s="451"/>
    </row>
    <row r="2310" spans="135:177" x14ac:dyDescent="0.35">
      <c r="EE2310" s="451">
        <v>39604</v>
      </c>
      <c r="EF2310" s="62">
        <v>52.3</v>
      </c>
      <c r="EG2310" s="62">
        <v>1404.0500489999999</v>
      </c>
      <c r="FU2310" s="451"/>
    </row>
    <row r="2311" spans="135:177" x14ac:dyDescent="0.35">
      <c r="EE2311" s="451">
        <v>39603</v>
      </c>
      <c r="EF2311" s="62">
        <v>51.48</v>
      </c>
      <c r="EG2311" s="62">
        <v>1377.1999510000001</v>
      </c>
      <c r="FU2311" s="451"/>
    </row>
    <row r="2312" spans="135:177" x14ac:dyDescent="0.35">
      <c r="EE2312" s="451">
        <v>39602</v>
      </c>
      <c r="EF2312" s="62">
        <v>51.94</v>
      </c>
      <c r="EG2312" s="62">
        <v>1377.650024</v>
      </c>
      <c r="FU2312" s="451"/>
    </row>
    <row r="2313" spans="135:177" x14ac:dyDescent="0.35">
      <c r="EE2313" s="451">
        <v>39601</v>
      </c>
      <c r="EF2313" s="62">
        <v>50.56</v>
      </c>
      <c r="EG2313" s="62">
        <v>1385.670044</v>
      </c>
      <c r="FU2313" s="451"/>
    </row>
    <row r="2314" spans="135:177" x14ac:dyDescent="0.35">
      <c r="EE2314" s="451">
        <v>39598</v>
      </c>
      <c r="EF2314" s="62">
        <v>51.94</v>
      </c>
      <c r="EG2314" s="62">
        <v>1400.380005</v>
      </c>
      <c r="FU2314" s="451"/>
    </row>
    <row r="2315" spans="135:177" x14ac:dyDescent="0.35">
      <c r="EE2315" s="451">
        <v>39597</v>
      </c>
      <c r="EF2315" s="62">
        <v>51.8</v>
      </c>
      <c r="EG2315" s="62">
        <v>1398.26001</v>
      </c>
      <c r="FU2315" s="451"/>
    </row>
    <row r="2316" spans="135:177" x14ac:dyDescent="0.35">
      <c r="EE2316" s="451">
        <v>39596</v>
      </c>
      <c r="EF2316" s="62">
        <v>51</v>
      </c>
      <c r="EG2316" s="62">
        <v>1390.839966</v>
      </c>
      <c r="FU2316" s="451"/>
    </row>
    <row r="2317" spans="135:177" x14ac:dyDescent="0.35">
      <c r="EE2317" s="451">
        <v>39595</v>
      </c>
      <c r="EF2317" s="62">
        <v>48.91</v>
      </c>
      <c r="EG2317" s="62">
        <v>1385.349976</v>
      </c>
      <c r="FU2317" s="451"/>
    </row>
    <row r="2318" spans="135:177" x14ac:dyDescent="0.35">
      <c r="EE2318" s="451">
        <v>39591</v>
      </c>
      <c r="EF2318" s="62">
        <v>48.67</v>
      </c>
      <c r="EG2318" s="62">
        <v>1375.9300539999999</v>
      </c>
      <c r="FU2318" s="451"/>
    </row>
    <row r="2319" spans="135:177" x14ac:dyDescent="0.35">
      <c r="EE2319" s="451">
        <v>39590</v>
      </c>
      <c r="EF2319" s="62">
        <v>47.44</v>
      </c>
      <c r="EG2319" s="62">
        <v>1394.349976</v>
      </c>
      <c r="FU2319" s="451"/>
    </row>
    <row r="2320" spans="135:177" x14ac:dyDescent="0.35">
      <c r="EE2320" s="451">
        <v>39589</v>
      </c>
      <c r="EF2320" s="62">
        <v>48.02</v>
      </c>
      <c r="EG2320" s="62">
        <v>1390.709961</v>
      </c>
      <c r="FU2320" s="451"/>
    </row>
    <row r="2321" spans="135:177" x14ac:dyDescent="0.35">
      <c r="EE2321" s="451">
        <v>39588</v>
      </c>
      <c r="EF2321" s="62">
        <v>51.18</v>
      </c>
      <c r="EG2321" s="62">
        <v>1413.400024</v>
      </c>
      <c r="FU2321" s="451"/>
    </row>
    <row r="2322" spans="135:177" x14ac:dyDescent="0.35">
      <c r="EE2322" s="451">
        <v>39587</v>
      </c>
      <c r="EF2322" s="62">
        <v>51.93</v>
      </c>
      <c r="EG2322" s="62">
        <v>1426.630005</v>
      </c>
      <c r="FU2322" s="451"/>
    </row>
    <row r="2323" spans="135:177" x14ac:dyDescent="0.35">
      <c r="EE2323" s="451">
        <v>39584</v>
      </c>
      <c r="EF2323" s="62">
        <v>51.73</v>
      </c>
      <c r="EG2323" s="62">
        <v>1425.349976</v>
      </c>
      <c r="FU2323" s="451"/>
    </row>
    <row r="2324" spans="135:177" x14ac:dyDescent="0.35">
      <c r="EE2324" s="451">
        <v>39583</v>
      </c>
      <c r="EF2324" s="62">
        <v>51.83</v>
      </c>
      <c r="EG2324" s="62">
        <v>1423.5699460000001</v>
      </c>
      <c r="FU2324" s="451"/>
    </row>
    <row r="2325" spans="135:177" x14ac:dyDescent="0.35">
      <c r="EE2325" s="451">
        <v>39582</v>
      </c>
      <c r="EF2325" s="62">
        <v>51.49</v>
      </c>
      <c r="EG2325" s="62">
        <v>1408.660034</v>
      </c>
      <c r="FU2325" s="451"/>
    </row>
    <row r="2326" spans="135:177" x14ac:dyDescent="0.35">
      <c r="EE2326" s="451">
        <v>39581</v>
      </c>
      <c r="EF2326" s="62">
        <v>52.07</v>
      </c>
      <c r="EG2326" s="62">
        <v>1403.040039</v>
      </c>
      <c r="FU2326" s="451"/>
    </row>
    <row r="2327" spans="135:177" x14ac:dyDescent="0.35">
      <c r="EE2327" s="451">
        <v>39580</v>
      </c>
      <c r="EF2327" s="62">
        <v>51.85</v>
      </c>
      <c r="EG2327" s="62">
        <v>1403.579956</v>
      </c>
      <c r="FU2327" s="451"/>
    </row>
    <row r="2328" spans="135:177" x14ac:dyDescent="0.35">
      <c r="EE2328" s="451">
        <v>39577</v>
      </c>
      <c r="EF2328" s="62">
        <v>50.45</v>
      </c>
      <c r="EG2328" s="62">
        <v>1388.280029</v>
      </c>
      <c r="FU2328" s="451"/>
    </row>
    <row r="2329" spans="135:177" x14ac:dyDescent="0.35">
      <c r="EE2329" s="451">
        <v>39576</v>
      </c>
      <c r="EF2329" s="62">
        <v>51.48</v>
      </c>
      <c r="EG2329" s="62">
        <v>1397.6800539999999</v>
      </c>
      <c r="FU2329" s="451"/>
    </row>
    <row r="2330" spans="135:177" x14ac:dyDescent="0.35">
      <c r="EE2330" s="451">
        <v>39575</v>
      </c>
      <c r="EF2330" s="62">
        <v>50.26</v>
      </c>
      <c r="EG2330" s="62">
        <v>1392.5699460000001</v>
      </c>
      <c r="FU2330" s="451"/>
    </row>
    <row r="2331" spans="135:177" x14ac:dyDescent="0.35">
      <c r="EE2331" s="451">
        <v>39574</v>
      </c>
      <c r="EF2331" s="62">
        <v>51.39</v>
      </c>
      <c r="EG2331" s="62">
        <v>1418.26001</v>
      </c>
      <c r="FU2331" s="451"/>
    </row>
    <row r="2332" spans="135:177" x14ac:dyDescent="0.35">
      <c r="EE2332" s="451">
        <v>39573</v>
      </c>
      <c r="EF2332" s="62">
        <v>51.78</v>
      </c>
      <c r="EG2332" s="62">
        <v>1407.48999</v>
      </c>
      <c r="FU2332" s="451"/>
    </row>
    <row r="2333" spans="135:177" x14ac:dyDescent="0.35">
      <c r="EE2333" s="451">
        <v>39570</v>
      </c>
      <c r="EF2333" s="62">
        <v>51.76</v>
      </c>
      <c r="EG2333" s="62">
        <v>1413.900024</v>
      </c>
      <c r="FU2333" s="451"/>
    </row>
    <row r="2334" spans="135:177" x14ac:dyDescent="0.35">
      <c r="EE2334" s="451">
        <v>39569</v>
      </c>
      <c r="EF2334" s="62">
        <v>51.7</v>
      </c>
      <c r="EG2334" s="62">
        <v>1409.339966</v>
      </c>
      <c r="FU2334" s="451"/>
    </row>
    <row r="2335" spans="135:177" x14ac:dyDescent="0.35">
      <c r="EE2335" s="451">
        <v>39568</v>
      </c>
      <c r="EF2335" s="62">
        <v>52.26</v>
      </c>
      <c r="EG2335" s="62">
        <v>1385.589966</v>
      </c>
      <c r="FU2335" s="451"/>
    </row>
    <row r="2336" spans="135:177" x14ac:dyDescent="0.35">
      <c r="EE2336" s="451">
        <v>39567</v>
      </c>
      <c r="EF2336" s="62">
        <v>45.42</v>
      </c>
      <c r="EG2336" s="62">
        <v>1390.9399410000001</v>
      </c>
      <c r="FU2336" s="451"/>
    </row>
    <row r="2337" spans="135:177" x14ac:dyDescent="0.35">
      <c r="EE2337" s="451">
        <v>39566</v>
      </c>
      <c r="EF2337" s="62">
        <v>45.62</v>
      </c>
      <c r="EG2337" s="62">
        <v>1396.369995</v>
      </c>
      <c r="FU2337" s="451"/>
    </row>
    <row r="2338" spans="135:177" x14ac:dyDescent="0.35">
      <c r="EE2338" s="451">
        <v>39563</v>
      </c>
      <c r="EF2338" s="62">
        <v>46.27</v>
      </c>
      <c r="EG2338" s="62">
        <v>1397.839966</v>
      </c>
      <c r="FU2338" s="451"/>
    </row>
    <row r="2339" spans="135:177" x14ac:dyDescent="0.35">
      <c r="EE2339" s="451">
        <v>39562</v>
      </c>
      <c r="EF2339" s="62">
        <v>46.3</v>
      </c>
      <c r="EG2339" s="62">
        <v>1388.8199460000001</v>
      </c>
      <c r="FU2339" s="451"/>
    </row>
    <row r="2340" spans="135:177" x14ac:dyDescent="0.35">
      <c r="EE2340" s="451">
        <v>39561</v>
      </c>
      <c r="EF2340" s="62">
        <v>45.98</v>
      </c>
      <c r="EG2340" s="62">
        <v>1379.9300539999999</v>
      </c>
      <c r="FU2340" s="451"/>
    </row>
    <row r="2341" spans="135:177" x14ac:dyDescent="0.35">
      <c r="EE2341" s="451">
        <v>39560</v>
      </c>
      <c r="EF2341" s="62">
        <v>44.23</v>
      </c>
      <c r="EG2341" s="62">
        <v>1375.9399410000001</v>
      </c>
      <c r="FU2341" s="451"/>
    </row>
    <row r="2342" spans="135:177" x14ac:dyDescent="0.35">
      <c r="EE2342" s="451">
        <v>39559</v>
      </c>
      <c r="EF2342" s="62">
        <v>43.71</v>
      </c>
      <c r="EG2342" s="62">
        <v>1388.170044</v>
      </c>
      <c r="FU2342" s="451"/>
    </row>
    <row r="2343" spans="135:177" x14ac:dyDescent="0.35">
      <c r="EE2343" s="451">
        <v>39556</v>
      </c>
      <c r="EF2343" s="62">
        <v>43.43</v>
      </c>
      <c r="EG2343" s="62">
        <v>1390.329956</v>
      </c>
      <c r="FU2343" s="451"/>
    </row>
    <row r="2344" spans="135:177" x14ac:dyDescent="0.35">
      <c r="EE2344" s="451">
        <v>39555</v>
      </c>
      <c r="EF2344" s="62">
        <v>42.1</v>
      </c>
      <c r="EG2344" s="62">
        <v>1365.5600589999999</v>
      </c>
      <c r="FU2344" s="451"/>
    </row>
    <row r="2345" spans="135:177" x14ac:dyDescent="0.35">
      <c r="EE2345" s="451">
        <v>39554</v>
      </c>
      <c r="EF2345" s="62">
        <v>42.7</v>
      </c>
      <c r="EG2345" s="62">
        <v>1364.709961</v>
      </c>
      <c r="FU2345" s="451"/>
    </row>
    <row r="2346" spans="135:177" x14ac:dyDescent="0.35">
      <c r="EE2346" s="451">
        <v>39553</v>
      </c>
      <c r="EF2346" s="62">
        <v>41.95</v>
      </c>
      <c r="EG2346" s="62">
        <v>1334.4300539999999</v>
      </c>
      <c r="FU2346" s="451"/>
    </row>
    <row r="2347" spans="135:177" x14ac:dyDescent="0.35">
      <c r="EE2347" s="451">
        <v>39552</v>
      </c>
      <c r="EF2347" s="62">
        <v>41.4</v>
      </c>
      <c r="EG2347" s="62">
        <v>1328.3199460000001</v>
      </c>
      <c r="FU2347" s="451"/>
    </row>
    <row r="2348" spans="135:177" x14ac:dyDescent="0.35">
      <c r="EE2348" s="451">
        <v>39549</v>
      </c>
      <c r="EF2348" s="62">
        <v>41.02</v>
      </c>
      <c r="EG2348" s="62">
        <v>1332.829956</v>
      </c>
      <c r="FU2348" s="451"/>
    </row>
    <row r="2349" spans="135:177" x14ac:dyDescent="0.35">
      <c r="EE2349" s="451">
        <v>39548</v>
      </c>
      <c r="EF2349" s="62">
        <v>41.89</v>
      </c>
      <c r="EG2349" s="62">
        <v>1360.5500489999999</v>
      </c>
      <c r="FU2349" s="451"/>
    </row>
    <row r="2350" spans="135:177" x14ac:dyDescent="0.35">
      <c r="EE2350" s="451">
        <v>39547</v>
      </c>
      <c r="EF2350" s="62">
        <v>42.43</v>
      </c>
      <c r="EG2350" s="62">
        <v>1354.48999</v>
      </c>
      <c r="FU2350" s="451"/>
    </row>
    <row r="2351" spans="135:177" x14ac:dyDescent="0.35">
      <c r="EE2351" s="451">
        <v>39546</v>
      </c>
      <c r="EF2351" s="62">
        <v>43.83</v>
      </c>
      <c r="EG2351" s="62">
        <v>1365.540039</v>
      </c>
      <c r="FU2351" s="451"/>
    </row>
    <row r="2352" spans="135:177" x14ac:dyDescent="0.35">
      <c r="EE2352" s="451">
        <v>39545</v>
      </c>
      <c r="EF2352" s="62">
        <v>42.22</v>
      </c>
      <c r="EG2352" s="62">
        <v>1372.540039</v>
      </c>
      <c r="FU2352" s="451"/>
    </row>
    <row r="2353" spans="135:177" x14ac:dyDescent="0.35">
      <c r="EE2353" s="451">
        <v>39542</v>
      </c>
      <c r="EF2353" s="62">
        <v>44</v>
      </c>
      <c r="EG2353" s="62">
        <v>1370.400024</v>
      </c>
      <c r="FU2353" s="451"/>
    </row>
    <row r="2354" spans="135:177" x14ac:dyDescent="0.35">
      <c r="EE2354" s="451">
        <v>39541</v>
      </c>
      <c r="EF2354" s="62">
        <v>44.89</v>
      </c>
      <c r="EG2354" s="62">
        <v>1369.3100589999999</v>
      </c>
      <c r="FU2354" s="451"/>
    </row>
    <row r="2355" spans="135:177" x14ac:dyDescent="0.35">
      <c r="EE2355" s="451">
        <v>39540</v>
      </c>
      <c r="EF2355" s="62">
        <v>43.62</v>
      </c>
      <c r="EG2355" s="62">
        <v>1367.530029</v>
      </c>
      <c r="FU2355" s="451"/>
    </row>
    <row r="2356" spans="135:177" x14ac:dyDescent="0.35">
      <c r="EE2356" s="451">
        <v>39539</v>
      </c>
      <c r="EF2356" s="62">
        <v>44</v>
      </c>
      <c r="EG2356" s="62">
        <v>1370.1800539999999</v>
      </c>
      <c r="FU2356" s="451"/>
    </row>
    <row r="2357" spans="135:177" x14ac:dyDescent="0.35">
      <c r="EE2357" s="451">
        <v>39538</v>
      </c>
      <c r="EF2357" s="62">
        <v>41.89</v>
      </c>
      <c r="EG2357" s="62">
        <v>1322.6999510000001</v>
      </c>
      <c r="FU2357" s="451"/>
    </row>
    <row r="2358" spans="135:177" x14ac:dyDescent="0.35">
      <c r="EE2358" s="451">
        <v>39535</v>
      </c>
      <c r="EF2358" s="62">
        <v>42.5</v>
      </c>
      <c r="EG2358" s="62">
        <v>1315.219971</v>
      </c>
      <c r="FU2358" s="451"/>
    </row>
    <row r="2359" spans="135:177" x14ac:dyDescent="0.35">
      <c r="EE2359" s="451">
        <v>39534</v>
      </c>
      <c r="EF2359" s="62">
        <v>42.95</v>
      </c>
      <c r="EG2359" s="62">
        <v>1325.76001</v>
      </c>
      <c r="FU2359" s="451"/>
    </row>
    <row r="2360" spans="135:177" x14ac:dyDescent="0.35">
      <c r="EE2360" s="451">
        <v>39533</v>
      </c>
      <c r="EF2360" s="62">
        <v>44.23</v>
      </c>
      <c r="EG2360" s="62">
        <v>1341.130005</v>
      </c>
      <c r="FU2360" s="451"/>
    </row>
    <row r="2361" spans="135:177" x14ac:dyDescent="0.35">
      <c r="EE2361" s="451">
        <v>39532</v>
      </c>
      <c r="EF2361" s="62">
        <v>44.2</v>
      </c>
      <c r="EG2361" s="62">
        <v>1352.98999</v>
      </c>
      <c r="FU2361" s="451"/>
    </row>
    <row r="2362" spans="135:177" x14ac:dyDescent="0.35">
      <c r="EE2362" s="451">
        <v>39531</v>
      </c>
      <c r="EF2362" s="62">
        <v>43.85</v>
      </c>
      <c r="EG2362" s="62">
        <v>1349.880005</v>
      </c>
      <c r="FU2362" s="451"/>
    </row>
    <row r="2363" spans="135:177" x14ac:dyDescent="0.35">
      <c r="EE2363" s="451">
        <v>39527</v>
      </c>
      <c r="EF2363" s="62">
        <v>41.98</v>
      </c>
      <c r="EG2363" s="62">
        <v>1329.51001</v>
      </c>
      <c r="FU2363" s="451"/>
    </row>
    <row r="2364" spans="135:177" x14ac:dyDescent="0.35">
      <c r="EE2364" s="451">
        <v>39526</v>
      </c>
      <c r="EF2364" s="62">
        <v>42.73</v>
      </c>
      <c r="EG2364" s="62">
        <v>1298.420044</v>
      </c>
      <c r="FU2364" s="451"/>
    </row>
    <row r="2365" spans="135:177" x14ac:dyDescent="0.35">
      <c r="EE2365" s="451">
        <v>39525</v>
      </c>
      <c r="EF2365" s="62">
        <v>43.27</v>
      </c>
      <c r="EG2365" s="62">
        <v>1330.73999</v>
      </c>
      <c r="FU2365" s="451"/>
    </row>
    <row r="2366" spans="135:177" x14ac:dyDescent="0.35">
      <c r="EE2366" s="451">
        <v>39524</v>
      </c>
      <c r="EF2366" s="62">
        <v>40.51</v>
      </c>
      <c r="EG2366" s="62">
        <v>1276.599976</v>
      </c>
      <c r="FU2366" s="451"/>
    </row>
    <row r="2367" spans="135:177" x14ac:dyDescent="0.35">
      <c r="EE2367" s="451">
        <v>39521</v>
      </c>
      <c r="EF2367" s="62">
        <v>40.35</v>
      </c>
      <c r="EG2367" s="62">
        <v>1288.1400149999999</v>
      </c>
      <c r="FU2367" s="451"/>
    </row>
    <row r="2368" spans="135:177" x14ac:dyDescent="0.35">
      <c r="EE2368" s="451">
        <v>39520</v>
      </c>
      <c r="EF2368" s="62">
        <v>39.54</v>
      </c>
      <c r="EG2368" s="62">
        <v>1315.4799800000001</v>
      </c>
      <c r="FU2368" s="451"/>
    </row>
    <row r="2369" spans="135:177" x14ac:dyDescent="0.35">
      <c r="EE2369" s="451">
        <v>39519</v>
      </c>
      <c r="EF2369" s="62">
        <v>37.729999999999997</v>
      </c>
      <c r="EG2369" s="62">
        <v>1308.7700199999999</v>
      </c>
      <c r="FU2369" s="451"/>
    </row>
    <row r="2370" spans="135:177" x14ac:dyDescent="0.35">
      <c r="EE2370" s="451">
        <v>39518</v>
      </c>
      <c r="EF2370" s="62">
        <v>37.270000000000003</v>
      </c>
      <c r="EG2370" s="62">
        <v>1320.650024</v>
      </c>
      <c r="FU2370" s="451"/>
    </row>
    <row r="2371" spans="135:177" x14ac:dyDescent="0.35">
      <c r="EE2371" s="451">
        <v>39517</v>
      </c>
      <c r="EF2371" s="62">
        <v>35.4</v>
      </c>
      <c r="EG2371" s="62">
        <v>1273.369995</v>
      </c>
      <c r="FU2371" s="451"/>
    </row>
    <row r="2372" spans="135:177" x14ac:dyDescent="0.35">
      <c r="EE2372" s="451">
        <v>39514</v>
      </c>
      <c r="EF2372" s="62">
        <v>35.79</v>
      </c>
      <c r="EG2372" s="62">
        <v>1293.369995</v>
      </c>
      <c r="FU2372" s="451"/>
    </row>
    <row r="2373" spans="135:177" x14ac:dyDescent="0.35">
      <c r="EE2373" s="451">
        <v>39513</v>
      </c>
      <c r="EF2373" s="62">
        <v>36.04</v>
      </c>
      <c r="EG2373" s="62">
        <v>1304.339966</v>
      </c>
      <c r="FU2373" s="451"/>
    </row>
    <row r="2374" spans="135:177" x14ac:dyDescent="0.35">
      <c r="EE2374" s="451">
        <v>39512</v>
      </c>
      <c r="EF2374" s="62">
        <v>37.64</v>
      </c>
      <c r="EG2374" s="62">
        <v>1333.6999510000001</v>
      </c>
      <c r="FU2374" s="451"/>
    </row>
    <row r="2375" spans="135:177" x14ac:dyDescent="0.35">
      <c r="EE2375" s="451">
        <v>39511</v>
      </c>
      <c r="EF2375" s="62">
        <v>36.85</v>
      </c>
      <c r="EG2375" s="62">
        <v>1326.75</v>
      </c>
      <c r="FU2375" s="451"/>
    </row>
    <row r="2376" spans="135:177" x14ac:dyDescent="0.35">
      <c r="EE2376" s="451">
        <v>39510</v>
      </c>
      <c r="EF2376" s="62">
        <v>36.1</v>
      </c>
      <c r="EG2376" s="62">
        <v>1331.339966</v>
      </c>
      <c r="FU2376" s="451"/>
    </row>
    <row r="2377" spans="135:177" x14ac:dyDescent="0.35">
      <c r="EE2377" s="451">
        <v>39507</v>
      </c>
      <c r="EF2377" s="62">
        <v>37.369999999999997</v>
      </c>
      <c r="EG2377" s="62">
        <v>1330.630005</v>
      </c>
      <c r="FU2377" s="451"/>
    </row>
    <row r="2378" spans="135:177" x14ac:dyDescent="0.35">
      <c r="EE2378" s="451">
        <v>39506</v>
      </c>
      <c r="EF2378" s="62">
        <v>36.83</v>
      </c>
      <c r="EG2378" s="62">
        <v>1367.6800539999999</v>
      </c>
      <c r="FU2378" s="451"/>
    </row>
    <row r="2379" spans="135:177" x14ac:dyDescent="0.35">
      <c r="EE2379" s="451">
        <v>39505</v>
      </c>
      <c r="EF2379" s="62">
        <v>38.130000000000003</v>
      </c>
      <c r="EG2379" s="62">
        <v>1380.0200199999999</v>
      </c>
      <c r="FU2379" s="451"/>
    </row>
    <row r="2380" spans="135:177" x14ac:dyDescent="0.35">
      <c r="EE2380" s="451">
        <v>39504</v>
      </c>
      <c r="EF2380" s="62">
        <v>39.090000000000003</v>
      </c>
      <c r="EG2380" s="62">
        <v>1381.290039</v>
      </c>
      <c r="FU2380" s="451"/>
    </row>
    <row r="2381" spans="135:177" x14ac:dyDescent="0.35">
      <c r="EE2381" s="451">
        <v>39503</v>
      </c>
      <c r="EF2381" s="62">
        <v>37.64</v>
      </c>
      <c r="EG2381" s="62">
        <v>1371.8000489999999</v>
      </c>
      <c r="FU2381" s="451"/>
    </row>
    <row r="2382" spans="135:177" x14ac:dyDescent="0.35">
      <c r="EE2382" s="451">
        <v>39500</v>
      </c>
      <c r="EF2382" s="62">
        <v>38.25</v>
      </c>
      <c r="EG2382" s="62">
        <v>1353.1099850000001</v>
      </c>
      <c r="FU2382" s="451"/>
    </row>
    <row r="2383" spans="135:177" x14ac:dyDescent="0.35">
      <c r="EE2383" s="451">
        <v>39499</v>
      </c>
      <c r="EF2383" s="62">
        <v>38.83</v>
      </c>
      <c r="EG2383" s="62">
        <v>1342.530029</v>
      </c>
      <c r="FU2383" s="451"/>
    </row>
    <row r="2384" spans="135:177" x14ac:dyDescent="0.35">
      <c r="EE2384" s="451">
        <v>39498</v>
      </c>
      <c r="EF2384" s="62">
        <v>38.54</v>
      </c>
      <c r="EG2384" s="62">
        <v>1360.030029</v>
      </c>
      <c r="FU2384" s="451"/>
    </row>
    <row r="2385" spans="135:177" x14ac:dyDescent="0.35">
      <c r="EE2385" s="451">
        <v>39497</v>
      </c>
      <c r="EF2385" s="62">
        <v>38.28</v>
      </c>
      <c r="EG2385" s="62">
        <v>1348.780029</v>
      </c>
      <c r="FU2385" s="451"/>
    </row>
    <row r="2386" spans="135:177" x14ac:dyDescent="0.35">
      <c r="EE2386" s="451">
        <v>39493</v>
      </c>
      <c r="EF2386" s="62">
        <v>38.31</v>
      </c>
      <c r="EG2386" s="62">
        <v>1349.98999</v>
      </c>
      <c r="FU2386" s="451"/>
    </row>
    <row r="2387" spans="135:177" x14ac:dyDescent="0.35">
      <c r="EE2387" s="451">
        <v>39492</v>
      </c>
      <c r="EF2387" s="62">
        <v>37.79</v>
      </c>
      <c r="EG2387" s="62">
        <v>1348.8599850000001</v>
      </c>
      <c r="FU2387" s="451"/>
    </row>
    <row r="2388" spans="135:177" x14ac:dyDescent="0.35">
      <c r="EE2388" s="451">
        <v>39491</v>
      </c>
      <c r="EF2388" s="62">
        <v>38.729999999999997</v>
      </c>
      <c r="EG2388" s="62">
        <v>1367.209961</v>
      </c>
      <c r="FU2388" s="451"/>
    </row>
    <row r="2389" spans="135:177" x14ac:dyDescent="0.35">
      <c r="EE2389" s="451">
        <v>39490</v>
      </c>
      <c r="EF2389" s="62">
        <v>35.909999999999997</v>
      </c>
      <c r="EG2389" s="62">
        <v>1348.8599850000001</v>
      </c>
      <c r="FU2389" s="451"/>
    </row>
    <row r="2390" spans="135:177" x14ac:dyDescent="0.35">
      <c r="EE2390" s="451">
        <v>39489</v>
      </c>
      <c r="EF2390" s="62">
        <v>34.92</v>
      </c>
      <c r="EG2390" s="62">
        <v>1339.130005</v>
      </c>
      <c r="FU2390" s="451"/>
    </row>
    <row r="2391" spans="135:177" x14ac:dyDescent="0.35">
      <c r="EE2391" s="451">
        <v>39486</v>
      </c>
      <c r="EF2391" s="62">
        <v>34.33</v>
      </c>
      <c r="EG2391" s="62">
        <v>1331.290039</v>
      </c>
      <c r="FU2391" s="451"/>
    </row>
    <row r="2392" spans="135:177" x14ac:dyDescent="0.35">
      <c r="EE2392" s="451">
        <v>39485</v>
      </c>
      <c r="EF2392" s="62">
        <v>35.42</v>
      </c>
      <c r="EG2392" s="62">
        <v>1336.910034</v>
      </c>
      <c r="FU2392" s="451"/>
    </row>
    <row r="2393" spans="135:177" x14ac:dyDescent="0.35">
      <c r="EE2393" s="451">
        <v>39484</v>
      </c>
      <c r="EF2393" s="62">
        <v>36.950000000000003</v>
      </c>
      <c r="EG2393" s="62">
        <v>1326.4499510000001</v>
      </c>
      <c r="FU2393" s="451"/>
    </row>
    <row r="2394" spans="135:177" x14ac:dyDescent="0.35">
      <c r="EE2394" s="451">
        <v>39483</v>
      </c>
      <c r="EF2394" s="62">
        <v>37.86</v>
      </c>
      <c r="EG2394" s="62">
        <v>1336.6400149999999</v>
      </c>
      <c r="FU2394" s="451"/>
    </row>
    <row r="2395" spans="135:177" x14ac:dyDescent="0.35">
      <c r="EE2395" s="451">
        <v>39482</v>
      </c>
      <c r="EF2395" s="62">
        <v>38.51</v>
      </c>
      <c r="EG2395" s="62">
        <v>1380.8199460000001</v>
      </c>
      <c r="FU2395" s="451"/>
    </row>
    <row r="2396" spans="135:177" x14ac:dyDescent="0.35">
      <c r="EE2396" s="451">
        <v>39479</v>
      </c>
      <c r="EF2396" s="62">
        <v>38.049999999999997</v>
      </c>
      <c r="EG2396" s="62">
        <v>1395.420044</v>
      </c>
      <c r="FU2396" s="451"/>
    </row>
    <row r="2397" spans="135:177" x14ac:dyDescent="0.35">
      <c r="EE2397" s="451">
        <v>39478</v>
      </c>
      <c r="EF2397" s="62">
        <v>37.78</v>
      </c>
      <c r="EG2397" s="62">
        <v>1378.5500489999999</v>
      </c>
      <c r="FU2397" s="451"/>
    </row>
    <row r="2398" spans="135:177" x14ac:dyDescent="0.35">
      <c r="EE2398" s="451">
        <v>39477</v>
      </c>
      <c r="EF2398" s="62">
        <v>35.46</v>
      </c>
      <c r="EG2398" s="62">
        <v>1355.8100589999999</v>
      </c>
      <c r="FU2398" s="451"/>
    </row>
    <row r="2399" spans="135:177" x14ac:dyDescent="0.35">
      <c r="EE2399" s="451">
        <v>39476</v>
      </c>
      <c r="EF2399" s="62">
        <v>35.79</v>
      </c>
      <c r="EG2399" s="62">
        <v>1362.3000489999999</v>
      </c>
      <c r="FU2399" s="451"/>
    </row>
    <row r="2400" spans="135:177" x14ac:dyDescent="0.35">
      <c r="EE2400" s="451">
        <v>39475</v>
      </c>
      <c r="EF2400" s="62">
        <v>36.200000000000003</v>
      </c>
      <c r="EG2400" s="62">
        <v>1353.959961</v>
      </c>
      <c r="FU2400" s="451"/>
    </row>
    <row r="2401" spans="135:177" x14ac:dyDescent="0.35">
      <c r="EE2401" s="451">
        <v>39472</v>
      </c>
      <c r="EF2401" s="62">
        <v>36.74</v>
      </c>
      <c r="EG2401" s="62">
        <v>1330.6099850000001</v>
      </c>
      <c r="FU2401" s="451"/>
    </row>
    <row r="2402" spans="135:177" x14ac:dyDescent="0.35">
      <c r="EE2402" s="451">
        <v>39471</v>
      </c>
      <c r="EF2402" s="62">
        <v>37.32</v>
      </c>
      <c r="EG2402" s="62">
        <v>1352.0699460000001</v>
      </c>
      <c r="FU2402" s="451"/>
    </row>
    <row r="2403" spans="135:177" x14ac:dyDescent="0.35">
      <c r="EE2403" s="451">
        <v>39470</v>
      </c>
      <c r="EF2403" s="62">
        <v>37.155000000000001</v>
      </c>
      <c r="EG2403" s="62">
        <v>1338.599976</v>
      </c>
      <c r="FU2403" s="451"/>
    </row>
    <row r="2404" spans="135:177" x14ac:dyDescent="0.35">
      <c r="EE2404" s="451">
        <v>39469</v>
      </c>
      <c r="EF2404" s="62">
        <v>34.01</v>
      </c>
      <c r="EG2404" s="62">
        <v>1310.5</v>
      </c>
      <c r="FU2404" s="451"/>
    </row>
    <row r="2405" spans="135:177" x14ac:dyDescent="0.35">
      <c r="EE2405" s="451">
        <v>39465</v>
      </c>
      <c r="EF2405" s="62">
        <v>33.96</v>
      </c>
      <c r="EG2405" s="62">
        <v>1325.1899410000001</v>
      </c>
      <c r="FU2405" s="451"/>
    </row>
    <row r="2406" spans="135:177" x14ac:dyDescent="0.35">
      <c r="EE2406" s="451">
        <v>39464</v>
      </c>
      <c r="EF2406" s="62">
        <v>33.51</v>
      </c>
      <c r="EG2406" s="62">
        <v>1333.25</v>
      </c>
      <c r="FU2406" s="451"/>
    </row>
    <row r="2407" spans="135:177" x14ac:dyDescent="0.35">
      <c r="EE2407" s="451">
        <v>39463</v>
      </c>
      <c r="EF2407" s="62">
        <v>33.83</v>
      </c>
      <c r="EG2407" s="62">
        <v>1373.1999510000001</v>
      </c>
      <c r="FU2407" s="451"/>
    </row>
    <row r="2408" spans="135:177" x14ac:dyDescent="0.35">
      <c r="EE2408" s="451">
        <v>39462</v>
      </c>
      <c r="EF2408" s="62">
        <v>32.380000000000003</v>
      </c>
      <c r="EG2408" s="62">
        <v>1380.9499510000001</v>
      </c>
      <c r="FU2408" s="451"/>
    </row>
    <row r="2409" spans="135:177" x14ac:dyDescent="0.35">
      <c r="EE2409" s="451">
        <v>39461</v>
      </c>
      <c r="EF2409" s="62">
        <v>33.229999999999997</v>
      </c>
      <c r="EG2409" s="62">
        <v>1416.25</v>
      </c>
      <c r="FU2409" s="451"/>
    </row>
    <row r="2410" spans="135:177" x14ac:dyDescent="0.35">
      <c r="EE2410" s="451">
        <v>39458</v>
      </c>
      <c r="EF2410" s="62">
        <v>33.64</v>
      </c>
      <c r="EG2410" s="62">
        <v>1401.0200199999999</v>
      </c>
      <c r="FU2410" s="451"/>
    </row>
    <row r="2411" spans="135:177" x14ac:dyDescent="0.35">
      <c r="EE2411" s="451">
        <v>39457</v>
      </c>
      <c r="EF2411" s="62">
        <v>33.19</v>
      </c>
      <c r="EG2411" s="62">
        <v>1420.329956</v>
      </c>
      <c r="FU2411" s="451"/>
    </row>
    <row r="2412" spans="135:177" x14ac:dyDescent="0.35">
      <c r="EE2412" s="451">
        <v>39456</v>
      </c>
      <c r="EF2412" s="62">
        <v>33.15</v>
      </c>
      <c r="EG2412" s="62">
        <v>1409.130005</v>
      </c>
      <c r="FU2412" s="451"/>
    </row>
    <row r="2413" spans="135:177" x14ac:dyDescent="0.35">
      <c r="EE2413" s="451">
        <v>39455</v>
      </c>
      <c r="EF2413" s="62">
        <v>31.64</v>
      </c>
      <c r="EG2413" s="62">
        <v>1390.1899410000001</v>
      </c>
      <c r="FU2413" s="451"/>
    </row>
    <row r="2414" spans="135:177" x14ac:dyDescent="0.35">
      <c r="EE2414" s="451">
        <v>39454</v>
      </c>
      <c r="EF2414" s="62">
        <v>31.9</v>
      </c>
      <c r="EG2414" s="62">
        <v>1416.1800539999999</v>
      </c>
      <c r="FU2414" s="451"/>
    </row>
    <row r="2415" spans="135:177" x14ac:dyDescent="0.35">
      <c r="EE2415" s="451">
        <v>39451</v>
      </c>
      <c r="EF2415" s="62">
        <v>31.96</v>
      </c>
      <c r="EG2415" s="62">
        <v>1411.630005</v>
      </c>
      <c r="FU2415" s="451"/>
    </row>
    <row r="2416" spans="135:177" x14ac:dyDescent="0.35">
      <c r="EE2416" s="451">
        <v>39450</v>
      </c>
      <c r="EF2416" s="62">
        <v>31.52</v>
      </c>
      <c r="EG2416" s="62">
        <v>1447.160034</v>
      </c>
      <c r="FU2416" s="451"/>
    </row>
    <row r="2417" spans="135:177" x14ac:dyDescent="0.35">
      <c r="EE2417" s="451">
        <v>39449</v>
      </c>
      <c r="EF2417" s="62">
        <v>34.78</v>
      </c>
      <c r="EG2417" s="62">
        <v>1447.160034</v>
      </c>
      <c r="FU2417" s="451"/>
    </row>
    <row r="2418" spans="135:177" x14ac:dyDescent="0.35">
      <c r="EE2418" s="451">
        <v>39447</v>
      </c>
      <c r="EF2418" s="62">
        <v>35.82</v>
      </c>
      <c r="EG2418" s="62">
        <v>1468.3599850000001</v>
      </c>
      <c r="FU2418" s="451"/>
    </row>
    <row r="2419" spans="135:177" x14ac:dyDescent="0.35">
      <c r="EE2419" s="451">
        <v>39444</v>
      </c>
      <c r="EF2419" s="62">
        <v>36.24</v>
      </c>
      <c r="EG2419" s="62">
        <v>1478.48999</v>
      </c>
      <c r="FU2419" s="451"/>
    </row>
    <row r="2420" spans="135:177" x14ac:dyDescent="0.35">
      <c r="EE2420" s="451">
        <v>39443</v>
      </c>
      <c r="EF2420" s="62">
        <v>36.130000000000003</v>
      </c>
      <c r="EG2420" s="62">
        <v>1476.2700199999999</v>
      </c>
      <c r="FU2420" s="451"/>
    </row>
    <row r="2421" spans="135:177" x14ac:dyDescent="0.35">
      <c r="EE2421" s="451">
        <v>39442</v>
      </c>
      <c r="EF2421" s="62">
        <v>36.57</v>
      </c>
      <c r="EG2421" s="62">
        <v>1497.660034</v>
      </c>
      <c r="FU2421" s="451"/>
    </row>
    <row r="2422" spans="135:177" x14ac:dyDescent="0.35">
      <c r="EE2422" s="451">
        <v>39440</v>
      </c>
      <c r="EF2422" s="62">
        <v>36.369999999999997</v>
      </c>
      <c r="EG2422" s="62">
        <v>1496.4499510000001</v>
      </c>
      <c r="FU2422" s="451"/>
    </row>
    <row r="2423" spans="135:177" x14ac:dyDescent="0.35">
      <c r="EE2423" s="451">
        <v>39437</v>
      </c>
      <c r="EF2423" s="62">
        <v>35.06</v>
      </c>
      <c r="EG2423" s="62">
        <v>1484.459961</v>
      </c>
      <c r="FU2423" s="451"/>
    </row>
    <row r="2424" spans="135:177" x14ac:dyDescent="0.35">
      <c r="EE2424" s="451">
        <v>39436</v>
      </c>
      <c r="EF2424" s="62">
        <v>35.33</v>
      </c>
      <c r="EG2424" s="62">
        <v>1460.119995</v>
      </c>
      <c r="FU2424" s="451"/>
    </row>
    <row r="2425" spans="135:177" x14ac:dyDescent="0.35">
      <c r="EE2425" s="451">
        <v>39435</v>
      </c>
      <c r="EF2425" s="62">
        <v>35.47</v>
      </c>
      <c r="EG2425" s="62">
        <v>1453</v>
      </c>
      <c r="FU2425" s="451"/>
    </row>
    <row r="2426" spans="135:177" x14ac:dyDescent="0.35">
      <c r="EE2426" s="451">
        <v>39434</v>
      </c>
      <c r="EF2426" s="62">
        <v>36.909999999999997</v>
      </c>
      <c r="EG2426" s="62">
        <v>1454.9799800000001</v>
      </c>
      <c r="FU2426" s="451"/>
    </row>
    <row r="2427" spans="135:177" x14ac:dyDescent="0.35">
      <c r="EE2427" s="451">
        <v>39433</v>
      </c>
      <c r="EF2427" s="62">
        <v>36.1</v>
      </c>
      <c r="EG2427" s="62">
        <v>1445.900024</v>
      </c>
      <c r="FU2427" s="451"/>
    </row>
    <row r="2428" spans="135:177" x14ac:dyDescent="0.35">
      <c r="EE2428" s="451">
        <v>39430</v>
      </c>
      <c r="EF2428" s="62">
        <v>36.43</v>
      </c>
      <c r="EG2428" s="62">
        <v>1467.9499510000001</v>
      </c>
      <c r="FU2428" s="451"/>
    </row>
    <row r="2429" spans="135:177" x14ac:dyDescent="0.35">
      <c r="EE2429" s="451">
        <v>39429</v>
      </c>
      <c r="EF2429" s="62">
        <v>37.75</v>
      </c>
      <c r="EG2429" s="62">
        <v>1488.410034</v>
      </c>
      <c r="FU2429" s="451"/>
    </row>
    <row r="2430" spans="135:177" x14ac:dyDescent="0.35">
      <c r="EE2430" s="451">
        <v>39428</v>
      </c>
      <c r="EF2430" s="62">
        <v>38.64</v>
      </c>
      <c r="EG2430" s="62">
        <v>1486.589966</v>
      </c>
      <c r="FU2430" s="451"/>
    </row>
    <row r="2431" spans="135:177" x14ac:dyDescent="0.35">
      <c r="EE2431" s="451">
        <v>39427</v>
      </c>
      <c r="EF2431" s="62">
        <v>39.79</v>
      </c>
      <c r="EG2431" s="62">
        <v>1477.650024</v>
      </c>
      <c r="FU2431" s="451"/>
    </row>
    <row r="2432" spans="135:177" x14ac:dyDescent="0.35">
      <c r="EE2432" s="451">
        <v>39426</v>
      </c>
      <c r="EF2432" s="62">
        <v>41.09</v>
      </c>
      <c r="EG2432" s="62">
        <v>1515.959961</v>
      </c>
      <c r="FU2432" s="451"/>
    </row>
    <row r="2433" spans="135:177" x14ac:dyDescent="0.35">
      <c r="EE2433" s="451">
        <v>39423</v>
      </c>
      <c r="EF2433" s="62">
        <v>40.94</v>
      </c>
      <c r="EG2433" s="62">
        <v>1504.660034</v>
      </c>
      <c r="FU2433" s="451"/>
    </row>
    <row r="2434" spans="135:177" x14ac:dyDescent="0.35">
      <c r="EE2434" s="451">
        <v>39422</v>
      </c>
      <c r="EF2434" s="62">
        <v>40.200000000000003</v>
      </c>
      <c r="EG2434" s="62">
        <v>1507.339966</v>
      </c>
      <c r="FU2434" s="451"/>
    </row>
    <row r="2435" spans="135:177" x14ac:dyDescent="0.35">
      <c r="EE2435" s="451">
        <v>39421</v>
      </c>
      <c r="EF2435" s="62">
        <v>37.83</v>
      </c>
      <c r="EG2435" s="62">
        <v>1485.01001</v>
      </c>
      <c r="FU2435" s="451"/>
    </row>
    <row r="2436" spans="135:177" x14ac:dyDescent="0.35">
      <c r="EE2436" s="451">
        <v>39420</v>
      </c>
      <c r="EF2436" s="62">
        <v>38.92</v>
      </c>
      <c r="EG2436" s="62">
        <v>1462.790039</v>
      </c>
      <c r="FU2436" s="451"/>
    </row>
    <row r="2437" spans="135:177" x14ac:dyDescent="0.35">
      <c r="EE2437" s="451">
        <v>39419</v>
      </c>
      <c r="EF2437" s="62">
        <v>38.92</v>
      </c>
      <c r="EG2437" s="62">
        <v>1472.420044</v>
      </c>
      <c r="FU2437" s="451"/>
    </row>
    <row r="2438" spans="135:177" x14ac:dyDescent="0.35">
      <c r="EE2438" s="451">
        <v>39416</v>
      </c>
      <c r="EF2438" s="62">
        <v>40.07</v>
      </c>
      <c r="EG2438" s="62">
        <v>1481.1400149999999</v>
      </c>
      <c r="FU2438" s="451"/>
    </row>
    <row r="2439" spans="135:177" x14ac:dyDescent="0.35">
      <c r="EE2439" s="451">
        <v>39415</v>
      </c>
      <c r="EF2439" s="62">
        <v>39.47</v>
      </c>
      <c r="EG2439" s="62">
        <v>1469.719971</v>
      </c>
      <c r="FU2439" s="451"/>
    </row>
    <row r="2440" spans="135:177" x14ac:dyDescent="0.35">
      <c r="EE2440" s="451">
        <v>39414</v>
      </c>
      <c r="EF2440" s="62">
        <v>38.01</v>
      </c>
      <c r="EG2440" s="62">
        <v>1469.0200199999999</v>
      </c>
      <c r="FU2440" s="451"/>
    </row>
    <row r="2441" spans="135:177" x14ac:dyDescent="0.35">
      <c r="EE2441" s="451">
        <v>39413</v>
      </c>
      <c r="EF2441" s="62">
        <v>35.51</v>
      </c>
      <c r="EG2441" s="62">
        <v>1428.2299800000001</v>
      </c>
      <c r="FU2441" s="451"/>
    </row>
    <row r="2442" spans="135:177" x14ac:dyDescent="0.35">
      <c r="EE2442" s="451">
        <v>39412</v>
      </c>
      <c r="EF2442" s="62">
        <v>35.29</v>
      </c>
      <c r="EG2442" s="62">
        <v>1407.219971</v>
      </c>
      <c r="FU2442" s="451"/>
    </row>
    <row r="2443" spans="135:177" x14ac:dyDescent="0.35">
      <c r="EE2443" s="451">
        <v>39409</v>
      </c>
      <c r="EF2443" s="62">
        <v>35.090000000000003</v>
      </c>
      <c r="EG2443" s="62">
        <v>1440.6999510000001</v>
      </c>
      <c r="FU2443" s="451"/>
    </row>
    <row r="2444" spans="135:177" x14ac:dyDescent="0.35">
      <c r="EE2444" s="451">
        <v>39407</v>
      </c>
      <c r="EF2444" s="62">
        <v>34.270000000000003</v>
      </c>
      <c r="EG2444" s="62">
        <v>1416.7700199999999</v>
      </c>
      <c r="FU2444" s="451"/>
    </row>
    <row r="2445" spans="135:177" x14ac:dyDescent="0.35">
      <c r="EE2445" s="451">
        <v>39406</v>
      </c>
      <c r="EF2445" s="62">
        <v>34.64</v>
      </c>
      <c r="EG2445" s="62">
        <v>1439.6999510000001</v>
      </c>
      <c r="FU2445" s="451"/>
    </row>
    <row r="2446" spans="135:177" x14ac:dyDescent="0.35">
      <c r="EE2446" s="451">
        <v>39405</v>
      </c>
      <c r="EF2446" s="62">
        <v>35.909999999999997</v>
      </c>
      <c r="EG2446" s="62">
        <v>1433.2700199999999</v>
      </c>
      <c r="FU2446" s="451"/>
    </row>
    <row r="2447" spans="135:177" x14ac:dyDescent="0.35">
      <c r="EE2447" s="451">
        <v>39402</v>
      </c>
      <c r="EF2447" s="62">
        <v>37.01</v>
      </c>
      <c r="EG2447" s="62">
        <v>1458.73999</v>
      </c>
      <c r="FU2447" s="451"/>
    </row>
    <row r="2448" spans="135:177" x14ac:dyDescent="0.35">
      <c r="EE2448" s="451">
        <v>39401</v>
      </c>
      <c r="EF2448" s="62">
        <v>37.11</v>
      </c>
      <c r="EG2448" s="62">
        <v>1451.150024</v>
      </c>
      <c r="FU2448" s="451"/>
    </row>
    <row r="2449" spans="135:177" x14ac:dyDescent="0.35">
      <c r="EE2449" s="451">
        <v>39400</v>
      </c>
      <c r="EF2449" s="62">
        <v>37.14</v>
      </c>
      <c r="EG2449" s="62">
        <v>1470.579956</v>
      </c>
      <c r="FU2449" s="451"/>
    </row>
    <row r="2450" spans="135:177" x14ac:dyDescent="0.35">
      <c r="EE2450" s="451">
        <v>39399</v>
      </c>
      <c r="EF2450" s="62">
        <v>37.85</v>
      </c>
      <c r="EG2450" s="62">
        <v>1481.0500489999999</v>
      </c>
      <c r="FU2450" s="451"/>
    </row>
    <row r="2451" spans="135:177" x14ac:dyDescent="0.35">
      <c r="EE2451" s="451">
        <v>39398</v>
      </c>
      <c r="EF2451" s="62">
        <v>36.96</v>
      </c>
      <c r="EG2451" s="62">
        <v>1439.1800539999999</v>
      </c>
      <c r="FU2451" s="451"/>
    </row>
    <row r="2452" spans="135:177" x14ac:dyDescent="0.35">
      <c r="EE2452" s="451">
        <v>39395</v>
      </c>
      <c r="EF2452" s="62">
        <v>36.619999999999997</v>
      </c>
      <c r="EG2452" s="62">
        <v>1453.6999510000001</v>
      </c>
      <c r="FU2452" s="451"/>
    </row>
    <row r="2453" spans="135:177" x14ac:dyDescent="0.35">
      <c r="EE2453" s="451">
        <v>39394</v>
      </c>
      <c r="EF2453" s="62">
        <v>37.479900000000001</v>
      </c>
      <c r="EG2453" s="62">
        <v>1474.7700199999999</v>
      </c>
      <c r="FU2453" s="451"/>
    </row>
    <row r="2454" spans="135:177" x14ac:dyDescent="0.35">
      <c r="EE2454" s="451">
        <v>39393</v>
      </c>
      <c r="EF2454" s="62">
        <v>37.19</v>
      </c>
      <c r="EG2454" s="62">
        <v>1475.619995</v>
      </c>
      <c r="FU2454" s="451"/>
    </row>
    <row r="2455" spans="135:177" x14ac:dyDescent="0.35">
      <c r="EE2455" s="451">
        <v>39392</v>
      </c>
      <c r="EF2455" s="62">
        <v>37.25</v>
      </c>
      <c r="EG2455" s="62">
        <v>1520.2700199999999</v>
      </c>
      <c r="FU2455" s="451"/>
    </row>
    <row r="2456" spans="135:177" x14ac:dyDescent="0.35">
      <c r="EE2456" s="451">
        <v>39391</v>
      </c>
      <c r="EF2456" s="62">
        <v>37.89</v>
      </c>
      <c r="EG2456" s="62">
        <v>1502.170044</v>
      </c>
      <c r="FU2456" s="451"/>
    </row>
    <row r="2457" spans="135:177" x14ac:dyDescent="0.35">
      <c r="EE2457" s="451">
        <v>39388</v>
      </c>
      <c r="EF2457" s="62">
        <v>38.21</v>
      </c>
      <c r="EG2457" s="62">
        <v>1509.650024</v>
      </c>
      <c r="FU2457" s="451"/>
    </row>
    <row r="2458" spans="135:177" x14ac:dyDescent="0.35">
      <c r="EE2458" s="451">
        <v>39387</v>
      </c>
      <c r="EF2458" s="62">
        <v>39.28</v>
      </c>
      <c r="EG2458" s="62">
        <v>1508.4399410000001</v>
      </c>
      <c r="FU2458" s="451"/>
    </row>
    <row r="2459" spans="135:177" x14ac:dyDescent="0.35">
      <c r="EE2459" s="451">
        <v>39386</v>
      </c>
      <c r="EF2459" s="62">
        <v>40.99</v>
      </c>
      <c r="EG2459" s="62">
        <v>1549.380005</v>
      </c>
      <c r="FU2459" s="451"/>
    </row>
    <row r="2460" spans="135:177" x14ac:dyDescent="0.35">
      <c r="EE2460" s="451">
        <v>39385</v>
      </c>
      <c r="EF2460" s="62">
        <v>40.729999999999997</v>
      </c>
      <c r="EG2460" s="62">
        <v>1531.0200199999999</v>
      </c>
      <c r="FU2460" s="451"/>
    </row>
    <row r="2461" spans="135:177" x14ac:dyDescent="0.35">
      <c r="EE2461" s="451">
        <v>39384</v>
      </c>
      <c r="EF2461" s="62">
        <v>41.01</v>
      </c>
      <c r="EG2461" s="62">
        <v>1540.9799800000001</v>
      </c>
      <c r="FU2461" s="451"/>
    </row>
    <row r="2462" spans="135:177" x14ac:dyDescent="0.35">
      <c r="EE2462" s="451">
        <v>39381</v>
      </c>
      <c r="EF2462" s="62">
        <v>41.05</v>
      </c>
      <c r="EG2462" s="62">
        <v>1535.280029</v>
      </c>
      <c r="FU2462" s="451"/>
    </row>
    <row r="2463" spans="135:177" x14ac:dyDescent="0.35">
      <c r="EE2463" s="451">
        <v>39380</v>
      </c>
      <c r="EF2463" s="62">
        <v>41.66</v>
      </c>
      <c r="EG2463" s="62">
        <v>1514.400024</v>
      </c>
      <c r="FU2463" s="451"/>
    </row>
    <row r="2464" spans="135:177" x14ac:dyDescent="0.35">
      <c r="EE2464" s="451">
        <v>39379</v>
      </c>
      <c r="EF2464" s="62">
        <v>43.61</v>
      </c>
      <c r="EG2464" s="62">
        <v>1515.880005</v>
      </c>
      <c r="FU2464" s="451"/>
    </row>
    <row r="2465" spans="135:177" x14ac:dyDescent="0.35">
      <c r="EE2465" s="451">
        <v>39378</v>
      </c>
      <c r="EF2465" s="62">
        <v>48.81</v>
      </c>
      <c r="EG2465" s="62">
        <v>1519.589966</v>
      </c>
      <c r="FU2465" s="451"/>
    </row>
    <row r="2466" spans="135:177" x14ac:dyDescent="0.35">
      <c r="EE2466" s="451">
        <v>39377</v>
      </c>
      <c r="EF2466" s="62">
        <v>47.2</v>
      </c>
      <c r="EG2466" s="62">
        <v>1506.329956</v>
      </c>
      <c r="FU2466" s="451"/>
    </row>
    <row r="2467" spans="135:177" x14ac:dyDescent="0.35">
      <c r="EE2467" s="451">
        <v>39374</v>
      </c>
      <c r="EF2467" s="62">
        <v>46.85</v>
      </c>
      <c r="EG2467" s="62">
        <v>1500.630005</v>
      </c>
      <c r="FU2467" s="451"/>
    </row>
    <row r="2468" spans="135:177" x14ac:dyDescent="0.35">
      <c r="EE2468" s="451">
        <v>39373</v>
      </c>
      <c r="EF2468" s="62">
        <v>47.82</v>
      </c>
      <c r="EG2468" s="62">
        <v>1540.079956</v>
      </c>
      <c r="FU2468" s="451"/>
    </row>
    <row r="2469" spans="135:177" x14ac:dyDescent="0.35">
      <c r="EE2469" s="451">
        <v>39372</v>
      </c>
      <c r="EF2469" s="62">
        <v>48.57</v>
      </c>
      <c r="EG2469" s="62">
        <v>1541.23999</v>
      </c>
      <c r="FU2469" s="451"/>
    </row>
    <row r="2470" spans="135:177" x14ac:dyDescent="0.35">
      <c r="EE2470" s="451">
        <v>39371</v>
      </c>
      <c r="EF2470" s="62">
        <v>48.12</v>
      </c>
      <c r="EG2470" s="62">
        <v>1538.530029</v>
      </c>
      <c r="FU2470" s="451"/>
    </row>
    <row r="2471" spans="135:177" x14ac:dyDescent="0.35">
      <c r="EE2471" s="451">
        <v>39370</v>
      </c>
      <c r="EF2471" s="62">
        <v>47.57</v>
      </c>
      <c r="EG2471" s="62">
        <v>1548.709961</v>
      </c>
      <c r="FU2471" s="451"/>
    </row>
    <row r="2472" spans="135:177" x14ac:dyDescent="0.35">
      <c r="EE2472" s="451">
        <v>39367</v>
      </c>
      <c r="EF2472" s="62">
        <v>47.77</v>
      </c>
      <c r="EG2472" s="62">
        <v>1561.8000489999999</v>
      </c>
      <c r="FU2472" s="451"/>
    </row>
    <row r="2473" spans="135:177" x14ac:dyDescent="0.35">
      <c r="EE2473" s="451">
        <v>39366</v>
      </c>
      <c r="EF2473" s="62">
        <v>48.66</v>
      </c>
      <c r="EG2473" s="62">
        <v>1554.410034</v>
      </c>
      <c r="FU2473" s="451"/>
    </row>
    <row r="2474" spans="135:177" x14ac:dyDescent="0.35">
      <c r="EE2474" s="451">
        <v>39365</v>
      </c>
      <c r="EF2474" s="62">
        <v>48.95</v>
      </c>
      <c r="EG2474" s="62">
        <v>1562.469971</v>
      </c>
      <c r="FU2474" s="451"/>
    </row>
    <row r="2475" spans="135:177" x14ac:dyDescent="0.35">
      <c r="EE2475" s="451">
        <v>39364</v>
      </c>
      <c r="EF2475" s="62">
        <v>48.19</v>
      </c>
      <c r="EG2475" s="62">
        <v>1565.150024</v>
      </c>
      <c r="FU2475" s="451"/>
    </row>
    <row r="2476" spans="135:177" x14ac:dyDescent="0.35">
      <c r="EE2476" s="451">
        <v>39363</v>
      </c>
      <c r="EF2476" s="62">
        <v>47.62</v>
      </c>
      <c r="EG2476" s="62">
        <v>1552.579956</v>
      </c>
      <c r="FU2476" s="451"/>
    </row>
    <row r="2477" spans="135:177" x14ac:dyDescent="0.35">
      <c r="EE2477" s="451">
        <v>39360</v>
      </c>
      <c r="EF2477" s="62">
        <v>48.11</v>
      </c>
      <c r="EG2477" s="62">
        <v>1557.589966</v>
      </c>
      <c r="FU2477" s="451"/>
    </row>
    <row r="2478" spans="135:177" x14ac:dyDescent="0.35">
      <c r="EE2478" s="451">
        <v>39359</v>
      </c>
      <c r="EF2478" s="62">
        <v>47.27</v>
      </c>
      <c r="EG2478" s="62">
        <v>1542.839966</v>
      </c>
      <c r="FU2478" s="451"/>
    </row>
    <row r="2479" spans="135:177" x14ac:dyDescent="0.35">
      <c r="EE2479" s="451">
        <v>39358</v>
      </c>
      <c r="EF2479" s="62">
        <v>46.57</v>
      </c>
      <c r="EG2479" s="62">
        <v>1539.589966</v>
      </c>
      <c r="FU2479" s="451"/>
    </row>
    <row r="2480" spans="135:177" x14ac:dyDescent="0.35">
      <c r="EE2480" s="451">
        <v>39357</v>
      </c>
      <c r="EF2480" s="62">
        <v>43.12</v>
      </c>
      <c r="EG2480" s="62">
        <v>1546.630005</v>
      </c>
      <c r="FU2480" s="451"/>
    </row>
    <row r="2481" spans="135:177" x14ac:dyDescent="0.35">
      <c r="EE2481" s="451">
        <v>39356</v>
      </c>
      <c r="EF2481" s="62">
        <v>42.19</v>
      </c>
      <c r="EG2481" s="62">
        <v>1547.040039</v>
      </c>
      <c r="FU2481" s="451"/>
    </row>
    <row r="2482" spans="135:177" x14ac:dyDescent="0.35">
      <c r="EE2482" s="451">
        <v>39353</v>
      </c>
      <c r="EF2482" s="62">
        <v>40.799999999999997</v>
      </c>
      <c r="EG2482" s="62">
        <v>1526.75</v>
      </c>
      <c r="FU2482" s="451"/>
    </row>
    <row r="2483" spans="135:177" x14ac:dyDescent="0.35">
      <c r="EE2483" s="451">
        <v>39352</v>
      </c>
      <c r="EF2483" s="62">
        <v>41.56</v>
      </c>
      <c r="EG2483" s="62">
        <v>1531.380005</v>
      </c>
      <c r="FU2483" s="451"/>
    </row>
    <row r="2484" spans="135:177" x14ac:dyDescent="0.35">
      <c r="EE2484" s="451">
        <v>39351</v>
      </c>
      <c r="EF2484" s="62">
        <v>41.36</v>
      </c>
      <c r="EG2484" s="62">
        <v>1525.420044</v>
      </c>
      <c r="FU2484" s="451"/>
    </row>
    <row r="2485" spans="135:177" x14ac:dyDescent="0.35">
      <c r="EE2485" s="451">
        <v>39350</v>
      </c>
      <c r="EF2485" s="62">
        <v>40.590000000000003</v>
      </c>
      <c r="EG2485" s="62">
        <v>1517.209961</v>
      </c>
      <c r="FU2485" s="451"/>
    </row>
    <row r="2486" spans="135:177" x14ac:dyDescent="0.35">
      <c r="EE2486" s="451">
        <v>39349</v>
      </c>
      <c r="EF2486" s="62">
        <v>43</v>
      </c>
      <c r="EG2486" s="62">
        <v>1517.7299800000001</v>
      </c>
      <c r="FU2486" s="451"/>
    </row>
    <row r="2487" spans="135:177" x14ac:dyDescent="0.35">
      <c r="EE2487" s="451">
        <v>39346</v>
      </c>
      <c r="EF2487" s="62">
        <v>43.28</v>
      </c>
      <c r="EG2487" s="62">
        <v>1525.75</v>
      </c>
      <c r="FU2487" s="451"/>
    </row>
    <row r="2488" spans="135:177" x14ac:dyDescent="0.35">
      <c r="EE2488" s="451">
        <v>39345</v>
      </c>
      <c r="EF2488" s="62">
        <v>43.26</v>
      </c>
      <c r="EG2488" s="62">
        <v>1518.75</v>
      </c>
      <c r="FU2488" s="451"/>
    </row>
    <row r="2489" spans="135:177" x14ac:dyDescent="0.35">
      <c r="EE2489" s="451">
        <v>39344</v>
      </c>
      <c r="EF2489" s="62">
        <v>44.48</v>
      </c>
      <c r="EG2489" s="62">
        <v>1529.030029</v>
      </c>
      <c r="FU2489" s="451"/>
    </row>
    <row r="2490" spans="135:177" x14ac:dyDescent="0.35">
      <c r="EE2490" s="451">
        <v>39343</v>
      </c>
      <c r="EF2490" s="62">
        <v>44.39</v>
      </c>
      <c r="EG2490" s="62">
        <v>1519.780029</v>
      </c>
      <c r="FU2490" s="451"/>
    </row>
    <row r="2491" spans="135:177" x14ac:dyDescent="0.35">
      <c r="EE2491" s="451">
        <v>39342</v>
      </c>
      <c r="EF2491" s="62">
        <v>43.87</v>
      </c>
      <c r="EG2491" s="62">
        <v>1476.650024</v>
      </c>
      <c r="FU2491" s="451"/>
    </row>
    <row r="2492" spans="135:177" x14ac:dyDescent="0.35">
      <c r="EE2492" s="451">
        <v>39339</v>
      </c>
      <c r="EF2492" s="62">
        <v>44.53</v>
      </c>
      <c r="EG2492" s="62">
        <v>1484.25</v>
      </c>
      <c r="FU2492" s="451"/>
    </row>
    <row r="2493" spans="135:177" x14ac:dyDescent="0.35">
      <c r="EE2493" s="451">
        <v>39338</v>
      </c>
      <c r="EF2493" s="62">
        <v>43.93</v>
      </c>
      <c r="EG2493" s="62">
        <v>1483.9499510000001</v>
      </c>
      <c r="FU2493" s="451"/>
    </row>
    <row r="2494" spans="135:177" x14ac:dyDescent="0.35">
      <c r="EE2494" s="451">
        <v>39337</v>
      </c>
      <c r="EF2494" s="62">
        <v>43.08</v>
      </c>
      <c r="EG2494" s="62">
        <v>1471.5600589999999</v>
      </c>
      <c r="FU2494" s="451"/>
    </row>
    <row r="2495" spans="135:177" x14ac:dyDescent="0.35">
      <c r="EE2495" s="451">
        <v>39336</v>
      </c>
      <c r="EF2495" s="62">
        <v>43.4</v>
      </c>
      <c r="EG2495" s="62">
        <v>1471.48999</v>
      </c>
      <c r="FU2495" s="451"/>
    </row>
    <row r="2496" spans="135:177" x14ac:dyDescent="0.35">
      <c r="EE2496" s="451">
        <v>39335</v>
      </c>
      <c r="EF2496" s="62">
        <v>43.1</v>
      </c>
      <c r="EG2496" s="62">
        <v>1451.6999510000001</v>
      </c>
      <c r="FU2496" s="451"/>
    </row>
    <row r="2497" spans="135:177" x14ac:dyDescent="0.35">
      <c r="EE2497" s="451">
        <v>39332</v>
      </c>
      <c r="EF2497" s="62">
        <v>44.13</v>
      </c>
      <c r="EG2497" s="62">
        <v>1453.5500489999999</v>
      </c>
      <c r="FU2497" s="451"/>
    </row>
    <row r="2498" spans="135:177" x14ac:dyDescent="0.35">
      <c r="EE2498" s="451">
        <v>39331</v>
      </c>
      <c r="EF2498" s="62">
        <v>44.46</v>
      </c>
      <c r="EG2498" s="62">
        <v>1478.5500489999999</v>
      </c>
      <c r="FU2498" s="451"/>
    </row>
    <row r="2499" spans="135:177" x14ac:dyDescent="0.35">
      <c r="EE2499" s="451">
        <v>39330</v>
      </c>
      <c r="EF2499" s="62">
        <v>43.24</v>
      </c>
      <c r="EG2499" s="62">
        <v>1472.290039</v>
      </c>
      <c r="FU2499" s="451"/>
    </row>
    <row r="2500" spans="135:177" x14ac:dyDescent="0.35">
      <c r="EE2500" s="451">
        <v>39329</v>
      </c>
      <c r="EF2500" s="62">
        <v>43.59</v>
      </c>
      <c r="EG2500" s="62">
        <v>1489.420044</v>
      </c>
      <c r="FU2500" s="451"/>
    </row>
    <row r="2501" spans="135:177" x14ac:dyDescent="0.35">
      <c r="EE2501" s="451">
        <v>39325</v>
      </c>
      <c r="EF2501" s="62">
        <v>43.74</v>
      </c>
      <c r="EG2501" s="62">
        <v>1473.98999</v>
      </c>
      <c r="FU2501" s="451"/>
    </row>
    <row r="2502" spans="135:177" x14ac:dyDescent="0.35">
      <c r="EE2502" s="451">
        <v>39324</v>
      </c>
      <c r="EF2502" s="62">
        <v>42.96</v>
      </c>
      <c r="EG2502" s="62">
        <v>1457.6400149999999</v>
      </c>
      <c r="FU2502" s="451"/>
    </row>
    <row r="2503" spans="135:177" x14ac:dyDescent="0.35">
      <c r="EE2503" s="451">
        <v>39323</v>
      </c>
      <c r="EF2503" s="62">
        <v>43.21</v>
      </c>
      <c r="EG2503" s="62">
        <v>1463.76001</v>
      </c>
      <c r="FU2503" s="451"/>
    </row>
    <row r="2504" spans="135:177" x14ac:dyDescent="0.35">
      <c r="EE2504" s="451">
        <v>39322</v>
      </c>
      <c r="EF2504" s="62">
        <v>42.8</v>
      </c>
      <c r="EG2504" s="62">
        <v>1432.3599850000001</v>
      </c>
      <c r="FU2504" s="451"/>
    </row>
    <row r="2505" spans="135:177" x14ac:dyDescent="0.35">
      <c r="EE2505" s="451">
        <v>39321</v>
      </c>
      <c r="EF2505" s="62">
        <v>43.69</v>
      </c>
      <c r="EG2505" s="62">
        <v>1466.790039</v>
      </c>
      <c r="FU2505" s="451"/>
    </row>
    <row r="2506" spans="135:177" x14ac:dyDescent="0.35">
      <c r="EE2506" s="451">
        <v>39318</v>
      </c>
      <c r="EF2506" s="62">
        <v>44.59</v>
      </c>
      <c r="EG2506" s="62">
        <v>1479.369995</v>
      </c>
      <c r="FU2506" s="451"/>
    </row>
    <row r="2507" spans="135:177" x14ac:dyDescent="0.35">
      <c r="EE2507" s="451">
        <v>39317</v>
      </c>
      <c r="EF2507" s="62">
        <v>44.39</v>
      </c>
      <c r="EG2507" s="62">
        <v>1462.5</v>
      </c>
      <c r="FU2507" s="451"/>
    </row>
    <row r="2508" spans="135:177" x14ac:dyDescent="0.35">
      <c r="EE2508" s="451">
        <v>39316</v>
      </c>
      <c r="EF2508" s="62">
        <v>45.04</v>
      </c>
      <c r="EG2508" s="62">
        <v>1464.0699460000001</v>
      </c>
      <c r="FU2508" s="451"/>
    </row>
    <row r="2509" spans="135:177" x14ac:dyDescent="0.35">
      <c r="EE2509" s="451">
        <v>39315</v>
      </c>
      <c r="EF2509" s="62">
        <v>44.65</v>
      </c>
      <c r="EG2509" s="62">
        <v>1447.119995</v>
      </c>
      <c r="FU2509" s="451"/>
    </row>
    <row r="2510" spans="135:177" x14ac:dyDescent="0.35">
      <c r="EE2510" s="451">
        <v>39314</v>
      </c>
      <c r="EF2510" s="62">
        <v>45</v>
      </c>
      <c r="EG2510" s="62">
        <v>1445.5500489999999</v>
      </c>
      <c r="FU2510" s="451"/>
    </row>
    <row r="2511" spans="135:177" x14ac:dyDescent="0.35">
      <c r="EE2511" s="451">
        <v>39311</v>
      </c>
      <c r="EF2511" s="62">
        <v>45.23</v>
      </c>
      <c r="EG2511" s="62">
        <v>1445.9399410000001</v>
      </c>
      <c r="FU2511" s="451"/>
    </row>
    <row r="2512" spans="135:177" x14ac:dyDescent="0.35">
      <c r="EE2512" s="451">
        <v>39310</v>
      </c>
      <c r="EF2512" s="62">
        <v>43.91</v>
      </c>
      <c r="EG2512" s="62">
        <v>1411.2700199999999</v>
      </c>
      <c r="FU2512" s="451"/>
    </row>
    <row r="2513" spans="135:177" x14ac:dyDescent="0.35">
      <c r="EE2513" s="451">
        <v>39309</v>
      </c>
      <c r="EF2513" s="62">
        <v>43.54</v>
      </c>
      <c r="EG2513" s="62">
        <v>1406.6999510000001</v>
      </c>
      <c r="FU2513" s="451"/>
    </row>
    <row r="2514" spans="135:177" x14ac:dyDescent="0.35">
      <c r="EE2514" s="451">
        <v>39308</v>
      </c>
      <c r="EF2514" s="62">
        <v>44.36</v>
      </c>
      <c r="EG2514" s="62">
        <v>1426.540039</v>
      </c>
      <c r="FU2514" s="451"/>
    </row>
    <row r="2515" spans="135:177" x14ac:dyDescent="0.35">
      <c r="EE2515" s="451">
        <v>39307</v>
      </c>
      <c r="EF2515" s="62">
        <v>44.1</v>
      </c>
      <c r="EG2515" s="62">
        <v>1452.920044</v>
      </c>
      <c r="FU2515" s="451"/>
    </row>
    <row r="2516" spans="135:177" x14ac:dyDescent="0.35">
      <c r="EE2516" s="451">
        <v>39304</v>
      </c>
      <c r="EF2516" s="62">
        <v>43.31</v>
      </c>
      <c r="EG2516" s="62">
        <v>1453.6400149999999</v>
      </c>
      <c r="FU2516" s="451"/>
    </row>
    <row r="2517" spans="135:177" x14ac:dyDescent="0.35">
      <c r="EE2517" s="451">
        <v>39303</v>
      </c>
      <c r="EF2517" s="62">
        <v>46.37</v>
      </c>
      <c r="EG2517" s="62">
        <v>1453.089966</v>
      </c>
      <c r="FU2517" s="451"/>
    </row>
    <row r="2518" spans="135:177" x14ac:dyDescent="0.35">
      <c r="EE2518" s="451">
        <v>39302</v>
      </c>
      <c r="EF2518" s="62">
        <v>47.19</v>
      </c>
      <c r="EG2518" s="62">
        <v>1497.48999</v>
      </c>
      <c r="FU2518" s="451"/>
    </row>
    <row r="2519" spans="135:177" x14ac:dyDescent="0.35">
      <c r="EE2519" s="451">
        <v>39301</v>
      </c>
      <c r="EF2519" s="62">
        <v>45.56</v>
      </c>
      <c r="EG2519" s="62">
        <v>1476.709961</v>
      </c>
      <c r="FU2519" s="451"/>
    </row>
    <row r="2520" spans="135:177" x14ac:dyDescent="0.35">
      <c r="EE2520" s="451">
        <v>39300</v>
      </c>
      <c r="EF2520" s="62">
        <v>43.04</v>
      </c>
      <c r="EG2520" s="62">
        <v>1467.670044</v>
      </c>
      <c r="FU2520" s="451"/>
    </row>
    <row r="2521" spans="135:177" x14ac:dyDescent="0.35">
      <c r="EE2521" s="451">
        <v>39297</v>
      </c>
      <c r="EF2521" s="62">
        <v>41.58</v>
      </c>
      <c r="EG2521" s="62">
        <v>1433.0600589999999</v>
      </c>
      <c r="FU2521" s="451"/>
    </row>
    <row r="2522" spans="135:177" x14ac:dyDescent="0.35">
      <c r="EE2522" s="451">
        <v>39296</v>
      </c>
      <c r="EF2522" s="62">
        <v>41</v>
      </c>
      <c r="EG2522" s="62">
        <v>1472.1999510000001</v>
      </c>
      <c r="FU2522" s="451"/>
    </row>
    <row r="2523" spans="135:177" x14ac:dyDescent="0.35">
      <c r="EE2523" s="451">
        <v>39295</v>
      </c>
      <c r="EF2523" s="62">
        <v>39.799999999999997</v>
      </c>
      <c r="EG2523" s="62">
        <v>1465.8100589999999</v>
      </c>
      <c r="FU2523" s="451"/>
    </row>
    <row r="2524" spans="135:177" x14ac:dyDescent="0.35">
      <c r="EE2524" s="451">
        <v>39294</v>
      </c>
      <c r="EF2524" s="62">
        <v>40.64</v>
      </c>
      <c r="EG2524" s="62">
        <v>1455.2700199999999</v>
      </c>
      <c r="FU2524" s="451"/>
    </row>
    <row r="2525" spans="135:177" x14ac:dyDescent="0.35">
      <c r="EE2525" s="451">
        <v>39293</v>
      </c>
      <c r="EF2525" s="62">
        <v>41.38</v>
      </c>
      <c r="EG2525" s="62">
        <v>1473.910034</v>
      </c>
      <c r="FU2525" s="451"/>
    </row>
    <row r="2526" spans="135:177" x14ac:dyDescent="0.35">
      <c r="EE2526" s="451">
        <v>39290</v>
      </c>
      <c r="EF2526" s="62">
        <v>39.79</v>
      </c>
      <c r="EG2526" s="62">
        <v>1458.9499510000001</v>
      </c>
      <c r="FU2526" s="451"/>
    </row>
    <row r="2527" spans="135:177" x14ac:dyDescent="0.35">
      <c r="EE2527" s="451">
        <v>39289</v>
      </c>
      <c r="EF2527" s="62">
        <v>40.58</v>
      </c>
      <c r="EG2527" s="62">
        <v>1482.660034</v>
      </c>
      <c r="FU2527" s="451"/>
    </row>
    <row r="2528" spans="135:177" x14ac:dyDescent="0.35">
      <c r="EE2528" s="451">
        <v>39288</v>
      </c>
      <c r="EF2528" s="62">
        <v>41.81</v>
      </c>
      <c r="EG2528" s="62">
        <v>1518.089966</v>
      </c>
      <c r="FU2528" s="451"/>
    </row>
    <row r="2529" spans="135:177" x14ac:dyDescent="0.35">
      <c r="EE2529" s="451">
        <v>39287</v>
      </c>
      <c r="EF2529" s="62">
        <v>45.979900000000001</v>
      </c>
      <c r="EG2529" s="62">
        <v>1511.040039</v>
      </c>
      <c r="FU2529" s="451"/>
    </row>
    <row r="2530" spans="135:177" x14ac:dyDescent="0.35">
      <c r="EE2530" s="451">
        <v>39286</v>
      </c>
      <c r="EF2530" s="62">
        <v>46.9</v>
      </c>
      <c r="EG2530" s="62">
        <v>1541.5699460000001</v>
      </c>
      <c r="FU2530" s="451"/>
    </row>
    <row r="2531" spans="135:177" x14ac:dyDescent="0.35">
      <c r="EE2531" s="451">
        <v>39283</v>
      </c>
      <c r="EF2531" s="62">
        <v>46.1</v>
      </c>
      <c r="EG2531" s="62">
        <v>1534.099976</v>
      </c>
      <c r="FU2531" s="451"/>
    </row>
    <row r="2532" spans="135:177" x14ac:dyDescent="0.35">
      <c r="EE2532" s="451">
        <v>39282</v>
      </c>
      <c r="EF2532" s="62">
        <v>46.45</v>
      </c>
      <c r="EG2532" s="62">
        <v>1553.079956</v>
      </c>
      <c r="FU2532" s="451"/>
    </row>
    <row r="2533" spans="135:177" x14ac:dyDescent="0.35">
      <c r="EE2533" s="451">
        <v>39281</v>
      </c>
      <c r="EF2533" s="62">
        <v>46.37</v>
      </c>
      <c r="EG2533" s="62">
        <v>1546.170044</v>
      </c>
      <c r="FU2533" s="451"/>
    </row>
    <row r="2534" spans="135:177" x14ac:dyDescent="0.35">
      <c r="FU2534" s="451"/>
    </row>
    <row r="2535" spans="135:177" x14ac:dyDescent="0.35">
      <c r="FU2535" s="451"/>
    </row>
    <row r="2536" spans="135:177" x14ac:dyDescent="0.35">
      <c r="FU2536" s="451"/>
    </row>
    <row r="2537" spans="135:177" x14ac:dyDescent="0.35">
      <c r="FU2537" s="451"/>
    </row>
    <row r="2538" spans="135:177" x14ac:dyDescent="0.35">
      <c r="FU2538" s="451"/>
    </row>
    <row r="2539" spans="135:177" x14ac:dyDescent="0.35">
      <c r="FU2539" s="451"/>
    </row>
    <row r="2540" spans="135:177" x14ac:dyDescent="0.35">
      <c r="FU2540" s="451"/>
    </row>
    <row r="2541" spans="135:177" x14ac:dyDescent="0.35">
      <c r="FU2541" s="451"/>
    </row>
    <row r="2542" spans="135:177" x14ac:dyDescent="0.35">
      <c r="FU2542" s="451"/>
    </row>
    <row r="2543" spans="135:177" x14ac:dyDescent="0.35">
      <c r="FU2543" s="451"/>
    </row>
    <row r="2544" spans="135:177" x14ac:dyDescent="0.35">
      <c r="FU2544" s="451"/>
    </row>
    <row r="1048576" spans="205:205" x14ac:dyDescent="0.35">
      <c r="GW1048576" s="921"/>
    </row>
  </sheetData>
  <sortState xmlns:xlrd2="http://schemas.microsoft.com/office/spreadsheetml/2017/richdata2" ref="C38:G50">
    <sortCondition descending="1" ref="F38:F50"/>
  </sortState>
  <hyperlinks>
    <hyperlink ref="AM3" r:id="rId1" location="s47186716E67F30320103B1558D4118B5" xr:uid="{00000000-0004-0000-0700-000000000000}"/>
    <hyperlink ref="T4" r:id="rId2" xr:uid="{00000000-0004-0000-0700-000001000000}"/>
    <hyperlink ref="AI3" r:id="rId3" xr:uid="{00000000-0004-0000-0700-000002000000}"/>
    <hyperlink ref="FC3" r:id="rId4" location="s47186716E67F30320103B1558D4118B5" xr:uid="{00000000-0004-0000-0700-000003000000}"/>
    <hyperlink ref="C4" r:id="rId5" location="data-table" xr:uid="{00000000-0004-0000-0700-000004000000}"/>
    <hyperlink ref="M4" r:id="rId6" location="data-table" xr:uid="{00000000-0004-0000-0700-000005000000}"/>
    <hyperlink ref="AB3" r:id="rId7" xr:uid="{00000000-0004-0000-0700-000006000000}"/>
    <hyperlink ref="EF3" r:id="rId8" xr:uid="{00000000-0004-0000-0700-000007000000}"/>
    <hyperlink ref="FJ3" r:id="rId9" xr:uid="{00000000-0004-0000-0700-000008000000}"/>
    <hyperlink ref="FQ3" r:id="rId10" xr:uid="{00000000-0004-0000-0700-000009000000}"/>
  </hyperlinks>
  <pageMargins left="0.7" right="0.7" top="0.75" bottom="0.75" header="0.3" footer="0.3"/>
  <pageSetup orientation="portrait" r:id="rId11"/>
  <ignoredErrors>
    <ignoredError sqref="AM8:AQ8" formulaRange="1"/>
    <ignoredError sqref="EP10:ES10" formula="1"/>
  </ignoredErrors>
  <drawing r:id="rId1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CG795"/>
  <sheetViews>
    <sheetView showGridLines="0" topLeftCell="A47" zoomScaleNormal="100" workbookViewId="0">
      <selection activeCell="C23" sqref="C23"/>
    </sheetView>
  </sheetViews>
  <sheetFormatPr baseColWidth="10" defaultColWidth="10.9140625" defaultRowHeight="15.5" x14ac:dyDescent="0.35"/>
  <cols>
    <col min="1" max="1" width="10.9140625" style="18"/>
    <col min="2" max="2" width="44.4140625" style="29" customWidth="1"/>
    <col min="3" max="4" width="18" style="18" bestFit="1" customWidth="1"/>
    <col min="5" max="5" width="19" style="18" bestFit="1" customWidth="1"/>
    <col min="6" max="16384" width="10.9140625" style="18"/>
  </cols>
  <sheetData>
    <row r="2" spans="1:5" x14ac:dyDescent="0.35">
      <c r="B2" s="18" t="s">
        <v>102</v>
      </c>
    </row>
    <row r="3" spans="1:5" x14ac:dyDescent="0.35">
      <c r="B3" s="18" t="s">
        <v>103</v>
      </c>
    </row>
    <row r="4" spans="1:5" x14ac:dyDescent="0.35">
      <c r="B4" s="18"/>
    </row>
    <row r="6" spans="1:5" s="13" customFormat="1" ht="17.149999999999999" customHeight="1" x14ac:dyDescent="0.35">
      <c r="A6" s="13" t="s">
        <v>31</v>
      </c>
      <c r="B6" s="14" t="s">
        <v>0</v>
      </c>
      <c r="C6" s="15" t="s">
        <v>2</v>
      </c>
      <c r="D6" s="15"/>
      <c r="E6" s="15"/>
    </row>
    <row r="7" spans="1:5" s="13" customFormat="1" x14ac:dyDescent="0.35">
      <c r="B7" s="16" t="s">
        <v>1</v>
      </c>
      <c r="C7" s="17">
        <v>42731</v>
      </c>
      <c r="D7" s="17">
        <v>42367</v>
      </c>
      <c r="E7" s="17">
        <v>42003</v>
      </c>
    </row>
    <row r="8" spans="1:5" x14ac:dyDescent="0.35">
      <c r="B8" s="19" t="s">
        <v>3</v>
      </c>
      <c r="C8" s="2"/>
      <c r="D8" s="2"/>
      <c r="E8" s="2"/>
    </row>
    <row r="9" spans="1:5" x14ac:dyDescent="0.35">
      <c r="B9" s="20" t="s">
        <v>4</v>
      </c>
      <c r="C9" s="3">
        <v>2795365000</v>
      </c>
      <c r="D9" s="3">
        <v>2681580000</v>
      </c>
      <c r="E9" s="3">
        <v>2529195000</v>
      </c>
    </row>
    <row r="10" spans="1:5" x14ac:dyDescent="0.35">
      <c r="B10" s="19" t="s">
        <v>5</v>
      </c>
      <c r="C10" s="4"/>
      <c r="D10" s="4"/>
      <c r="E10" s="4"/>
    </row>
    <row r="11" spans="1:5" x14ac:dyDescent="0.35">
      <c r="B11" s="20" t="s">
        <v>6</v>
      </c>
      <c r="C11" s="5">
        <v>709251000</v>
      </c>
      <c r="D11" s="5">
        <v>715502000</v>
      </c>
      <c r="E11" s="5">
        <v>669860000</v>
      </c>
    </row>
    <row r="12" spans="1:5" x14ac:dyDescent="0.35">
      <c r="B12" s="21" t="s">
        <v>7</v>
      </c>
      <c r="C12" s="4">
        <v>790238000</v>
      </c>
      <c r="D12" s="4">
        <v>754646000</v>
      </c>
      <c r="E12" s="4">
        <v>685576000</v>
      </c>
    </row>
    <row r="13" spans="1:5" x14ac:dyDescent="0.35">
      <c r="B13" s="20" t="s">
        <v>8</v>
      </c>
      <c r="C13" s="5">
        <v>167717000</v>
      </c>
      <c r="D13" s="5">
        <v>169998000</v>
      </c>
      <c r="E13" s="5">
        <v>159794000</v>
      </c>
    </row>
    <row r="14" spans="1:5" x14ac:dyDescent="0.35">
      <c r="B14" s="21" t="s">
        <v>9</v>
      </c>
      <c r="C14" s="4">
        <v>359609000</v>
      </c>
      <c r="D14" s="4">
        <v>334635000</v>
      </c>
      <c r="E14" s="4">
        <v>314879000</v>
      </c>
    </row>
    <row r="15" spans="1:5" x14ac:dyDescent="0.35">
      <c r="B15" s="20" t="s">
        <v>10</v>
      </c>
      <c r="C15" s="6">
        <v>2026815000</v>
      </c>
      <c r="D15" s="6">
        <v>1974781000</v>
      </c>
      <c r="E15" s="6">
        <v>1830109000</v>
      </c>
    </row>
    <row r="16" spans="1:5" ht="31" x14ac:dyDescent="0.35">
      <c r="B16" s="21" t="s">
        <v>11</v>
      </c>
      <c r="C16" s="7">
        <v>178585000</v>
      </c>
      <c r="D16" s="7">
        <v>160706000</v>
      </c>
      <c r="E16" s="7">
        <v>152267000</v>
      </c>
    </row>
    <row r="17" spans="2:85" x14ac:dyDescent="0.35">
      <c r="B17" s="20" t="s">
        <v>12</v>
      </c>
      <c r="C17" s="5">
        <v>154355000</v>
      </c>
      <c r="D17" s="5">
        <v>135398000</v>
      </c>
      <c r="E17" s="5">
        <v>124109000</v>
      </c>
    </row>
    <row r="18" spans="2:85" x14ac:dyDescent="0.35">
      <c r="B18" s="21" t="s">
        <v>13</v>
      </c>
      <c r="C18" s="4">
        <v>179876000</v>
      </c>
      <c r="D18" s="4">
        <v>142904000</v>
      </c>
      <c r="E18" s="4">
        <v>138060000</v>
      </c>
    </row>
    <row r="19" spans="2:85" x14ac:dyDescent="0.35">
      <c r="B19" s="20" t="s">
        <v>14</v>
      </c>
      <c r="C19" s="5">
        <v>6899000</v>
      </c>
      <c r="D19" s="5">
        <v>9089000</v>
      </c>
      <c r="E19" s="5">
        <v>8707000</v>
      </c>
    </row>
    <row r="20" spans="2:85" x14ac:dyDescent="0.35">
      <c r="B20" s="21" t="s">
        <v>15</v>
      </c>
      <c r="C20" s="4">
        <v>9072000</v>
      </c>
      <c r="D20" s="4">
        <v>17108000</v>
      </c>
      <c r="E20" s="4">
        <v>0</v>
      </c>
    </row>
    <row r="21" spans="2:85" x14ac:dyDescent="0.35">
      <c r="B21" s="20" t="s">
        <v>16</v>
      </c>
      <c r="C21" s="6">
        <v>2555602000</v>
      </c>
      <c r="D21" s="6">
        <v>2439986000</v>
      </c>
      <c r="E21" s="6">
        <v>2253252000</v>
      </c>
    </row>
    <row r="22" spans="2:85" x14ac:dyDescent="0.35">
      <c r="B22" s="21" t="s">
        <v>17</v>
      </c>
      <c r="C22" s="8">
        <v>239763000</v>
      </c>
      <c r="D22" s="8">
        <v>241594000</v>
      </c>
      <c r="E22" s="8">
        <v>275943000</v>
      </c>
    </row>
    <row r="23" spans="2:85" x14ac:dyDescent="0.35">
      <c r="B23" s="20" t="s">
        <v>18</v>
      </c>
      <c r="C23" s="9">
        <v>8884000</v>
      </c>
      <c r="D23" s="9">
        <v>3830000</v>
      </c>
      <c r="E23" s="9">
        <v>1824000</v>
      </c>
    </row>
    <row r="24" spans="2:85" x14ac:dyDescent="0.35">
      <c r="B24" s="21" t="s">
        <v>19</v>
      </c>
      <c r="C24" s="4">
        <v>1380000</v>
      </c>
      <c r="D24" s="4">
        <v>1192000</v>
      </c>
      <c r="E24" s="4">
        <v>-3175000</v>
      </c>
    </row>
    <row r="25" spans="2:85" x14ac:dyDescent="0.35">
      <c r="B25" s="20" t="s">
        <v>20</v>
      </c>
      <c r="C25" s="6">
        <v>229499000</v>
      </c>
      <c r="D25" s="6">
        <v>236572000</v>
      </c>
      <c r="E25" s="6">
        <v>277294000</v>
      </c>
    </row>
    <row r="26" spans="2:85" x14ac:dyDescent="0.35">
      <c r="B26" s="21" t="s">
        <v>21</v>
      </c>
      <c r="C26" s="7">
        <v>84258000</v>
      </c>
      <c r="D26" s="7">
        <v>87247000</v>
      </c>
      <c r="E26" s="7">
        <v>98001000</v>
      </c>
    </row>
    <row r="27" spans="2:85" x14ac:dyDescent="0.35">
      <c r="B27" s="20" t="s">
        <v>22</v>
      </c>
      <c r="C27" s="6">
        <v>145241000</v>
      </c>
      <c r="D27" s="6">
        <v>149325000</v>
      </c>
      <c r="E27" s="6">
        <v>179293000</v>
      </c>
    </row>
    <row r="28" spans="2:85" ht="31" x14ac:dyDescent="0.35">
      <c r="B28" s="21" t="s">
        <v>23</v>
      </c>
      <c r="C28" s="7">
        <v>-333000</v>
      </c>
      <c r="D28" s="7">
        <v>-17000</v>
      </c>
      <c r="E28" s="7">
        <v>0</v>
      </c>
    </row>
    <row r="29" spans="2:85" ht="31" x14ac:dyDescent="0.35">
      <c r="B29" s="20" t="s">
        <v>24</v>
      </c>
      <c r="C29" s="10">
        <v>145574000</v>
      </c>
      <c r="D29" s="10">
        <v>149342000</v>
      </c>
      <c r="E29" s="10">
        <v>179293000</v>
      </c>
    </row>
    <row r="30" spans="2:85" x14ac:dyDescent="0.35">
      <c r="B30" s="21"/>
      <c r="C30" s="7"/>
      <c r="D30" s="7"/>
      <c r="E30" s="7"/>
      <c r="CG30" s="450"/>
    </row>
    <row r="31" spans="2:85" ht="31" x14ac:dyDescent="0.35">
      <c r="B31" s="22" t="s">
        <v>25</v>
      </c>
      <c r="C31" s="5"/>
      <c r="D31" s="5"/>
      <c r="E31" s="5"/>
      <c r="CG31" s="450"/>
    </row>
    <row r="32" spans="2:85" x14ac:dyDescent="0.35">
      <c r="B32" s="21" t="s">
        <v>26</v>
      </c>
      <c r="C32" s="11">
        <v>6.21</v>
      </c>
      <c r="D32" s="11">
        <v>5.81</v>
      </c>
      <c r="E32" s="11">
        <v>6.67</v>
      </c>
      <c r="CG32" s="450"/>
    </row>
    <row r="33" spans="1:85" ht="31" x14ac:dyDescent="0.35">
      <c r="B33" s="20" t="s">
        <v>27</v>
      </c>
      <c r="C33" s="12">
        <v>6.18</v>
      </c>
      <c r="D33" s="12">
        <v>5.79</v>
      </c>
      <c r="E33" s="12">
        <v>6.64</v>
      </c>
      <c r="CG33" s="450"/>
    </row>
    <row r="34" spans="1:85" x14ac:dyDescent="0.35">
      <c r="B34" s="21"/>
      <c r="C34" s="4"/>
      <c r="D34" s="4"/>
      <c r="E34" s="4"/>
      <c r="CG34" s="450"/>
    </row>
    <row r="35" spans="1:85" ht="31" x14ac:dyDescent="0.35">
      <c r="B35" s="22" t="s">
        <v>28</v>
      </c>
      <c r="C35" s="5"/>
      <c r="D35" s="5"/>
      <c r="E35" s="5"/>
      <c r="CG35" s="450"/>
    </row>
    <row r="36" spans="1:85" ht="31" x14ac:dyDescent="0.35">
      <c r="B36" s="21" t="s">
        <v>29</v>
      </c>
      <c r="C36" s="4">
        <v>23444</v>
      </c>
      <c r="D36" s="4">
        <v>25685</v>
      </c>
      <c r="E36" s="4">
        <v>26881</v>
      </c>
      <c r="CG36" s="450"/>
    </row>
    <row r="37" spans="1:85" ht="31" x14ac:dyDescent="0.35">
      <c r="B37" s="20" t="s">
        <v>30</v>
      </c>
      <c r="C37" s="5">
        <v>23565</v>
      </c>
      <c r="D37" s="5">
        <v>25788</v>
      </c>
      <c r="E37" s="5">
        <v>26999</v>
      </c>
      <c r="CG37" s="450"/>
    </row>
    <row r="38" spans="1:85" x14ac:dyDescent="0.35">
      <c r="CG38" s="450"/>
    </row>
    <row r="39" spans="1:85" ht="31" x14ac:dyDescent="0.35">
      <c r="A39" s="13" t="s">
        <v>31</v>
      </c>
      <c r="B39" s="23" t="s">
        <v>100</v>
      </c>
      <c r="C39" s="61" t="s">
        <v>2</v>
      </c>
      <c r="D39" s="24"/>
      <c r="E39" s="24"/>
      <c r="CG39" s="450"/>
    </row>
    <row r="40" spans="1:85" x14ac:dyDescent="0.35">
      <c r="A40" s="13"/>
      <c r="B40" s="25"/>
      <c r="C40" s="26">
        <v>42731</v>
      </c>
      <c r="D40" s="26">
        <v>42367</v>
      </c>
      <c r="E40" s="26">
        <v>42003</v>
      </c>
      <c r="CG40" s="450"/>
    </row>
    <row r="41" spans="1:85" x14ac:dyDescent="0.35">
      <c r="B41" s="27" t="s">
        <v>32</v>
      </c>
      <c r="C41" s="28"/>
      <c r="D41" s="28"/>
      <c r="E41" s="28"/>
      <c r="CG41" s="450"/>
    </row>
    <row r="42" spans="1:85" x14ac:dyDescent="0.35">
      <c r="B42" s="29" t="s">
        <v>22</v>
      </c>
      <c r="C42" s="30">
        <v>145241000</v>
      </c>
      <c r="D42" s="30">
        <v>149325000</v>
      </c>
      <c r="E42" s="30">
        <v>179293000</v>
      </c>
      <c r="CG42" s="450"/>
    </row>
    <row r="43" spans="1:85" ht="31" x14ac:dyDescent="0.35">
      <c r="B43" s="27" t="s">
        <v>33</v>
      </c>
      <c r="C43" s="28"/>
      <c r="D43" s="28"/>
      <c r="E43" s="28"/>
      <c r="CG43" s="450"/>
    </row>
    <row r="44" spans="1:85" x14ac:dyDescent="0.35">
      <c r="B44" s="29" t="s">
        <v>12</v>
      </c>
      <c r="C44" s="18">
        <v>154355000</v>
      </c>
      <c r="D44" s="18">
        <v>135398000</v>
      </c>
      <c r="E44" s="18">
        <v>124109000</v>
      </c>
      <c r="CG44" s="450"/>
    </row>
    <row r="45" spans="1:85" x14ac:dyDescent="0.35">
      <c r="B45" s="31" t="s">
        <v>34</v>
      </c>
      <c r="C45" s="28">
        <v>15662000</v>
      </c>
      <c r="D45" s="28">
        <v>15086000</v>
      </c>
      <c r="E45" s="28">
        <v>10077000</v>
      </c>
      <c r="CG45" s="450"/>
    </row>
    <row r="46" spans="1:85" x14ac:dyDescent="0.35">
      <c r="B46" s="29" t="s">
        <v>35</v>
      </c>
      <c r="C46" s="18">
        <v>-2456000</v>
      </c>
      <c r="D46" s="18">
        <v>-2057000</v>
      </c>
      <c r="E46" s="18">
        <v>-3089000</v>
      </c>
      <c r="CG46" s="450"/>
    </row>
    <row r="47" spans="1:85" x14ac:dyDescent="0.35">
      <c r="B47" s="31" t="s">
        <v>36</v>
      </c>
      <c r="C47" s="28">
        <v>-3800000</v>
      </c>
      <c r="D47" s="28">
        <v>-10991000</v>
      </c>
      <c r="E47" s="28">
        <v>10459000</v>
      </c>
      <c r="CG47" s="450"/>
    </row>
    <row r="48" spans="1:85" x14ac:dyDescent="0.35">
      <c r="B48" s="29" t="s">
        <v>15</v>
      </c>
      <c r="C48" s="18">
        <v>7212000</v>
      </c>
      <c r="D48" s="18">
        <v>12942000</v>
      </c>
      <c r="E48" s="18">
        <v>0</v>
      </c>
      <c r="CG48" s="450"/>
    </row>
    <row r="49" spans="2:85" x14ac:dyDescent="0.35">
      <c r="B49" s="31" t="s">
        <v>37</v>
      </c>
      <c r="C49" s="28">
        <v>10551000</v>
      </c>
      <c r="D49" s="28">
        <v>3505000</v>
      </c>
      <c r="E49" s="28">
        <v>4617000</v>
      </c>
      <c r="CG49" s="450"/>
    </row>
    <row r="50" spans="2:85" ht="46.5" x14ac:dyDescent="0.35">
      <c r="B50" s="32" t="s">
        <v>38</v>
      </c>
      <c r="CG50" s="450"/>
    </row>
    <row r="51" spans="2:85" x14ac:dyDescent="0.35">
      <c r="B51" s="31" t="s">
        <v>39</v>
      </c>
      <c r="C51" s="28">
        <v>66000</v>
      </c>
      <c r="D51" s="28">
        <v>-3605000</v>
      </c>
      <c r="E51" s="28">
        <v>-22139000</v>
      </c>
      <c r="CG51" s="450"/>
    </row>
    <row r="52" spans="2:85" x14ac:dyDescent="0.35">
      <c r="B52" s="29" t="s">
        <v>40</v>
      </c>
      <c r="C52" s="18">
        <v>-977000</v>
      </c>
      <c r="D52" s="18">
        <v>-1698000</v>
      </c>
      <c r="E52" s="18">
        <v>-895000</v>
      </c>
      <c r="CG52" s="450"/>
    </row>
    <row r="53" spans="2:85" x14ac:dyDescent="0.35">
      <c r="B53" s="31" t="s">
        <v>41</v>
      </c>
      <c r="C53" s="28">
        <v>-9923000</v>
      </c>
      <c r="D53" s="28">
        <v>-7191000</v>
      </c>
      <c r="E53" s="28">
        <v>-8524000</v>
      </c>
      <c r="CG53" s="450"/>
    </row>
    <row r="54" spans="2:85" x14ac:dyDescent="0.35">
      <c r="B54" s="29" t="s">
        <v>42</v>
      </c>
      <c r="C54" s="18">
        <v>1625000</v>
      </c>
      <c r="D54" s="18">
        <v>-455000</v>
      </c>
      <c r="E54" s="18">
        <v>239000</v>
      </c>
      <c r="CG54" s="450"/>
    </row>
    <row r="55" spans="2:85" x14ac:dyDescent="0.35">
      <c r="B55" s="31" t="s">
        <v>43</v>
      </c>
      <c r="C55" s="28">
        <v>2650000</v>
      </c>
      <c r="D55" s="28">
        <v>-183000</v>
      </c>
      <c r="E55" s="28">
        <v>1978000</v>
      </c>
      <c r="CG55" s="450"/>
    </row>
    <row r="56" spans="2:85" x14ac:dyDescent="0.35">
      <c r="B56" s="29" t="s">
        <v>44</v>
      </c>
      <c r="C56" s="18">
        <v>63531000</v>
      </c>
      <c r="D56" s="18">
        <v>31169000</v>
      </c>
      <c r="E56" s="18">
        <v>35288000</v>
      </c>
      <c r="CG56" s="450"/>
    </row>
    <row r="57" spans="2:85" x14ac:dyDescent="0.35">
      <c r="B57" s="21" t="s">
        <v>45</v>
      </c>
      <c r="C57" s="33">
        <v>366000</v>
      </c>
      <c r="D57" s="33">
        <v>3751000</v>
      </c>
      <c r="E57" s="33">
        <v>1067000</v>
      </c>
      <c r="CG57" s="450"/>
    </row>
    <row r="58" spans="2:85" x14ac:dyDescent="0.35">
      <c r="B58" s="20" t="s">
        <v>46</v>
      </c>
      <c r="C58" s="34">
        <v>3438000</v>
      </c>
      <c r="D58" s="34">
        <v>-6951000</v>
      </c>
      <c r="E58" s="34">
        <v>2599000</v>
      </c>
      <c r="CG58" s="450"/>
    </row>
    <row r="59" spans="2:85" x14ac:dyDescent="0.35">
      <c r="B59" s="21" t="s">
        <v>47</v>
      </c>
      <c r="C59" s="35">
        <v>387541000</v>
      </c>
      <c r="D59" s="35">
        <v>318045000</v>
      </c>
      <c r="E59" s="35">
        <v>335079000</v>
      </c>
      <c r="CG59" s="450"/>
    </row>
    <row r="60" spans="2:85" x14ac:dyDescent="0.35">
      <c r="B60" s="22" t="s">
        <v>48</v>
      </c>
      <c r="C60" s="34"/>
      <c r="D60" s="34"/>
      <c r="E60" s="34"/>
      <c r="CG60" s="450"/>
    </row>
    <row r="61" spans="2:85" x14ac:dyDescent="0.35">
      <c r="B61" s="21" t="s">
        <v>49</v>
      </c>
      <c r="C61" s="33">
        <v>-200063000</v>
      </c>
      <c r="D61" s="33">
        <v>-223932000</v>
      </c>
      <c r="E61" s="33">
        <v>-224217000</v>
      </c>
      <c r="CG61" s="450"/>
    </row>
    <row r="62" spans="2:85" x14ac:dyDescent="0.35">
      <c r="B62" s="20" t="s">
        <v>50</v>
      </c>
      <c r="C62" s="34">
        <v>216000</v>
      </c>
      <c r="D62" s="34">
        <v>0</v>
      </c>
      <c r="E62" s="34">
        <v>0</v>
      </c>
      <c r="CG62" s="450"/>
    </row>
    <row r="63" spans="2:85" x14ac:dyDescent="0.35">
      <c r="B63" s="21" t="s">
        <v>51</v>
      </c>
      <c r="C63" s="33">
        <v>15649000</v>
      </c>
      <c r="D63" s="33">
        <v>46869000</v>
      </c>
      <c r="E63" s="33">
        <v>0</v>
      </c>
      <c r="CG63" s="450"/>
    </row>
    <row r="64" spans="2:85" x14ac:dyDescent="0.35">
      <c r="B64" s="20" t="s">
        <v>52</v>
      </c>
      <c r="C64" s="34">
        <v>742000</v>
      </c>
      <c r="D64" s="34">
        <v>1553000</v>
      </c>
      <c r="E64" s="34">
        <v>0</v>
      </c>
      <c r="CG64" s="450"/>
    </row>
    <row r="65" spans="2:85" x14ac:dyDescent="0.35">
      <c r="B65" s="21" t="s">
        <v>53</v>
      </c>
      <c r="C65" s="33">
        <v>8940000</v>
      </c>
      <c r="D65" s="33">
        <v>10095000</v>
      </c>
      <c r="E65" s="33">
        <v>12900000</v>
      </c>
      <c r="CG65" s="450"/>
    </row>
    <row r="66" spans="2:85" x14ac:dyDescent="0.35">
      <c r="B66" s="20" t="s">
        <v>54</v>
      </c>
      <c r="C66" s="36">
        <v>-174516000</v>
      </c>
      <c r="D66" s="36">
        <v>-165415000</v>
      </c>
      <c r="E66" s="36">
        <v>-211317000</v>
      </c>
      <c r="CG66" s="450"/>
    </row>
    <row r="67" spans="2:85" x14ac:dyDescent="0.35">
      <c r="B67" s="19" t="s">
        <v>55</v>
      </c>
      <c r="C67" s="37"/>
      <c r="D67" s="37"/>
      <c r="E67" s="37"/>
      <c r="CG67" s="450"/>
    </row>
    <row r="68" spans="2:85" x14ac:dyDescent="0.35">
      <c r="B68" s="20" t="s">
        <v>56</v>
      </c>
      <c r="C68" s="34">
        <v>-18683000</v>
      </c>
      <c r="D68" s="34">
        <v>-6301000</v>
      </c>
      <c r="E68" s="34">
        <v>0</v>
      </c>
      <c r="CG68" s="450"/>
    </row>
    <row r="69" spans="2:85" x14ac:dyDescent="0.35">
      <c r="B69" s="21" t="s">
        <v>57</v>
      </c>
      <c r="C69" s="33">
        <v>0</v>
      </c>
      <c r="D69" s="33">
        <v>299070000</v>
      </c>
      <c r="E69" s="33">
        <v>100000000</v>
      </c>
      <c r="CG69" s="450"/>
    </row>
    <row r="70" spans="2:85" ht="31" x14ac:dyDescent="0.35">
      <c r="B70" s="20" t="s">
        <v>58</v>
      </c>
      <c r="C70" s="34">
        <v>40000000</v>
      </c>
      <c r="D70" s="34">
        <v>0</v>
      </c>
      <c r="E70" s="34">
        <v>0</v>
      </c>
      <c r="CG70" s="450"/>
    </row>
    <row r="71" spans="2:85" x14ac:dyDescent="0.35">
      <c r="B71" s="21" t="s">
        <v>59</v>
      </c>
      <c r="C71" s="33">
        <v>0</v>
      </c>
      <c r="D71" s="33">
        <v>-363000</v>
      </c>
      <c r="E71" s="33">
        <v>-193000</v>
      </c>
      <c r="CG71" s="450"/>
    </row>
    <row r="72" spans="2:85" x14ac:dyDescent="0.35">
      <c r="B72" s="20" t="s">
        <v>60</v>
      </c>
      <c r="C72" s="34">
        <v>0</v>
      </c>
      <c r="D72" s="34">
        <v>0</v>
      </c>
      <c r="E72" s="34">
        <v>-270000</v>
      </c>
      <c r="CG72" s="450"/>
    </row>
    <row r="73" spans="2:85" x14ac:dyDescent="0.35">
      <c r="B73" s="21" t="s">
        <v>61</v>
      </c>
      <c r="C73" s="33">
        <v>-377193000</v>
      </c>
      <c r="D73" s="33">
        <v>-405513000</v>
      </c>
      <c r="E73" s="33">
        <v>-159503000</v>
      </c>
      <c r="CG73" s="450"/>
    </row>
    <row r="74" spans="2:85" x14ac:dyDescent="0.35">
      <c r="B74" s="20" t="s">
        <v>62</v>
      </c>
      <c r="C74" s="34">
        <v>381000</v>
      </c>
      <c r="D74" s="34">
        <v>288000</v>
      </c>
      <c r="E74" s="34">
        <v>1116000</v>
      </c>
      <c r="CG74" s="450"/>
    </row>
    <row r="75" spans="2:85" x14ac:dyDescent="0.35">
      <c r="B75" s="21" t="s">
        <v>35</v>
      </c>
      <c r="C75" s="33">
        <v>2456000</v>
      </c>
      <c r="D75" s="33">
        <v>2057000</v>
      </c>
      <c r="E75" s="33">
        <v>3089000</v>
      </c>
      <c r="CG75" s="450"/>
    </row>
    <row r="76" spans="2:85" ht="31" x14ac:dyDescent="0.35">
      <c r="B76" s="20" t="s">
        <v>63</v>
      </c>
      <c r="C76" s="34">
        <v>3702000</v>
      </c>
      <c r="D76" s="34">
        <v>3525000</v>
      </c>
      <c r="E76" s="34">
        <v>3247000</v>
      </c>
      <c r="CG76" s="450"/>
    </row>
    <row r="77" spans="2:85" ht="31" x14ac:dyDescent="0.35">
      <c r="B77" s="21" t="s">
        <v>64</v>
      </c>
      <c r="C77" s="33">
        <v>-45000</v>
      </c>
      <c r="D77" s="33">
        <v>0</v>
      </c>
      <c r="E77" s="33">
        <v>0</v>
      </c>
      <c r="CG77" s="450"/>
    </row>
    <row r="78" spans="2:85" x14ac:dyDescent="0.35">
      <c r="B78" s="20" t="s">
        <v>65</v>
      </c>
      <c r="C78" s="36">
        <v>-349382000</v>
      </c>
      <c r="D78" s="36">
        <v>-107237000</v>
      </c>
      <c r="E78" s="36">
        <v>-52514000</v>
      </c>
      <c r="CG78" s="450"/>
    </row>
    <row r="79" spans="2:85" ht="31" x14ac:dyDescent="0.35">
      <c r="B79" s="21" t="s">
        <v>66</v>
      </c>
      <c r="C79" s="38">
        <v>-136357000</v>
      </c>
      <c r="D79" s="38">
        <v>45393000</v>
      </c>
      <c r="E79" s="38">
        <v>71248000</v>
      </c>
      <c r="CG79" s="450"/>
    </row>
    <row r="80" spans="2:85" ht="31" x14ac:dyDescent="0.35">
      <c r="B80" s="20" t="s">
        <v>67</v>
      </c>
      <c r="C80" s="39">
        <v>241886000</v>
      </c>
      <c r="D80" s="39">
        <v>196493000</v>
      </c>
      <c r="E80" s="39">
        <v>125245000</v>
      </c>
      <c r="CG80" s="450"/>
    </row>
    <row r="81" spans="1:85" x14ac:dyDescent="0.35">
      <c r="B81" s="21" t="s">
        <v>68</v>
      </c>
      <c r="C81" s="40">
        <v>105529000</v>
      </c>
      <c r="D81" s="40">
        <v>241886000</v>
      </c>
      <c r="E81" s="40">
        <v>196493000</v>
      </c>
      <c r="CG81" s="450"/>
    </row>
    <row r="82" spans="1:85" x14ac:dyDescent="0.35">
      <c r="CG82" s="450"/>
    </row>
    <row r="83" spans="1:85" x14ac:dyDescent="0.35">
      <c r="A83" s="18" t="s">
        <v>31</v>
      </c>
      <c r="B83" s="23" t="s">
        <v>101</v>
      </c>
      <c r="C83" s="26">
        <v>42731</v>
      </c>
      <c r="D83" s="41">
        <v>42367</v>
      </c>
      <c r="E83" s="1"/>
      <c r="CG83" s="450"/>
    </row>
    <row r="84" spans="1:85" x14ac:dyDescent="0.35">
      <c r="B84" s="19" t="s">
        <v>69</v>
      </c>
      <c r="C84" s="33"/>
      <c r="D84" s="42"/>
      <c r="CG84" s="450"/>
    </row>
    <row r="85" spans="1:85" x14ac:dyDescent="0.35">
      <c r="B85" s="20" t="s">
        <v>70</v>
      </c>
      <c r="C85" s="43">
        <v>105529000</v>
      </c>
      <c r="D85" s="44">
        <v>241886000</v>
      </c>
      <c r="CG85" s="450"/>
    </row>
    <row r="86" spans="1:85" x14ac:dyDescent="0.35">
      <c r="B86" s="21" t="s">
        <v>71</v>
      </c>
      <c r="C86" s="33">
        <v>53519000</v>
      </c>
      <c r="D86" s="42">
        <v>38211000</v>
      </c>
      <c r="CG86" s="450"/>
    </row>
    <row r="87" spans="1:85" x14ac:dyDescent="0.35">
      <c r="B87" s="20" t="s">
        <v>72</v>
      </c>
      <c r="C87" s="34">
        <v>59404000</v>
      </c>
      <c r="D87" s="45">
        <v>77575000</v>
      </c>
      <c r="CG87" s="450"/>
    </row>
    <row r="88" spans="1:85" x14ac:dyDescent="0.35">
      <c r="B88" s="21" t="s">
        <v>40</v>
      </c>
      <c r="C88" s="33">
        <v>23775000</v>
      </c>
      <c r="D88" s="42">
        <v>22482000</v>
      </c>
      <c r="CG88" s="450"/>
    </row>
    <row r="89" spans="1:85" x14ac:dyDescent="0.35">
      <c r="B89" s="20" t="s">
        <v>41</v>
      </c>
      <c r="C89" s="34">
        <v>69194000</v>
      </c>
      <c r="D89" s="45">
        <v>59457000</v>
      </c>
      <c r="CG89" s="450"/>
    </row>
    <row r="90" spans="1:85" x14ac:dyDescent="0.35">
      <c r="B90" s="21" t="s">
        <v>36</v>
      </c>
      <c r="C90" s="33"/>
      <c r="D90" s="42">
        <v>34500000</v>
      </c>
      <c r="G90" s="18" t="s">
        <v>750</v>
      </c>
      <c r="CG90" s="450"/>
    </row>
    <row r="91" spans="1:85" x14ac:dyDescent="0.35">
      <c r="B91" s="20" t="s">
        <v>73</v>
      </c>
      <c r="C91" s="34">
        <v>0</v>
      </c>
      <c r="D91" s="45">
        <v>28699000</v>
      </c>
      <c r="CG91" s="450"/>
    </row>
    <row r="92" spans="1:85" x14ac:dyDescent="0.35">
      <c r="B92" s="21" t="s">
        <v>74</v>
      </c>
      <c r="C92" s="46">
        <v>311421000</v>
      </c>
      <c r="D92" s="47">
        <v>468310000</v>
      </c>
      <c r="CG92" s="450"/>
    </row>
    <row r="93" spans="1:85" x14ac:dyDescent="0.35">
      <c r="B93" s="20" t="s">
        <v>75</v>
      </c>
      <c r="C93" s="39">
        <v>802759000</v>
      </c>
      <c r="D93" s="48">
        <v>776248000</v>
      </c>
      <c r="CG93" s="450"/>
    </row>
    <row r="94" spans="1:85" x14ac:dyDescent="0.35">
      <c r="B94" s="19" t="s">
        <v>76</v>
      </c>
      <c r="C94" s="33"/>
      <c r="D94" s="42"/>
      <c r="CG94" s="450"/>
    </row>
    <row r="95" spans="1:85" x14ac:dyDescent="0.35">
      <c r="B95" s="20" t="s">
        <v>77</v>
      </c>
      <c r="C95" s="34">
        <v>122377000</v>
      </c>
      <c r="D95" s="45">
        <v>121791000</v>
      </c>
      <c r="CG95" s="450"/>
    </row>
    <row r="96" spans="1:85" x14ac:dyDescent="0.35">
      <c r="B96" s="21" t="s">
        <v>78</v>
      </c>
      <c r="C96" s="33">
        <v>54819000</v>
      </c>
      <c r="D96" s="42">
        <v>63877000</v>
      </c>
      <c r="CG96" s="450"/>
    </row>
    <row r="97" spans="2:85" x14ac:dyDescent="0.35">
      <c r="B97" s="20" t="s">
        <v>42</v>
      </c>
      <c r="C97" s="34">
        <v>10235000</v>
      </c>
      <c r="D97" s="45">
        <v>10613000</v>
      </c>
      <c r="CG97" s="450"/>
    </row>
    <row r="98" spans="2:85" x14ac:dyDescent="0.35">
      <c r="B98" s="21" t="s">
        <v>79</v>
      </c>
      <c r="C98" s="46">
        <v>187431000</v>
      </c>
      <c r="D98" s="47">
        <v>196281000</v>
      </c>
      <c r="CG98" s="450"/>
    </row>
    <row r="99" spans="2:85" x14ac:dyDescent="0.35">
      <c r="B99" s="20" t="s">
        <v>80</v>
      </c>
      <c r="C99" s="49">
        <v>1301611000</v>
      </c>
      <c r="D99" s="50">
        <v>1440839000</v>
      </c>
      <c r="CG99" s="450"/>
    </row>
    <row r="100" spans="2:85" x14ac:dyDescent="0.35">
      <c r="B100" s="19" t="s">
        <v>81</v>
      </c>
      <c r="C100" s="37"/>
      <c r="D100" s="51"/>
      <c r="CG100" s="450"/>
    </row>
    <row r="101" spans="2:85" x14ac:dyDescent="0.35">
      <c r="B101" s="20" t="s">
        <v>43</v>
      </c>
      <c r="C101" s="34">
        <v>22455000</v>
      </c>
      <c r="D101" s="45">
        <v>19805000</v>
      </c>
      <c r="CG101" s="450"/>
    </row>
    <row r="102" spans="2:85" x14ac:dyDescent="0.35">
      <c r="B102" s="21" t="s">
        <v>44</v>
      </c>
      <c r="C102" s="33">
        <v>408637000</v>
      </c>
      <c r="D102" s="42">
        <v>359464000</v>
      </c>
      <c r="CG102" s="450"/>
    </row>
    <row r="103" spans="2:85" x14ac:dyDescent="0.35">
      <c r="B103" s="20" t="s">
        <v>82</v>
      </c>
      <c r="C103" s="34">
        <v>17229000</v>
      </c>
      <c r="D103" s="45">
        <v>17229000</v>
      </c>
      <c r="CG103" s="450"/>
    </row>
    <row r="104" spans="2:85" x14ac:dyDescent="0.35">
      <c r="B104" s="21" t="s">
        <v>83</v>
      </c>
      <c r="C104" s="33">
        <v>0</v>
      </c>
      <c r="D104" s="42">
        <v>2945000</v>
      </c>
      <c r="CG104" s="450"/>
    </row>
    <row r="105" spans="2:85" x14ac:dyDescent="0.35">
      <c r="B105" s="20" t="s">
        <v>84</v>
      </c>
      <c r="C105" s="36">
        <v>448321000</v>
      </c>
      <c r="D105" s="52">
        <v>399443000</v>
      </c>
      <c r="CG105" s="450"/>
    </row>
    <row r="106" spans="2:85" x14ac:dyDescent="0.35">
      <c r="B106" s="21" t="s">
        <v>85</v>
      </c>
      <c r="C106" s="37">
        <v>410594000</v>
      </c>
      <c r="D106" s="51">
        <v>388971000</v>
      </c>
      <c r="CG106" s="450"/>
    </row>
    <row r="107" spans="2:85" x14ac:dyDescent="0.35">
      <c r="B107" s="20" t="s">
        <v>45</v>
      </c>
      <c r="C107" s="34">
        <v>63369000</v>
      </c>
      <c r="D107" s="45">
        <v>62610000</v>
      </c>
      <c r="CG107" s="450"/>
    </row>
    <row r="108" spans="2:85" x14ac:dyDescent="0.35">
      <c r="B108" s="21" t="s">
        <v>36</v>
      </c>
      <c r="C108" s="33">
        <v>32301000</v>
      </c>
      <c r="D108" s="42">
        <v>35968000</v>
      </c>
      <c r="CG108" s="450"/>
    </row>
    <row r="109" spans="2:85" x14ac:dyDescent="0.35">
      <c r="B109" s="20" t="s">
        <v>46</v>
      </c>
      <c r="C109" s="34">
        <v>54636000</v>
      </c>
      <c r="D109" s="45">
        <v>52566000</v>
      </c>
      <c r="CG109" s="450"/>
    </row>
    <row r="110" spans="2:85" x14ac:dyDescent="0.35">
      <c r="B110" s="21" t="s">
        <v>86</v>
      </c>
      <c r="C110" s="46">
        <v>1009221000</v>
      </c>
      <c r="D110" s="47">
        <v>939558000</v>
      </c>
      <c r="CG110" s="450"/>
    </row>
    <row r="111" spans="2:85" x14ac:dyDescent="0.35">
      <c r="B111" s="20" t="s">
        <v>87</v>
      </c>
      <c r="C111" s="39"/>
      <c r="D111" s="48"/>
      <c r="CG111" s="450"/>
    </row>
    <row r="112" spans="2:85" x14ac:dyDescent="0.35">
      <c r="B112" s="21" t="s">
        <v>88</v>
      </c>
      <c r="C112" s="33">
        <v>3603000</v>
      </c>
      <c r="D112" s="42">
        <v>3981000</v>
      </c>
      <c r="CG112" s="450"/>
    </row>
    <row r="113" spans="2:85" x14ac:dyDescent="0.35">
      <c r="B113" s="22" t="s">
        <v>89</v>
      </c>
      <c r="C113" s="34"/>
      <c r="D113" s="45"/>
      <c r="CG113" s="450"/>
    </row>
    <row r="114" spans="2:85" ht="46.5" x14ac:dyDescent="0.35">
      <c r="B114" s="21" t="s">
        <v>90</v>
      </c>
      <c r="C114" s="33">
        <v>-1488779000</v>
      </c>
      <c r="D114" s="42">
        <v>-1111586000</v>
      </c>
      <c r="CG114" s="450"/>
    </row>
    <row r="115" spans="2:85" ht="62" x14ac:dyDescent="0.35">
      <c r="B115" s="20" t="s">
        <v>91</v>
      </c>
      <c r="C115" s="34">
        <v>0</v>
      </c>
      <c r="D115" s="45">
        <v>0</v>
      </c>
      <c r="CG115" s="450"/>
    </row>
    <row r="116" spans="2:85" x14ac:dyDescent="0.35">
      <c r="B116" s="21" t="s">
        <v>92</v>
      </c>
      <c r="C116" s="33">
        <v>257594000</v>
      </c>
      <c r="D116" s="42">
        <v>235393000</v>
      </c>
      <c r="CG116" s="450"/>
    </row>
    <row r="117" spans="2:85" x14ac:dyDescent="0.35">
      <c r="B117" s="20" t="s">
        <v>93</v>
      </c>
      <c r="C117" s="34">
        <v>-4124000</v>
      </c>
      <c r="D117" s="45">
        <v>-5029000</v>
      </c>
      <c r="CG117" s="450"/>
    </row>
    <row r="118" spans="2:85" x14ac:dyDescent="0.35">
      <c r="B118" s="21" t="s">
        <v>94</v>
      </c>
      <c r="C118" s="33">
        <v>1524093000</v>
      </c>
      <c r="D118" s="42">
        <v>1378519000</v>
      </c>
      <c r="CG118" s="450"/>
    </row>
    <row r="119" spans="2:85" x14ac:dyDescent="0.35">
      <c r="B119" s="20" t="s">
        <v>95</v>
      </c>
      <c r="C119" s="34">
        <v>288787000</v>
      </c>
      <c r="D119" s="45">
        <v>497300000</v>
      </c>
      <c r="CG119" s="450"/>
    </row>
    <row r="120" spans="2:85" ht="31" x14ac:dyDescent="0.35">
      <c r="B120" s="21" t="s">
        <v>96</v>
      </c>
      <c r="C120" s="46">
        <v>1301611000</v>
      </c>
      <c r="D120" s="47">
        <v>1440839000</v>
      </c>
      <c r="CG120" s="450"/>
    </row>
    <row r="121" spans="2:85" x14ac:dyDescent="0.35">
      <c r="B121" s="53" t="s">
        <v>97</v>
      </c>
      <c r="C121" s="54"/>
      <c r="D121" s="55"/>
      <c r="CG121" s="450"/>
    </row>
    <row r="122" spans="2:85" x14ac:dyDescent="0.35">
      <c r="B122" s="19" t="s">
        <v>89</v>
      </c>
      <c r="C122" s="56"/>
      <c r="D122" s="57"/>
      <c r="CG122" s="450"/>
    </row>
    <row r="123" spans="2:85" x14ac:dyDescent="0.35">
      <c r="B123" s="20" t="s">
        <v>98</v>
      </c>
      <c r="C123" s="34">
        <v>3000</v>
      </c>
      <c r="D123" s="45">
        <v>3000</v>
      </c>
      <c r="CG123" s="450"/>
    </row>
    <row r="124" spans="2:85" x14ac:dyDescent="0.35">
      <c r="B124" s="53" t="s">
        <v>99</v>
      </c>
      <c r="C124" s="58"/>
      <c r="D124" s="59"/>
      <c r="CG124" s="450"/>
    </row>
    <row r="125" spans="2:85" x14ac:dyDescent="0.35">
      <c r="B125" s="22" t="s">
        <v>89</v>
      </c>
      <c r="C125" s="34"/>
      <c r="D125" s="45"/>
      <c r="CG125" s="450"/>
    </row>
    <row r="126" spans="2:85" x14ac:dyDescent="0.35">
      <c r="B126" s="21" t="s">
        <v>98</v>
      </c>
      <c r="C126" s="40">
        <v>0</v>
      </c>
      <c r="D126" s="60">
        <v>0</v>
      </c>
      <c r="CG126" s="450"/>
    </row>
    <row r="127" spans="2:85" x14ac:dyDescent="0.35">
      <c r="CG127" s="450"/>
    </row>
    <row r="128" spans="2:85" x14ac:dyDescent="0.35">
      <c r="CG128" s="450"/>
    </row>
    <row r="129" spans="85:85" x14ac:dyDescent="0.35">
      <c r="CG129" s="450"/>
    </row>
    <row r="130" spans="85:85" x14ac:dyDescent="0.35">
      <c r="CG130" s="450"/>
    </row>
    <row r="131" spans="85:85" x14ac:dyDescent="0.35">
      <c r="CG131" s="450"/>
    </row>
    <row r="132" spans="85:85" x14ac:dyDescent="0.35">
      <c r="CG132" s="450"/>
    </row>
    <row r="133" spans="85:85" x14ac:dyDescent="0.35">
      <c r="CG133" s="450"/>
    </row>
    <row r="134" spans="85:85" x14ac:dyDescent="0.35">
      <c r="CG134" s="450"/>
    </row>
    <row r="135" spans="85:85" x14ac:dyDescent="0.35">
      <c r="CG135" s="450"/>
    </row>
    <row r="136" spans="85:85" x14ac:dyDescent="0.35">
      <c r="CG136" s="450"/>
    </row>
    <row r="137" spans="85:85" x14ac:dyDescent="0.35">
      <c r="CG137" s="450"/>
    </row>
    <row r="138" spans="85:85" x14ac:dyDescent="0.35">
      <c r="CG138" s="450"/>
    </row>
    <row r="139" spans="85:85" x14ac:dyDescent="0.35">
      <c r="CG139" s="450"/>
    </row>
    <row r="140" spans="85:85" x14ac:dyDescent="0.35">
      <c r="CG140" s="450"/>
    </row>
    <row r="141" spans="85:85" x14ac:dyDescent="0.35">
      <c r="CG141" s="450"/>
    </row>
    <row r="142" spans="85:85" x14ac:dyDescent="0.35">
      <c r="CG142" s="450"/>
    </row>
    <row r="143" spans="85:85" x14ac:dyDescent="0.35">
      <c r="CG143" s="450"/>
    </row>
    <row r="144" spans="85:85" x14ac:dyDescent="0.35">
      <c r="CG144" s="450"/>
    </row>
    <row r="145" spans="85:85" x14ac:dyDescent="0.35">
      <c r="CG145" s="450"/>
    </row>
    <row r="146" spans="85:85" x14ac:dyDescent="0.35">
      <c r="CG146" s="450"/>
    </row>
    <row r="147" spans="85:85" x14ac:dyDescent="0.35">
      <c r="CG147" s="450"/>
    </row>
    <row r="148" spans="85:85" x14ac:dyDescent="0.35">
      <c r="CG148" s="450"/>
    </row>
    <row r="149" spans="85:85" x14ac:dyDescent="0.35">
      <c r="CG149" s="450"/>
    </row>
    <row r="150" spans="85:85" x14ac:dyDescent="0.35">
      <c r="CG150" s="450"/>
    </row>
    <row r="151" spans="85:85" x14ac:dyDescent="0.35">
      <c r="CG151" s="450"/>
    </row>
    <row r="152" spans="85:85" x14ac:dyDescent="0.35">
      <c r="CG152" s="450"/>
    </row>
    <row r="153" spans="85:85" x14ac:dyDescent="0.35">
      <c r="CG153" s="450"/>
    </row>
    <row r="154" spans="85:85" x14ac:dyDescent="0.35">
      <c r="CG154" s="450"/>
    </row>
    <row r="155" spans="85:85" x14ac:dyDescent="0.35">
      <c r="CG155" s="450"/>
    </row>
    <row r="156" spans="85:85" x14ac:dyDescent="0.35">
      <c r="CG156" s="450"/>
    </row>
    <row r="157" spans="85:85" x14ac:dyDescent="0.35">
      <c r="CG157" s="450"/>
    </row>
    <row r="158" spans="85:85" x14ac:dyDescent="0.35">
      <c r="CG158" s="450"/>
    </row>
    <row r="159" spans="85:85" x14ac:dyDescent="0.35">
      <c r="CG159" s="450"/>
    </row>
    <row r="160" spans="85:85" x14ac:dyDescent="0.35">
      <c r="CG160" s="450"/>
    </row>
    <row r="161" spans="85:85" x14ac:dyDescent="0.35">
      <c r="CG161" s="450"/>
    </row>
    <row r="162" spans="85:85" x14ac:dyDescent="0.35">
      <c r="CG162" s="450"/>
    </row>
    <row r="163" spans="85:85" x14ac:dyDescent="0.35">
      <c r="CG163" s="450"/>
    </row>
    <row r="164" spans="85:85" x14ac:dyDescent="0.35">
      <c r="CG164" s="450"/>
    </row>
    <row r="165" spans="85:85" x14ac:dyDescent="0.35">
      <c r="CG165" s="450"/>
    </row>
    <row r="166" spans="85:85" x14ac:dyDescent="0.35">
      <c r="CG166" s="450"/>
    </row>
    <row r="167" spans="85:85" x14ac:dyDescent="0.35">
      <c r="CG167" s="450"/>
    </row>
    <row r="168" spans="85:85" x14ac:dyDescent="0.35">
      <c r="CG168" s="450"/>
    </row>
    <row r="169" spans="85:85" x14ac:dyDescent="0.35">
      <c r="CG169" s="450"/>
    </row>
    <row r="170" spans="85:85" x14ac:dyDescent="0.35">
      <c r="CG170" s="450"/>
    </row>
    <row r="171" spans="85:85" x14ac:dyDescent="0.35">
      <c r="CG171" s="450"/>
    </row>
    <row r="172" spans="85:85" x14ac:dyDescent="0.35">
      <c r="CG172" s="450"/>
    </row>
    <row r="173" spans="85:85" x14ac:dyDescent="0.35">
      <c r="CG173" s="450"/>
    </row>
    <row r="174" spans="85:85" x14ac:dyDescent="0.35">
      <c r="CG174" s="450"/>
    </row>
    <row r="175" spans="85:85" x14ac:dyDescent="0.35">
      <c r="CG175" s="450"/>
    </row>
    <row r="176" spans="85:85" x14ac:dyDescent="0.35">
      <c r="CG176" s="450"/>
    </row>
    <row r="177" spans="85:85" x14ac:dyDescent="0.35">
      <c r="CG177" s="450"/>
    </row>
    <row r="178" spans="85:85" x14ac:dyDescent="0.35">
      <c r="CG178" s="450"/>
    </row>
    <row r="179" spans="85:85" x14ac:dyDescent="0.35">
      <c r="CG179" s="450"/>
    </row>
    <row r="180" spans="85:85" x14ac:dyDescent="0.35">
      <c r="CG180" s="450"/>
    </row>
    <row r="181" spans="85:85" x14ac:dyDescent="0.35">
      <c r="CG181" s="450"/>
    </row>
    <row r="182" spans="85:85" x14ac:dyDescent="0.35">
      <c r="CG182" s="450"/>
    </row>
    <row r="183" spans="85:85" x14ac:dyDescent="0.35">
      <c r="CG183" s="450"/>
    </row>
    <row r="184" spans="85:85" x14ac:dyDescent="0.35">
      <c r="CG184" s="450"/>
    </row>
    <row r="185" spans="85:85" x14ac:dyDescent="0.35">
      <c r="CG185" s="450"/>
    </row>
    <row r="186" spans="85:85" x14ac:dyDescent="0.35">
      <c r="CG186" s="450"/>
    </row>
    <row r="187" spans="85:85" x14ac:dyDescent="0.35">
      <c r="CG187" s="450"/>
    </row>
    <row r="188" spans="85:85" x14ac:dyDescent="0.35">
      <c r="CG188" s="450"/>
    </row>
    <row r="189" spans="85:85" x14ac:dyDescent="0.35">
      <c r="CG189" s="450"/>
    </row>
    <row r="190" spans="85:85" x14ac:dyDescent="0.35">
      <c r="CG190" s="450"/>
    </row>
    <row r="191" spans="85:85" x14ac:dyDescent="0.35">
      <c r="CG191" s="450"/>
    </row>
    <row r="192" spans="85:85" x14ac:dyDescent="0.35">
      <c r="CG192" s="450"/>
    </row>
    <row r="193" spans="85:85" x14ac:dyDescent="0.35">
      <c r="CG193" s="450"/>
    </row>
    <row r="194" spans="85:85" x14ac:dyDescent="0.35">
      <c r="CG194" s="450"/>
    </row>
    <row r="195" spans="85:85" x14ac:dyDescent="0.35">
      <c r="CG195" s="450"/>
    </row>
    <row r="196" spans="85:85" x14ac:dyDescent="0.35">
      <c r="CG196" s="450"/>
    </row>
    <row r="197" spans="85:85" x14ac:dyDescent="0.35">
      <c r="CG197" s="450"/>
    </row>
    <row r="198" spans="85:85" x14ac:dyDescent="0.35">
      <c r="CG198" s="450"/>
    </row>
    <row r="199" spans="85:85" x14ac:dyDescent="0.35">
      <c r="CG199" s="450"/>
    </row>
    <row r="200" spans="85:85" x14ac:dyDescent="0.35">
      <c r="CG200" s="450"/>
    </row>
    <row r="201" spans="85:85" x14ac:dyDescent="0.35">
      <c r="CG201" s="450"/>
    </row>
    <row r="202" spans="85:85" x14ac:dyDescent="0.35">
      <c r="CG202" s="450"/>
    </row>
    <row r="203" spans="85:85" x14ac:dyDescent="0.35">
      <c r="CG203" s="450"/>
    </row>
    <row r="204" spans="85:85" x14ac:dyDescent="0.35">
      <c r="CG204" s="450"/>
    </row>
    <row r="205" spans="85:85" x14ac:dyDescent="0.35">
      <c r="CG205" s="450"/>
    </row>
    <row r="206" spans="85:85" x14ac:dyDescent="0.35">
      <c r="CG206" s="450"/>
    </row>
    <row r="207" spans="85:85" x14ac:dyDescent="0.35">
      <c r="CG207" s="450"/>
    </row>
    <row r="208" spans="85:85" x14ac:dyDescent="0.35">
      <c r="CG208" s="450"/>
    </row>
    <row r="209" spans="85:85" x14ac:dyDescent="0.35">
      <c r="CG209" s="450"/>
    </row>
    <row r="210" spans="85:85" x14ac:dyDescent="0.35">
      <c r="CG210" s="450"/>
    </row>
    <row r="211" spans="85:85" x14ac:dyDescent="0.35">
      <c r="CG211" s="450"/>
    </row>
    <row r="212" spans="85:85" x14ac:dyDescent="0.35">
      <c r="CG212" s="450"/>
    </row>
    <row r="213" spans="85:85" x14ac:dyDescent="0.35">
      <c r="CG213" s="450"/>
    </row>
    <row r="214" spans="85:85" x14ac:dyDescent="0.35">
      <c r="CG214" s="450"/>
    </row>
    <row r="215" spans="85:85" x14ac:dyDescent="0.35">
      <c r="CG215" s="450"/>
    </row>
    <row r="216" spans="85:85" x14ac:dyDescent="0.35">
      <c r="CG216" s="450"/>
    </row>
    <row r="217" spans="85:85" x14ac:dyDescent="0.35">
      <c r="CG217" s="450"/>
    </row>
    <row r="218" spans="85:85" x14ac:dyDescent="0.35">
      <c r="CG218" s="450"/>
    </row>
    <row r="219" spans="85:85" x14ac:dyDescent="0.35">
      <c r="CG219" s="450"/>
    </row>
    <row r="220" spans="85:85" x14ac:dyDescent="0.35">
      <c r="CG220" s="450"/>
    </row>
    <row r="221" spans="85:85" x14ac:dyDescent="0.35">
      <c r="CG221" s="450"/>
    </row>
    <row r="222" spans="85:85" x14ac:dyDescent="0.35">
      <c r="CG222" s="450"/>
    </row>
    <row r="223" spans="85:85" x14ac:dyDescent="0.35">
      <c r="CG223" s="450"/>
    </row>
    <row r="224" spans="85:85" x14ac:dyDescent="0.35">
      <c r="CG224" s="450"/>
    </row>
    <row r="225" spans="85:85" x14ac:dyDescent="0.35">
      <c r="CG225" s="450"/>
    </row>
    <row r="226" spans="85:85" x14ac:dyDescent="0.35">
      <c r="CG226" s="450"/>
    </row>
    <row r="227" spans="85:85" x14ac:dyDescent="0.35">
      <c r="CG227" s="450"/>
    </row>
    <row r="228" spans="85:85" x14ac:dyDescent="0.35">
      <c r="CG228" s="450"/>
    </row>
    <row r="229" spans="85:85" x14ac:dyDescent="0.35">
      <c r="CG229" s="450"/>
    </row>
    <row r="230" spans="85:85" x14ac:dyDescent="0.35">
      <c r="CG230" s="450"/>
    </row>
    <row r="231" spans="85:85" x14ac:dyDescent="0.35">
      <c r="CG231" s="450"/>
    </row>
    <row r="232" spans="85:85" x14ac:dyDescent="0.35">
      <c r="CG232" s="450"/>
    </row>
    <row r="233" spans="85:85" x14ac:dyDescent="0.35">
      <c r="CG233" s="450"/>
    </row>
    <row r="234" spans="85:85" x14ac:dyDescent="0.35">
      <c r="CG234" s="450"/>
    </row>
    <row r="235" spans="85:85" x14ac:dyDescent="0.35">
      <c r="CG235" s="450"/>
    </row>
    <row r="236" spans="85:85" x14ac:dyDescent="0.35">
      <c r="CG236" s="450"/>
    </row>
    <row r="237" spans="85:85" x14ac:dyDescent="0.35">
      <c r="CG237" s="450"/>
    </row>
    <row r="238" spans="85:85" x14ac:dyDescent="0.35">
      <c r="CG238" s="450"/>
    </row>
    <row r="239" spans="85:85" x14ac:dyDescent="0.35">
      <c r="CG239" s="450"/>
    </row>
    <row r="240" spans="85:85" x14ac:dyDescent="0.35">
      <c r="CG240" s="450"/>
    </row>
    <row r="241" spans="85:85" x14ac:dyDescent="0.35">
      <c r="CG241" s="450"/>
    </row>
    <row r="242" spans="85:85" x14ac:dyDescent="0.35">
      <c r="CG242" s="450"/>
    </row>
    <row r="243" spans="85:85" x14ac:dyDescent="0.35">
      <c r="CG243" s="450"/>
    </row>
    <row r="244" spans="85:85" x14ac:dyDescent="0.35">
      <c r="CG244" s="450"/>
    </row>
    <row r="245" spans="85:85" x14ac:dyDescent="0.35">
      <c r="CG245" s="450"/>
    </row>
    <row r="246" spans="85:85" x14ac:dyDescent="0.35">
      <c r="CG246" s="450"/>
    </row>
    <row r="247" spans="85:85" x14ac:dyDescent="0.35">
      <c r="CG247" s="450"/>
    </row>
    <row r="248" spans="85:85" x14ac:dyDescent="0.35">
      <c r="CG248" s="450"/>
    </row>
    <row r="249" spans="85:85" x14ac:dyDescent="0.35">
      <c r="CG249" s="450"/>
    </row>
    <row r="250" spans="85:85" x14ac:dyDescent="0.35">
      <c r="CG250" s="450"/>
    </row>
    <row r="251" spans="85:85" x14ac:dyDescent="0.35">
      <c r="CG251" s="450"/>
    </row>
    <row r="252" spans="85:85" x14ac:dyDescent="0.35">
      <c r="CG252" s="450"/>
    </row>
    <row r="253" spans="85:85" x14ac:dyDescent="0.35">
      <c r="CG253" s="450"/>
    </row>
    <row r="254" spans="85:85" x14ac:dyDescent="0.35">
      <c r="CG254" s="450"/>
    </row>
    <row r="255" spans="85:85" x14ac:dyDescent="0.35">
      <c r="CG255" s="450"/>
    </row>
    <row r="256" spans="85:85" x14ac:dyDescent="0.35">
      <c r="CG256" s="450"/>
    </row>
    <row r="257" spans="85:85" x14ac:dyDescent="0.35">
      <c r="CG257" s="450"/>
    </row>
    <row r="258" spans="85:85" x14ac:dyDescent="0.35">
      <c r="CG258" s="450"/>
    </row>
    <row r="259" spans="85:85" x14ac:dyDescent="0.35">
      <c r="CG259" s="450"/>
    </row>
    <row r="260" spans="85:85" x14ac:dyDescent="0.35">
      <c r="CG260" s="450"/>
    </row>
    <row r="261" spans="85:85" x14ac:dyDescent="0.35">
      <c r="CG261" s="450"/>
    </row>
    <row r="262" spans="85:85" x14ac:dyDescent="0.35">
      <c r="CG262" s="450"/>
    </row>
    <row r="263" spans="85:85" x14ac:dyDescent="0.35">
      <c r="CG263" s="450"/>
    </row>
    <row r="264" spans="85:85" x14ac:dyDescent="0.35">
      <c r="CG264" s="450"/>
    </row>
    <row r="265" spans="85:85" x14ac:dyDescent="0.35">
      <c r="CG265" s="450"/>
    </row>
    <row r="266" spans="85:85" x14ac:dyDescent="0.35">
      <c r="CG266" s="450"/>
    </row>
    <row r="267" spans="85:85" x14ac:dyDescent="0.35">
      <c r="CG267" s="450"/>
    </row>
    <row r="268" spans="85:85" x14ac:dyDescent="0.35">
      <c r="CG268" s="450"/>
    </row>
    <row r="269" spans="85:85" x14ac:dyDescent="0.35">
      <c r="CG269" s="450"/>
    </row>
    <row r="270" spans="85:85" x14ac:dyDescent="0.35">
      <c r="CG270" s="450"/>
    </row>
    <row r="271" spans="85:85" x14ac:dyDescent="0.35">
      <c r="CG271" s="450"/>
    </row>
    <row r="272" spans="85:85" x14ac:dyDescent="0.35">
      <c r="CG272" s="450"/>
    </row>
    <row r="273" spans="85:85" x14ac:dyDescent="0.35">
      <c r="CG273" s="450"/>
    </row>
    <row r="274" spans="85:85" x14ac:dyDescent="0.35">
      <c r="CG274" s="450"/>
    </row>
    <row r="275" spans="85:85" x14ac:dyDescent="0.35">
      <c r="CG275" s="450"/>
    </row>
    <row r="276" spans="85:85" x14ac:dyDescent="0.35">
      <c r="CG276" s="450"/>
    </row>
    <row r="277" spans="85:85" x14ac:dyDescent="0.35">
      <c r="CG277" s="450"/>
    </row>
    <row r="278" spans="85:85" x14ac:dyDescent="0.35">
      <c r="CG278" s="450"/>
    </row>
    <row r="279" spans="85:85" x14ac:dyDescent="0.35">
      <c r="CG279" s="450"/>
    </row>
    <row r="280" spans="85:85" x14ac:dyDescent="0.35">
      <c r="CG280" s="450"/>
    </row>
    <row r="281" spans="85:85" x14ac:dyDescent="0.35">
      <c r="CG281" s="450"/>
    </row>
    <row r="282" spans="85:85" x14ac:dyDescent="0.35">
      <c r="CG282" s="450"/>
    </row>
    <row r="283" spans="85:85" x14ac:dyDescent="0.35">
      <c r="CG283" s="450"/>
    </row>
    <row r="284" spans="85:85" x14ac:dyDescent="0.35">
      <c r="CG284" s="450"/>
    </row>
    <row r="285" spans="85:85" x14ac:dyDescent="0.35">
      <c r="CG285" s="450"/>
    </row>
    <row r="286" spans="85:85" x14ac:dyDescent="0.35">
      <c r="CG286" s="450"/>
    </row>
    <row r="287" spans="85:85" x14ac:dyDescent="0.35">
      <c r="CG287" s="450"/>
    </row>
    <row r="288" spans="85:85" x14ac:dyDescent="0.35">
      <c r="CG288" s="450"/>
    </row>
    <row r="289" spans="85:85" x14ac:dyDescent="0.35">
      <c r="CG289" s="450"/>
    </row>
    <row r="290" spans="85:85" x14ac:dyDescent="0.35">
      <c r="CG290" s="450"/>
    </row>
    <row r="291" spans="85:85" x14ac:dyDescent="0.35">
      <c r="CG291" s="450"/>
    </row>
    <row r="292" spans="85:85" x14ac:dyDescent="0.35">
      <c r="CG292" s="450"/>
    </row>
    <row r="293" spans="85:85" x14ac:dyDescent="0.35">
      <c r="CG293" s="450"/>
    </row>
    <row r="294" spans="85:85" x14ac:dyDescent="0.35">
      <c r="CG294" s="450"/>
    </row>
    <row r="295" spans="85:85" x14ac:dyDescent="0.35">
      <c r="CG295" s="450"/>
    </row>
    <row r="296" spans="85:85" x14ac:dyDescent="0.35">
      <c r="CG296" s="450"/>
    </row>
    <row r="297" spans="85:85" x14ac:dyDescent="0.35">
      <c r="CG297" s="450"/>
    </row>
    <row r="298" spans="85:85" x14ac:dyDescent="0.35">
      <c r="CG298" s="450"/>
    </row>
    <row r="299" spans="85:85" x14ac:dyDescent="0.35">
      <c r="CG299" s="450"/>
    </row>
    <row r="300" spans="85:85" x14ac:dyDescent="0.35">
      <c r="CG300" s="450"/>
    </row>
    <row r="301" spans="85:85" x14ac:dyDescent="0.35">
      <c r="CG301" s="450"/>
    </row>
    <row r="302" spans="85:85" x14ac:dyDescent="0.35">
      <c r="CG302" s="450"/>
    </row>
    <row r="303" spans="85:85" x14ac:dyDescent="0.35">
      <c r="CG303" s="450"/>
    </row>
    <row r="304" spans="85:85" x14ac:dyDescent="0.35">
      <c r="CG304" s="450"/>
    </row>
    <row r="305" spans="85:85" x14ac:dyDescent="0.35">
      <c r="CG305" s="450"/>
    </row>
    <row r="306" spans="85:85" x14ac:dyDescent="0.35">
      <c r="CG306" s="450"/>
    </row>
    <row r="307" spans="85:85" x14ac:dyDescent="0.35">
      <c r="CG307" s="450"/>
    </row>
    <row r="308" spans="85:85" x14ac:dyDescent="0.35">
      <c r="CG308" s="450"/>
    </row>
    <row r="309" spans="85:85" x14ac:dyDescent="0.35">
      <c r="CG309" s="450"/>
    </row>
    <row r="310" spans="85:85" x14ac:dyDescent="0.35">
      <c r="CG310" s="450"/>
    </row>
    <row r="311" spans="85:85" x14ac:dyDescent="0.35">
      <c r="CG311" s="450"/>
    </row>
    <row r="312" spans="85:85" x14ac:dyDescent="0.35">
      <c r="CG312" s="450"/>
    </row>
    <row r="313" spans="85:85" x14ac:dyDescent="0.35">
      <c r="CG313" s="450"/>
    </row>
    <row r="314" spans="85:85" x14ac:dyDescent="0.35">
      <c r="CG314" s="450"/>
    </row>
    <row r="315" spans="85:85" x14ac:dyDescent="0.35">
      <c r="CG315" s="450"/>
    </row>
    <row r="316" spans="85:85" x14ac:dyDescent="0.35">
      <c r="CG316" s="450"/>
    </row>
    <row r="317" spans="85:85" x14ac:dyDescent="0.35">
      <c r="CG317" s="450"/>
    </row>
    <row r="318" spans="85:85" x14ac:dyDescent="0.35">
      <c r="CG318" s="450"/>
    </row>
    <row r="319" spans="85:85" x14ac:dyDescent="0.35">
      <c r="CG319" s="450"/>
    </row>
    <row r="320" spans="85:85" x14ac:dyDescent="0.35">
      <c r="CG320" s="450"/>
    </row>
    <row r="321" spans="85:85" x14ac:dyDescent="0.35">
      <c r="CG321" s="450"/>
    </row>
    <row r="322" spans="85:85" x14ac:dyDescent="0.35">
      <c r="CG322" s="450"/>
    </row>
    <row r="323" spans="85:85" x14ac:dyDescent="0.35">
      <c r="CG323" s="450"/>
    </row>
    <row r="324" spans="85:85" x14ac:dyDescent="0.35">
      <c r="CG324" s="450"/>
    </row>
    <row r="325" spans="85:85" x14ac:dyDescent="0.35">
      <c r="CG325" s="450"/>
    </row>
    <row r="326" spans="85:85" x14ac:dyDescent="0.35">
      <c r="CG326" s="450"/>
    </row>
    <row r="327" spans="85:85" x14ac:dyDescent="0.35">
      <c r="CG327" s="450"/>
    </row>
    <row r="328" spans="85:85" x14ac:dyDescent="0.35">
      <c r="CG328" s="450"/>
    </row>
    <row r="329" spans="85:85" x14ac:dyDescent="0.35">
      <c r="CG329" s="450"/>
    </row>
    <row r="330" spans="85:85" x14ac:dyDescent="0.35">
      <c r="CG330" s="450"/>
    </row>
    <row r="331" spans="85:85" x14ac:dyDescent="0.35">
      <c r="CG331" s="450"/>
    </row>
    <row r="332" spans="85:85" x14ac:dyDescent="0.35">
      <c r="CG332" s="450"/>
    </row>
    <row r="333" spans="85:85" x14ac:dyDescent="0.35">
      <c r="CG333" s="450"/>
    </row>
    <row r="334" spans="85:85" x14ac:dyDescent="0.35">
      <c r="CG334" s="450"/>
    </row>
    <row r="335" spans="85:85" x14ac:dyDescent="0.35">
      <c r="CG335" s="450"/>
    </row>
    <row r="336" spans="85:85" x14ac:dyDescent="0.35">
      <c r="CG336" s="450"/>
    </row>
    <row r="337" spans="85:85" x14ac:dyDescent="0.35">
      <c r="CG337" s="450"/>
    </row>
    <row r="338" spans="85:85" x14ac:dyDescent="0.35">
      <c r="CG338" s="450"/>
    </row>
    <row r="339" spans="85:85" x14ac:dyDescent="0.35">
      <c r="CG339" s="450"/>
    </row>
    <row r="340" spans="85:85" x14ac:dyDescent="0.35">
      <c r="CG340" s="450"/>
    </row>
    <row r="341" spans="85:85" x14ac:dyDescent="0.35">
      <c r="CG341" s="450"/>
    </row>
    <row r="342" spans="85:85" x14ac:dyDescent="0.35">
      <c r="CG342" s="450"/>
    </row>
    <row r="343" spans="85:85" x14ac:dyDescent="0.35">
      <c r="CG343" s="450"/>
    </row>
    <row r="344" spans="85:85" x14ac:dyDescent="0.35">
      <c r="CG344" s="450"/>
    </row>
    <row r="345" spans="85:85" x14ac:dyDescent="0.35">
      <c r="CG345" s="450"/>
    </row>
    <row r="346" spans="85:85" x14ac:dyDescent="0.35">
      <c r="CG346" s="450"/>
    </row>
    <row r="347" spans="85:85" x14ac:dyDescent="0.35">
      <c r="CG347" s="450"/>
    </row>
    <row r="348" spans="85:85" x14ac:dyDescent="0.35">
      <c r="CG348" s="450"/>
    </row>
    <row r="349" spans="85:85" x14ac:dyDescent="0.35">
      <c r="CG349" s="450"/>
    </row>
    <row r="350" spans="85:85" x14ac:dyDescent="0.35">
      <c r="CG350" s="450"/>
    </row>
    <row r="351" spans="85:85" x14ac:dyDescent="0.35">
      <c r="CG351" s="450"/>
    </row>
    <row r="352" spans="85:85" x14ac:dyDescent="0.35">
      <c r="CG352" s="450"/>
    </row>
    <row r="353" spans="85:85" x14ac:dyDescent="0.35">
      <c r="CG353" s="450"/>
    </row>
    <row r="354" spans="85:85" x14ac:dyDescent="0.35">
      <c r="CG354" s="450"/>
    </row>
    <row r="355" spans="85:85" x14ac:dyDescent="0.35">
      <c r="CG355" s="450"/>
    </row>
    <row r="356" spans="85:85" x14ac:dyDescent="0.35">
      <c r="CG356" s="450"/>
    </row>
    <row r="357" spans="85:85" x14ac:dyDescent="0.35">
      <c r="CG357" s="450"/>
    </row>
    <row r="358" spans="85:85" x14ac:dyDescent="0.35">
      <c r="CG358" s="450"/>
    </row>
    <row r="359" spans="85:85" x14ac:dyDescent="0.35">
      <c r="CG359" s="450"/>
    </row>
    <row r="360" spans="85:85" x14ac:dyDescent="0.35">
      <c r="CG360" s="450"/>
    </row>
    <row r="361" spans="85:85" x14ac:dyDescent="0.35">
      <c r="CG361" s="450"/>
    </row>
    <row r="362" spans="85:85" x14ac:dyDescent="0.35">
      <c r="CG362" s="450"/>
    </row>
    <row r="363" spans="85:85" x14ac:dyDescent="0.35">
      <c r="CG363" s="450"/>
    </row>
    <row r="364" spans="85:85" x14ac:dyDescent="0.35">
      <c r="CG364" s="450"/>
    </row>
    <row r="365" spans="85:85" x14ac:dyDescent="0.35">
      <c r="CG365" s="450"/>
    </row>
    <row r="366" spans="85:85" x14ac:dyDescent="0.35">
      <c r="CG366" s="450"/>
    </row>
    <row r="367" spans="85:85" x14ac:dyDescent="0.35">
      <c r="CG367" s="450"/>
    </row>
    <row r="368" spans="85:85" x14ac:dyDescent="0.35">
      <c r="CG368" s="450"/>
    </row>
    <row r="369" spans="85:85" x14ac:dyDescent="0.35">
      <c r="CG369" s="450"/>
    </row>
    <row r="370" spans="85:85" x14ac:dyDescent="0.35">
      <c r="CG370" s="450"/>
    </row>
    <row r="371" spans="85:85" x14ac:dyDescent="0.35">
      <c r="CG371" s="450"/>
    </row>
    <row r="372" spans="85:85" x14ac:dyDescent="0.35">
      <c r="CG372" s="450"/>
    </row>
    <row r="373" spans="85:85" x14ac:dyDescent="0.35">
      <c r="CG373" s="450"/>
    </row>
    <row r="374" spans="85:85" x14ac:dyDescent="0.35">
      <c r="CG374" s="450"/>
    </row>
    <row r="375" spans="85:85" x14ac:dyDescent="0.35">
      <c r="CG375" s="450"/>
    </row>
    <row r="376" spans="85:85" x14ac:dyDescent="0.35">
      <c r="CG376" s="450"/>
    </row>
    <row r="377" spans="85:85" x14ac:dyDescent="0.35">
      <c r="CG377" s="450"/>
    </row>
    <row r="378" spans="85:85" x14ac:dyDescent="0.35">
      <c r="CG378" s="450"/>
    </row>
    <row r="379" spans="85:85" x14ac:dyDescent="0.35">
      <c r="CG379" s="450"/>
    </row>
    <row r="380" spans="85:85" x14ac:dyDescent="0.35">
      <c r="CG380" s="450"/>
    </row>
    <row r="381" spans="85:85" x14ac:dyDescent="0.35">
      <c r="CG381" s="450"/>
    </row>
    <row r="382" spans="85:85" x14ac:dyDescent="0.35">
      <c r="CG382" s="450"/>
    </row>
    <row r="383" spans="85:85" x14ac:dyDescent="0.35">
      <c r="CG383" s="450"/>
    </row>
    <row r="384" spans="85:85" x14ac:dyDescent="0.35">
      <c r="CG384" s="450"/>
    </row>
    <row r="385" spans="85:85" x14ac:dyDescent="0.35">
      <c r="CG385" s="450"/>
    </row>
    <row r="386" spans="85:85" x14ac:dyDescent="0.35">
      <c r="CG386" s="450"/>
    </row>
    <row r="387" spans="85:85" x14ac:dyDescent="0.35">
      <c r="CG387" s="450"/>
    </row>
    <row r="388" spans="85:85" x14ac:dyDescent="0.35">
      <c r="CG388" s="450"/>
    </row>
    <row r="389" spans="85:85" x14ac:dyDescent="0.35">
      <c r="CG389" s="450"/>
    </row>
    <row r="390" spans="85:85" x14ac:dyDescent="0.35">
      <c r="CG390" s="450"/>
    </row>
    <row r="391" spans="85:85" x14ac:dyDescent="0.35">
      <c r="CG391" s="450"/>
    </row>
    <row r="392" spans="85:85" x14ac:dyDescent="0.35">
      <c r="CG392" s="450"/>
    </row>
    <row r="393" spans="85:85" x14ac:dyDescent="0.35">
      <c r="CG393" s="450"/>
    </row>
    <row r="394" spans="85:85" x14ac:dyDescent="0.35">
      <c r="CG394" s="450"/>
    </row>
    <row r="395" spans="85:85" x14ac:dyDescent="0.35">
      <c r="CG395" s="450"/>
    </row>
    <row r="396" spans="85:85" x14ac:dyDescent="0.35">
      <c r="CG396" s="450"/>
    </row>
    <row r="397" spans="85:85" x14ac:dyDescent="0.35">
      <c r="CG397" s="450"/>
    </row>
    <row r="398" spans="85:85" x14ac:dyDescent="0.35">
      <c r="CG398" s="450"/>
    </row>
    <row r="399" spans="85:85" x14ac:dyDescent="0.35">
      <c r="CG399" s="450"/>
    </row>
    <row r="400" spans="85:85" x14ac:dyDescent="0.35">
      <c r="CG400" s="450"/>
    </row>
    <row r="401" spans="85:85" x14ac:dyDescent="0.35">
      <c r="CG401" s="450"/>
    </row>
    <row r="402" spans="85:85" x14ac:dyDescent="0.35">
      <c r="CG402" s="450"/>
    </row>
    <row r="403" spans="85:85" x14ac:dyDescent="0.35">
      <c r="CG403" s="450"/>
    </row>
    <row r="404" spans="85:85" x14ac:dyDescent="0.35">
      <c r="CG404" s="450"/>
    </row>
    <row r="405" spans="85:85" x14ac:dyDescent="0.35">
      <c r="CG405" s="450"/>
    </row>
    <row r="406" spans="85:85" x14ac:dyDescent="0.35">
      <c r="CG406" s="450"/>
    </row>
    <row r="407" spans="85:85" x14ac:dyDescent="0.35">
      <c r="CG407" s="450"/>
    </row>
    <row r="408" spans="85:85" x14ac:dyDescent="0.35">
      <c r="CG408" s="450"/>
    </row>
    <row r="409" spans="85:85" x14ac:dyDescent="0.35">
      <c r="CG409" s="450"/>
    </row>
    <row r="410" spans="85:85" x14ac:dyDescent="0.35">
      <c r="CG410" s="450"/>
    </row>
    <row r="411" spans="85:85" x14ac:dyDescent="0.35">
      <c r="CG411" s="450"/>
    </row>
    <row r="412" spans="85:85" x14ac:dyDescent="0.35">
      <c r="CG412" s="450"/>
    </row>
    <row r="413" spans="85:85" x14ac:dyDescent="0.35">
      <c r="CG413" s="450"/>
    </row>
    <row r="414" spans="85:85" x14ac:dyDescent="0.35">
      <c r="CG414" s="450"/>
    </row>
    <row r="415" spans="85:85" x14ac:dyDescent="0.35">
      <c r="CG415" s="450"/>
    </row>
    <row r="416" spans="85:85" x14ac:dyDescent="0.35">
      <c r="CG416" s="450"/>
    </row>
    <row r="417" spans="85:85" x14ac:dyDescent="0.35">
      <c r="CG417" s="450"/>
    </row>
    <row r="418" spans="85:85" x14ac:dyDescent="0.35">
      <c r="CG418" s="450"/>
    </row>
    <row r="419" spans="85:85" x14ac:dyDescent="0.35">
      <c r="CG419" s="450"/>
    </row>
    <row r="420" spans="85:85" x14ac:dyDescent="0.35">
      <c r="CG420" s="450"/>
    </row>
    <row r="421" spans="85:85" x14ac:dyDescent="0.35">
      <c r="CG421" s="450"/>
    </row>
    <row r="422" spans="85:85" x14ac:dyDescent="0.35">
      <c r="CG422" s="450"/>
    </row>
    <row r="423" spans="85:85" x14ac:dyDescent="0.35">
      <c r="CG423" s="450"/>
    </row>
    <row r="424" spans="85:85" x14ac:dyDescent="0.35">
      <c r="CG424" s="450"/>
    </row>
    <row r="425" spans="85:85" x14ac:dyDescent="0.35">
      <c r="CG425" s="450"/>
    </row>
    <row r="426" spans="85:85" x14ac:dyDescent="0.35">
      <c r="CG426" s="450"/>
    </row>
    <row r="427" spans="85:85" x14ac:dyDescent="0.35">
      <c r="CG427" s="450"/>
    </row>
    <row r="428" spans="85:85" x14ac:dyDescent="0.35">
      <c r="CG428" s="450"/>
    </row>
    <row r="429" spans="85:85" x14ac:dyDescent="0.35">
      <c r="CG429" s="450"/>
    </row>
    <row r="430" spans="85:85" x14ac:dyDescent="0.35">
      <c r="CG430" s="450"/>
    </row>
    <row r="431" spans="85:85" x14ac:dyDescent="0.35">
      <c r="CG431" s="450"/>
    </row>
    <row r="432" spans="85:85" x14ac:dyDescent="0.35">
      <c r="CG432" s="450"/>
    </row>
    <row r="433" spans="85:85" x14ac:dyDescent="0.35">
      <c r="CG433" s="450"/>
    </row>
    <row r="434" spans="85:85" x14ac:dyDescent="0.35">
      <c r="CG434" s="450"/>
    </row>
    <row r="435" spans="85:85" x14ac:dyDescent="0.35">
      <c r="CG435" s="450"/>
    </row>
    <row r="436" spans="85:85" x14ac:dyDescent="0.35">
      <c r="CG436" s="450"/>
    </row>
    <row r="437" spans="85:85" x14ac:dyDescent="0.35">
      <c r="CG437" s="450"/>
    </row>
    <row r="438" spans="85:85" x14ac:dyDescent="0.35">
      <c r="CG438" s="450"/>
    </row>
    <row r="439" spans="85:85" x14ac:dyDescent="0.35">
      <c r="CG439" s="450"/>
    </row>
    <row r="440" spans="85:85" x14ac:dyDescent="0.35">
      <c r="CG440" s="450"/>
    </row>
    <row r="441" spans="85:85" x14ac:dyDescent="0.35">
      <c r="CG441" s="450"/>
    </row>
    <row r="442" spans="85:85" x14ac:dyDescent="0.35">
      <c r="CG442" s="450"/>
    </row>
    <row r="443" spans="85:85" x14ac:dyDescent="0.35">
      <c r="CG443" s="450"/>
    </row>
    <row r="444" spans="85:85" x14ac:dyDescent="0.35">
      <c r="CG444" s="450"/>
    </row>
    <row r="445" spans="85:85" x14ac:dyDescent="0.35">
      <c r="CG445" s="450"/>
    </row>
    <row r="446" spans="85:85" x14ac:dyDescent="0.35">
      <c r="CG446" s="450"/>
    </row>
    <row r="447" spans="85:85" x14ac:dyDescent="0.35">
      <c r="CG447" s="450"/>
    </row>
    <row r="448" spans="85:85" x14ac:dyDescent="0.35">
      <c r="CG448" s="450"/>
    </row>
    <row r="449" spans="85:85" x14ac:dyDescent="0.35">
      <c r="CG449" s="450"/>
    </row>
    <row r="450" spans="85:85" x14ac:dyDescent="0.35">
      <c r="CG450" s="450"/>
    </row>
    <row r="451" spans="85:85" x14ac:dyDescent="0.35">
      <c r="CG451" s="450"/>
    </row>
    <row r="452" spans="85:85" x14ac:dyDescent="0.35">
      <c r="CG452" s="450"/>
    </row>
    <row r="453" spans="85:85" x14ac:dyDescent="0.35">
      <c r="CG453" s="450"/>
    </row>
    <row r="454" spans="85:85" x14ac:dyDescent="0.35">
      <c r="CG454" s="450"/>
    </row>
    <row r="455" spans="85:85" x14ac:dyDescent="0.35">
      <c r="CG455" s="450"/>
    </row>
    <row r="456" spans="85:85" x14ac:dyDescent="0.35">
      <c r="CG456" s="450"/>
    </row>
    <row r="457" spans="85:85" x14ac:dyDescent="0.35">
      <c r="CG457" s="450"/>
    </row>
    <row r="458" spans="85:85" x14ac:dyDescent="0.35">
      <c r="CG458" s="450"/>
    </row>
    <row r="459" spans="85:85" x14ac:dyDescent="0.35">
      <c r="CG459" s="450"/>
    </row>
    <row r="460" spans="85:85" x14ac:dyDescent="0.35">
      <c r="CG460" s="450"/>
    </row>
    <row r="461" spans="85:85" x14ac:dyDescent="0.35">
      <c r="CG461" s="450"/>
    </row>
    <row r="462" spans="85:85" x14ac:dyDescent="0.35">
      <c r="CG462" s="450"/>
    </row>
    <row r="463" spans="85:85" x14ac:dyDescent="0.35">
      <c r="CG463" s="450"/>
    </row>
    <row r="464" spans="85:85" x14ac:dyDescent="0.35">
      <c r="CG464" s="450"/>
    </row>
    <row r="465" spans="85:85" x14ac:dyDescent="0.35">
      <c r="CG465" s="450"/>
    </row>
    <row r="466" spans="85:85" x14ac:dyDescent="0.35">
      <c r="CG466" s="450"/>
    </row>
    <row r="467" spans="85:85" x14ac:dyDescent="0.35">
      <c r="CG467" s="450"/>
    </row>
    <row r="468" spans="85:85" x14ac:dyDescent="0.35">
      <c r="CG468" s="450"/>
    </row>
    <row r="469" spans="85:85" x14ac:dyDescent="0.35">
      <c r="CG469" s="450"/>
    </row>
    <row r="470" spans="85:85" x14ac:dyDescent="0.35">
      <c r="CG470" s="450"/>
    </row>
    <row r="471" spans="85:85" x14ac:dyDescent="0.35">
      <c r="CG471" s="450"/>
    </row>
    <row r="472" spans="85:85" x14ac:dyDescent="0.35">
      <c r="CG472" s="450"/>
    </row>
    <row r="473" spans="85:85" x14ac:dyDescent="0.35">
      <c r="CG473" s="450"/>
    </row>
    <row r="474" spans="85:85" x14ac:dyDescent="0.35">
      <c r="CG474" s="450"/>
    </row>
    <row r="475" spans="85:85" x14ac:dyDescent="0.35">
      <c r="CG475" s="450"/>
    </row>
    <row r="476" spans="85:85" x14ac:dyDescent="0.35">
      <c r="CG476" s="450"/>
    </row>
    <row r="477" spans="85:85" x14ac:dyDescent="0.35">
      <c r="CG477" s="450"/>
    </row>
    <row r="478" spans="85:85" x14ac:dyDescent="0.35">
      <c r="CG478" s="450"/>
    </row>
    <row r="479" spans="85:85" x14ac:dyDescent="0.35">
      <c r="CG479" s="450"/>
    </row>
    <row r="480" spans="85:85" x14ac:dyDescent="0.35">
      <c r="CG480" s="450"/>
    </row>
    <row r="481" spans="85:85" x14ac:dyDescent="0.35">
      <c r="CG481" s="450"/>
    </row>
    <row r="482" spans="85:85" x14ac:dyDescent="0.35">
      <c r="CG482" s="450"/>
    </row>
    <row r="483" spans="85:85" x14ac:dyDescent="0.35">
      <c r="CG483" s="450"/>
    </row>
    <row r="484" spans="85:85" x14ac:dyDescent="0.35">
      <c r="CG484" s="450"/>
    </row>
    <row r="485" spans="85:85" x14ac:dyDescent="0.35">
      <c r="CG485" s="450"/>
    </row>
    <row r="486" spans="85:85" x14ac:dyDescent="0.35">
      <c r="CG486" s="450"/>
    </row>
    <row r="487" spans="85:85" x14ac:dyDescent="0.35">
      <c r="CG487" s="450"/>
    </row>
    <row r="488" spans="85:85" x14ac:dyDescent="0.35">
      <c r="CG488" s="450"/>
    </row>
    <row r="489" spans="85:85" x14ac:dyDescent="0.35">
      <c r="CG489" s="450"/>
    </row>
    <row r="490" spans="85:85" x14ac:dyDescent="0.35">
      <c r="CG490" s="450"/>
    </row>
    <row r="491" spans="85:85" x14ac:dyDescent="0.35">
      <c r="CG491" s="450"/>
    </row>
    <row r="492" spans="85:85" x14ac:dyDescent="0.35">
      <c r="CG492" s="450"/>
    </row>
    <row r="493" spans="85:85" x14ac:dyDescent="0.35">
      <c r="CG493" s="450"/>
    </row>
    <row r="494" spans="85:85" x14ac:dyDescent="0.35">
      <c r="CG494" s="450"/>
    </row>
    <row r="495" spans="85:85" x14ac:dyDescent="0.35">
      <c r="CG495" s="450"/>
    </row>
    <row r="496" spans="85:85" x14ac:dyDescent="0.35">
      <c r="CG496" s="450"/>
    </row>
    <row r="497" spans="85:85" x14ac:dyDescent="0.35">
      <c r="CG497" s="450"/>
    </row>
    <row r="498" spans="85:85" x14ac:dyDescent="0.35">
      <c r="CG498" s="450"/>
    </row>
    <row r="499" spans="85:85" x14ac:dyDescent="0.35">
      <c r="CG499" s="450"/>
    </row>
    <row r="500" spans="85:85" x14ac:dyDescent="0.35">
      <c r="CG500" s="450"/>
    </row>
    <row r="501" spans="85:85" x14ac:dyDescent="0.35">
      <c r="CG501" s="450"/>
    </row>
    <row r="502" spans="85:85" x14ac:dyDescent="0.35">
      <c r="CG502" s="450"/>
    </row>
    <row r="503" spans="85:85" x14ac:dyDescent="0.35">
      <c r="CG503" s="450"/>
    </row>
    <row r="504" spans="85:85" x14ac:dyDescent="0.35">
      <c r="CG504" s="450"/>
    </row>
    <row r="505" spans="85:85" x14ac:dyDescent="0.35">
      <c r="CG505" s="450"/>
    </row>
    <row r="506" spans="85:85" x14ac:dyDescent="0.35">
      <c r="CG506" s="450"/>
    </row>
    <row r="507" spans="85:85" x14ac:dyDescent="0.35">
      <c r="CG507" s="450"/>
    </row>
    <row r="508" spans="85:85" x14ac:dyDescent="0.35">
      <c r="CG508" s="450"/>
    </row>
    <row r="509" spans="85:85" x14ac:dyDescent="0.35">
      <c r="CG509" s="450"/>
    </row>
    <row r="510" spans="85:85" x14ac:dyDescent="0.35">
      <c r="CG510" s="450"/>
    </row>
    <row r="511" spans="85:85" x14ac:dyDescent="0.35">
      <c r="CG511" s="450"/>
    </row>
    <row r="512" spans="85:85" x14ac:dyDescent="0.35">
      <c r="CG512" s="450"/>
    </row>
    <row r="513" spans="85:85" x14ac:dyDescent="0.35">
      <c r="CG513" s="450"/>
    </row>
    <row r="514" spans="85:85" x14ac:dyDescent="0.35">
      <c r="CG514" s="450"/>
    </row>
    <row r="515" spans="85:85" x14ac:dyDescent="0.35">
      <c r="CG515" s="450"/>
    </row>
    <row r="516" spans="85:85" x14ac:dyDescent="0.35">
      <c r="CG516" s="450"/>
    </row>
    <row r="517" spans="85:85" x14ac:dyDescent="0.35">
      <c r="CG517" s="450"/>
    </row>
    <row r="518" spans="85:85" x14ac:dyDescent="0.35">
      <c r="CG518" s="450"/>
    </row>
    <row r="519" spans="85:85" x14ac:dyDescent="0.35">
      <c r="CG519" s="450"/>
    </row>
    <row r="520" spans="85:85" x14ac:dyDescent="0.35">
      <c r="CG520" s="450"/>
    </row>
    <row r="521" spans="85:85" x14ac:dyDescent="0.35">
      <c r="CG521" s="450"/>
    </row>
    <row r="522" spans="85:85" x14ac:dyDescent="0.35">
      <c r="CG522" s="450"/>
    </row>
    <row r="523" spans="85:85" x14ac:dyDescent="0.35">
      <c r="CG523" s="450"/>
    </row>
    <row r="524" spans="85:85" x14ac:dyDescent="0.35">
      <c r="CG524" s="450"/>
    </row>
    <row r="525" spans="85:85" x14ac:dyDescent="0.35">
      <c r="CG525" s="450"/>
    </row>
    <row r="526" spans="85:85" x14ac:dyDescent="0.35">
      <c r="CG526" s="450"/>
    </row>
    <row r="527" spans="85:85" x14ac:dyDescent="0.35">
      <c r="CG527" s="450"/>
    </row>
    <row r="528" spans="85:85" x14ac:dyDescent="0.35">
      <c r="CG528" s="450"/>
    </row>
    <row r="529" spans="85:85" x14ac:dyDescent="0.35">
      <c r="CG529" s="450"/>
    </row>
    <row r="530" spans="85:85" x14ac:dyDescent="0.35">
      <c r="CG530" s="450"/>
    </row>
    <row r="531" spans="85:85" x14ac:dyDescent="0.35">
      <c r="CG531" s="450"/>
    </row>
    <row r="532" spans="85:85" x14ac:dyDescent="0.35">
      <c r="CG532" s="450"/>
    </row>
    <row r="533" spans="85:85" x14ac:dyDescent="0.35">
      <c r="CG533" s="450"/>
    </row>
    <row r="534" spans="85:85" x14ac:dyDescent="0.35">
      <c r="CG534" s="450"/>
    </row>
    <row r="535" spans="85:85" x14ac:dyDescent="0.35">
      <c r="CG535" s="450"/>
    </row>
    <row r="536" spans="85:85" x14ac:dyDescent="0.35">
      <c r="CG536" s="450"/>
    </row>
    <row r="537" spans="85:85" x14ac:dyDescent="0.35">
      <c r="CG537" s="450"/>
    </row>
    <row r="538" spans="85:85" x14ac:dyDescent="0.35">
      <c r="CG538" s="450"/>
    </row>
    <row r="539" spans="85:85" x14ac:dyDescent="0.35">
      <c r="CG539" s="450"/>
    </row>
    <row r="540" spans="85:85" x14ac:dyDescent="0.35">
      <c r="CG540" s="450"/>
    </row>
    <row r="541" spans="85:85" x14ac:dyDescent="0.35">
      <c r="CG541" s="450"/>
    </row>
    <row r="542" spans="85:85" x14ac:dyDescent="0.35">
      <c r="CG542" s="450"/>
    </row>
    <row r="543" spans="85:85" x14ac:dyDescent="0.35">
      <c r="CG543" s="450"/>
    </row>
    <row r="544" spans="85:85" x14ac:dyDescent="0.35">
      <c r="CG544" s="450"/>
    </row>
    <row r="545" spans="85:85" x14ac:dyDescent="0.35">
      <c r="CG545" s="450"/>
    </row>
    <row r="546" spans="85:85" x14ac:dyDescent="0.35">
      <c r="CG546" s="450"/>
    </row>
    <row r="547" spans="85:85" x14ac:dyDescent="0.35">
      <c r="CG547" s="450"/>
    </row>
    <row r="548" spans="85:85" x14ac:dyDescent="0.35">
      <c r="CG548" s="450"/>
    </row>
    <row r="549" spans="85:85" x14ac:dyDescent="0.35">
      <c r="CG549" s="450"/>
    </row>
    <row r="550" spans="85:85" x14ac:dyDescent="0.35">
      <c r="CG550" s="450"/>
    </row>
    <row r="551" spans="85:85" x14ac:dyDescent="0.35">
      <c r="CG551" s="450"/>
    </row>
    <row r="552" spans="85:85" x14ac:dyDescent="0.35">
      <c r="CG552" s="450"/>
    </row>
    <row r="553" spans="85:85" x14ac:dyDescent="0.35">
      <c r="CG553" s="450"/>
    </row>
    <row r="554" spans="85:85" x14ac:dyDescent="0.35">
      <c r="CG554" s="450"/>
    </row>
    <row r="555" spans="85:85" x14ac:dyDescent="0.35">
      <c r="CG555" s="450"/>
    </row>
    <row r="556" spans="85:85" x14ac:dyDescent="0.35">
      <c r="CG556" s="450"/>
    </row>
    <row r="557" spans="85:85" x14ac:dyDescent="0.35">
      <c r="CG557" s="450"/>
    </row>
    <row r="558" spans="85:85" x14ac:dyDescent="0.35">
      <c r="CG558" s="450"/>
    </row>
    <row r="559" spans="85:85" x14ac:dyDescent="0.35">
      <c r="CG559" s="450"/>
    </row>
    <row r="560" spans="85:85" x14ac:dyDescent="0.35">
      <c r="CG560" s="450"/>
    </row>
    <row r="561" spans="85:85" x14ac:dyDescent="0.35">
      <c r="CG561" s="450"/>
    </row>
    <row r="562" spans="85:85" x14ac:dyDescent="0.35">
      <c r="CG562" s="450"/>
    </row>
    <row r="563" spans="85:85" x14ac:dyDescent="0.35">
      <c r="CG563" s="450"/>
    </row>
    <row r="564" spans="85:85" x14ac:dyDescent="0.35">
      <c r="CG564" s="450"/>
    </row>
    <row r="565" spans="85:85" x14ac:dyDescent="0.35">
      <c r="CG565" s="450"/>
    </row>
    <row r="566" spans="85:85" x14ac:dyDescent="0.35">
      <c r="CG566" s="450"/>
    </row>
    <row r="567" spans="85:85" x14ac:dyDescent="0.35">
      <c r="CG567" s="450"/>
    </row>
    <row r="568" spans="85:85" x14ac:dyDescent="0.35">
      <c r="CG568" s="450"/>
    </row>
    <row r="569" spans="85:85" x14ac:dyDescent="0.35">
      <c r="CG569" s="450"/>
    </row>
    <row r="570" spans="85:85" x14ac:dyDescent="0.35">
      <c r="CG570" s="450"/>
    </row>
    <row r="571" spans="85:85" x14ac:dyDescent="0.35">
      <c r="CG571" s="450"/>
    </row>
    <row r="572" spans="85:85" x14ac:dyDescent="0.35">
      <c r="CG572" s="450"/>
    </row>
    <row r="573" spans="85:85" x14ac:dyDescent="0.35">
      <c r="CG573" s="450"/>
    </row>
    <row r="574" spans="85:85" x14ac:dyDescent="0.35">
      <c r="CG574" s="450"/>
    </row>
    <row r="575" spans="85:85" x14ac:dyDescent="0.35">
      <c r="CG575" s="450"/>
    </row>
    <row r="576" spans="85:85" x14ac:dyDescent="0.35">
      <c r="CG576" s="450"/>
    </row>
    <row r="577" spans="85:85" x14ac:dyDescent="0.35">
      <c r="CG577" s="450"/>
    </row>
    <row r="578" spans="85:85" x14ac:dyDescent="0.35">
      <c r="CG578" s="450"/>
    </row>
    <row r="579" spans="85:85" x14ac:dyDescent="0.35">
      <c r="CG579" s="450"/>
    </row>
    <row r="580" spans="85:85" x14ac:dyDescent="0.35">
      <c r="CG580" s="450"/>
    </row>
    <row r="581" spans="85:85" x14ac:dyDescent="0.35">
      <c r="CG581" s="450"/>
    </row>
    <row r="582" spans="85:85" x14ac:dyDescent="0.35">
      <c r="CG582" s="450"/>
    </row>
    <row r="583" spans="85:85" x14ac:dyDescent="0.35">
      <c r="CG583" s="450"/>
    </row>
    <row r="584" spans="85:85" x14ac:dyDescent="0.35">
      <c r="CG584" s="450"/>
    </row>
    <row r="585" spans="85:85" x14ac:dyDescent="0.35">
      <c r="CG585" s="450"/>
    </row>
    <row r="586" spans="85:85" x14ac:dyDescent="0.35">
      <c r="CG586" s="450"/>
    </row>
    <row r="587" spans="85:85" x14ac:dyDescent="0.35">
      <c r="CG587" s="450"/>
    </row>
    <row r="588" spans="85:85" x14ac:dyDescent="0.35">
      <c r="CG588" s="450"/>
    </row>
    <row r="589" spans="85:85" x14ac:dyDescent="0.35">
      <c r="CG589" s="450"/>
    </row>
    <row r="590" spans="85:85" x14ac:dyDescent="0.35">
      <c r="CG590" s="450"/>
    </row>
    <row r="591" spans="85:85" x14ac:dyDescent="0.35">
      <c r="CG591" s="450"/>
    </row>
    <row r="592" spans="85:85" x14ac:dyDescent="0.35">
      <c r="CG592" s="450"/>
    </row>
    <row r="593" spans="85:85" x14ac:dyDescent="0.35">
      <c r="CG593" s="450"/>
    </row>
    <row r="594" spans="85:85" x14ac:dyDescent="0.35">
      <c r="CG594" s="450"/>
    </row>
    <row r="595" spans="85:85" x14ac:dyDescent="0.35">
      <c r="CG595" s="450"/>
    </row>
    <row r="596" spans="85:85" x14ac:dyDescent="0.35">
      <c r="CG596" s="450"/>
    </row>
    <row r="597" spans="85:85" x14ac:dyDescent="0.35">
      <c r="CG597" s="450"/>
    </row>
    <row r="598" spans="85:85" x14ac:dyDescent="0.35">
      <c r="CG598" s="450"/>
    </row>
    <row r="599" spans="85:85" x14ac:dyDescent="0.35">
      <c r="CG599" s="450"/>
    </row>
    <row r="600" spans="85:85" x14ac:dyDescent="0.35">
      <c r="CG600" s="450"/>
    </row>
    <row r="601" spans="85:85" x14ac:dyDescent="0.35">
      <c r="CG601" s="450"/>
    </row>
    <row r="602" spans="85:85" x14ac:dyDescent="0.35">
      <c r="CG602" s="450"/>
    </row>
    <row r="603" spans="85:85" x14ac:dyDescent="0.35">
      <c r="CG603" s="450"/>
    </row>
    <row r="604" spans="85:85" x14ac:dyDescent="0.35">
      <c r="CG604" s="450"/>
    </row>
    <row r="605" spans="85:85" x14ac:dyDescent="0.35">
      <c r="CG605" s="450"/>
    </row>
    <row r="606" spans="85:85" x14ac:dyDescent="0.35">
      <c r="CG606" s="450"/>
    </row>
    <row r="607" spans="85:85" x14ac:dyDescent="0.35">
      <c r="CG607" s="450"/>
    </row>
    <row r="608" spans="85:85" x14ac:dyDescent="0.35">
      <c r="CG608" s="450"/>
    </row>
    <row r="609" spans="85:85" x14ac:dyDescent="0.35">
      <c r="CG609" s="450"/>
    </row>
    <row r="610" spans="85:85" x14ac:dyDescent="0.35">
      <c r="CG610" s="450"/>
    </row>
    <row r="611" spans="85:85" x14ac:dyDescent="0.35">
      <c r="CG611" s="450"/>
    </row>
    <row r="612" spans="85:85" x14ac:dyDescent="0.35">
      <c r="CG612" s="450"/>
    </row>
    <row r="613" spans="85:85" x14ac:dyDescent="0.35">
      <c r="CG613" s="450"/>
    </row>
    <row r="614" spans="85:85" x14ac:dyDescent="0.35">
      <c r="CG614" s="450"/>
    </row>
    <row r="615" spans="85:85" x14ac:dyDescent="0.35">
      <c r="CG615" s="450"/>
    </row>
    <row r="616" spans="85:85" x14ac:dyDescent="0.35">
      <c r="CG616" s="450"/>
    </row>
    <row r="617" spans="85:85" x14ac:dyDescent="0.35">
      <c r="CG617" s="450"/>
    </row>
    <row r="618" spans="85:85" x14ac:dyDescent="0.35">
      <c r="CG618" s="450"/>
    </row>
    <row r="619" spans="85:85" x14ac:dyDescent="0.35">
      <c r="CG619" s="450"/>
    </row>
    <row r="620" spans="85:85" x14ac:dyDescent="0.35">
      <c r="CG620" s="450"/>
    </row>
    <row r="621" spans="85:85" x14ac:dyDescent="0.35">
      <c r="CG621" s="450"/>
    </row>
    <row r="622" spans="85:85" x14ac:dyDescent="0.35">
      <c r="CG622" s="450"/>
    </row>
    <row r="623" spans="85:85" x14ac:dyDescent="0.35">
      <c r="CG623" s="450"/>
    </row>
    <row r="624" spans="85:85" x14ac:dyDescent="0.35">
      <c r="CG624" s="450"/>
    </row>
    <row r="625" spans="85:85" x14ac:dyDescent="0.35">
      <c r="CG625" s="450"/>
    </row>
    <row r="626" spans="85:85" x14ac:dyDescent="0.35">
      <c r="CG626" s="450"/>
    </row>
    <row r="627" spans="85:85" x14ac:dyDescent="0.35">
      <c r="CG627" s="450"/>
    </row>
    <row r="628" spans="85:85" x14ac:dyDescent="0.35">
      <c r="CG628" s="450"/>
    </row>
    <row r="629" spans="85:85" x14ac:dyDescent="0.35">
      <c r="CG629" s="450"/>
    </row>
    <row r="630" spans="85:85" x14ac:dyDescent="0.35">
      <c r="CG630" s="450"/>
    </row>
    <row r="631" spans="85:85" x14ac:dyDescent="0.35">
      <c r="CG631" s="450"/>
    </row>
    <row r="632" spans="85:85" x14ac:dyDescent="0.35">
      <c r="CG632" s="450"/>
    </row>
    <row r="633" spans="85:85" x14ac:dyDescent="0.35">
      <c r="CG633" s="450"/>
    </row>
    <row r="634" spans="85:85" x14ac:dyDescent="0.35">
      <c r="CG634" s="450"/>
    </row>
    <row r="635" spans="85:85" x14ac:dyDescent="0.35">
      <c r="CG635" s="450"/>
    </row>
    <row r="636" spans="85:85" x14ac:dyDescent="0.35">
      <c r="CG636" s="450"/>
    </row>
    <row r="637" spans="85:85" x14ac:dyDescent="0.35">
      <c r="CG637" s="450"/>
    </row>
    <row r="638" spans="85:85" x14ac:dyDescent="0.35">
      <c r="CG638" s="450"/>
    </row>
    <row r="639" spans="85:85" x14ac:dyDescent="0.35">
      <c r="CG639" s="450"/>
    </row>
    <row r="640" spans="85:85" x14ac:dyDescent="0.35">
      <c r="CG640" s="450"/>
    </row>
    <row r="641" spans="85:85" x14ac:dyDescent="0.35">
      <c r="CG641" s="450"/>
    </row>
    <row r="642" spans="85:85" x14ac:dyDescent="0.35">
      <c r="CG642" s="450"/>
    </row>
    <row r="643" spans="85:85" x14ac:dyDescent="0.35">
      <c r="CG643" s="450"/>
    </row>
    <row r="644" spans="85:85" x14ac:dyDescent="0.35">
      <c r="CG644" s="450"/>
    </row>
    <row r="645" spans="85:85" x14ac:dyDescent="0.35">
      <c r="CG645" s="450"/>
    </row>
    <row r="646" spans="85:85" x14ac:dyDescent="0.35">
      <c r="CG646" s="450"/>
    </row>
    <row r="647" spans="85:85" x14ac:dyDescent="0.35">
      <c r="CG647" s="450"/>
    </row>
    <row r="648" spans="85:85" x14ac:dyDescent="0.35">
      <c r="CG648" s="450"/>
    </row>
    <row r="649" spans="85:85" x14ac:dyDescent="0.35">
      <c r="CG649" s="450"/>
    </row>
    <row r="650" spans="85:85" x14ac:dyDescent="0.35">
      <c r="CG650" s="450"/>
    </row>
    <row r="651" spans="85:85" x14ac:dyDescent="0.35">
      <c r="CG651" s="450"/>
    </row>
    <row r="652" spans="85:85" x14ac:dyDescent="0.35">
      <c r="CG652" s="450"/>
    </row>
    <row r="653" spans="85:85" x14ac:dyDescent="0.35">
      <c r="CG653" s="450"/>
    </row>
    <row r="654" spans="85:85" x14ac:dyDescent="0.35">
      <c r="CG654" s="450"/>
    </row>
    <row r="655" spans="85:85" x14ac:dyDescent="0.35">
      <c r="CG655" s="450"/>
    </row>
    <row r="656" spans="85:85" x14ac:dyDescent="0.35">
      <c r="CG656" s="450"/>
    </row>
    <row r="657" spans="85:85" x14ac:dyDescent="0.35">
      <c r="CG657" s="450"/>
    </row>
    <row r="658" spans="85:85" x14ac:dyDescent="0.35">
      <c r="CG658" s="450"/>
    </row>
    <row r="659" spans="85:85" x14ac:dyDescent="0.35">
      <c r="CG659" s="450"/>
    </row>
    <row r="660" spans="85:85" x14ac:dyDescent="0.35">
      <c r="CG660" s="450"/>
    </row>
    <row r="661" spans="85:85" x14ac:dyDescent="0.35">
      <c r="CG661" s="450"/>
    </row>
    <row r="662" spans="85:85" x14ac:dyDescent="0.35">
      <c r="CG662" s="450"/>
    </row>
    <row r="663" spans="85:85" x14ac:dyDescent="0.35">
      <c r="CG663" s="450"/>
    </row>
    <row r="664" spans="85:85" x14ac:dyDescent="0.35">
      <c r="CG664" s="450"/>
    </row>
    <row r="665" spans="85:85" x14ac:dyDescent="0.35">
      <c r="CG665" s="450"/>
    </row>
    <row r="666" spans="85:85" x14ac:dyDescent="0.35">
      <c r="CG666" s="450"/>
    </row>
    <row r="667" spans="85:85" x14ac:dyDescent="0.35">
      <c r="CG667" s="450"/>
    </row>
    <row r="668" spans="85:85" x14ac:dyDescent="0.35">
      <c r="CG668" s="450"/>
    </row>
    <row r="669" spans="85:85" x14ac:dyDescent="0.35">
      <c r="CG669" s="450"/>
    </row>
    <row r="670" spans="85:85" x14ac:dyDescent="0.35">
      <c r="CG670" s="450"/>
    </row>
    <row r="671" spans="85:85" x14ac:dyDescent="0.35">
      <c r="CG671" s="450"/>
    </row>
    <row r="672" spans="85:85" x14ac:dyDescent="0.35">
      <c r="CG672" s="450"/>
    </row>
    <row r="673" spans="85:85" x14ac:dyDescent="0.35">
      <c r="CG673" s="450"/>
    </row>
    <row r="674" spans="85:85" x14ac:dyDescent="0.35">
      <c r="CG674" s="450"/>
    </row>
    <row r="675" spans="85:85" x14ac:dyDescent="0.35">
      <c r="CG675" s="450"/>
    </row>
    <row r="676" spans="85:85" x14ac:dyDescent="0.35">
      <c r="CG676" s="450"/>
    </row>
    <row r="677" spans="85:85" x14ac:dyDescent="0.35">
      <c r="CG677" s="450"/>
    </row>
    <row r="678" spans="85:85" x14ac:dyDescent="0.35">
      <c r="CG678" s="450"/>
    </row>
    <row r="679" spans="85:85" x14ac:dyDescent="0.35">
      <c r="CG679" s="450"/>
    </row>
    <row r="680" spans="85:85" x14ac:dyDescent="0.35">
      <c r="CG680" s="450"/>
    </row>
    <row r="681" spans="85:85" x14ac:dyDescent="0.35">
      <c r="CG681" s="450"/>
    </row>
    <row r="682" spans="85:85" x14ac:dyDescent="0.35">
      <c r="CG682" s="450"/>
    </row>
    <row r="683" spans="85:85" x14ac:dyDescent="0.35">
      <c r="CG683" s="450"/>
    </row>
    <row r="684" spans="85:85" x14ac:dyDescent="0.35">
      <c r="CG684" s="450"/>
    </row>
    <row r="685" spans="85:85" x14ac:dyDescent="0.35">
      <c r="CG685" s="450"/>
    </row>
    <row r="686" spans="85:85" x14ac:dyDescent="0.35">
      <c r="CG686" s="450"/>
    </row>
    <row r="687" spans="85:85" x14ac:dyDescent="0.35">
      <c r="CG687" s="450"/>
    </row>
    <row r="688" spans="85:85" x14ac:dyDescent="0.35">
      <c r="CG688" s="450"/>
    </row>
    <row r="689" spans="85:85" x14ac:dyDescent="0.35">
      <c r="CG689" s="450"/>
    </row>
    <row r="690" spans="85:85" x14ac:dyDescent="0.35">
      <c r="CG690" s="450"/>
    </row>
    <row r="691" spans="85:85" x14ac:dyDescent="0.35">
      <c r="CG691" s="450"/>
    </row>
    <row r="692" spans="85:85" x14ac:dyDescent="0.35">
      <c r="CG692" s="450"/>
    </row>
    <row r="693" spans="85:85" x14ac:dyDescent="0.35">
      <c r="CG693" s="450"/>
    </row>
    <row r="694" spans="85:85" x14ac:dyDescent="0.35">
      <c r="CG694" s="450"/>
    </row>
    <row r="695" spans="85:85" x14ac:dyDescent="0.35">
      <c r="CG695" s="450"/>
    </row>
    <row r="696" spans="85:85" x14ac:dyDescent="0.35">
      <c r="CG696" s="450"/>
    </row>
    <row r="697" spans="85:85" x14ac:dyDescent="0.35">
      <c r="CG697" s="450"/>
    </row>
    <row r="698" spans="85:85" x14ac:dyDescent="0.35">
      <c r="CG698" s="450"/>
    </row>
    <row r="699" spans="85:85" x14ac:dyDescent="0.35">
      <c r="CG699" s="450"/>
    </row>
    <row r="700" spans="85:85" x14ac:dyDescent="0.35">
      <c r="CG700" s="450"/>
    </row>
    <row r="701" spans="85:85" x14ac:dyDescent="0.35">
      <c r="CG701" s="450"/>
    </row>
    <row r="702" spans="85:85" x14ac:dyDescent="0.35">
      <c r="CG702" s="450"/>
    </row>
    <row r="703" spans="85:85" x14ac:dyDescent="0.35">
      <c r="CG703" s="450"/>
    </row>
    <row r="704" spans="85:85" x14ac:dyDescent="0.35">
      <c r="CG704" s="450"/>
    </row>
    <row r="705" spans="85:85" x14ac:dyDescent="0.35">
      <c r="CG705" s="450"/>
    </row>
    <row r="706" spans="85:85" x14ac:dyDescent="0.35">
      <c r="CG706" s="450"/>
    </row>
    <row r="707" spans="85:85" x14ac:dyDescent="0.35">
      <c r="CG707" s="450"/>
    </row>
    <row r="708" spans="85:85" x14ac:dyDescent="0.35">
      <c r="CG708" s="450"/>
    </row>
    <row r="709" spans="85:85" x14ac:dyDescent="0.35">
      <c r="CG709" s="450"/>
    </row>
    <row r="710" spans="85:85" x14ac:dyDescent="0.35">
      <c r="CG710" s="450"/>
    </row>
    <row r="711" spans="85:85" x14ac:dyDescent="0.35">
      <c r="CG711" s="450"/>
    </row>
    <row r="712" spans="85:85" x14ac:dyDescent="0.35">
      <c r="CG712" s="450"/>
    </row>
    <row r="713" spans="85:85" x14ac:dyDescent="0.35">
      <c r="CG713" s="450"/>
    </row>
    <row r="714" spans="85:85" x14ac:dyDescent="0.35">
      <c r="CG714" s="450"/>
    </row>
    <row r="715" spans="85:85" x14ac:dyDescent="0.35">
      <c r="CG715" s="450"/>
    </row>
    <row r="716" spans="85:85" x14ac:dyDescent="0.35">
      <c r="CG716" s="450"/>
    </row>
    <row r="717" spans="85:85" x14ac:dyDescent="0.35">
      <c r="CG717" s="450"/>
    </row>
    <row r="718" spans="85:85" x14ac:dyDescent="0.35">
      <c r="CG718" s="450"/>
    </row>
    <row r="719" spans="85:85" x14ac:dyDescent="0.35">
      <c r="CG719" s="450"/>
    </row>
    <row r="720" spans="85:85" x14ac:dyDescent="0.35">
      <c r="CG720" s="450"/>
    </row>
    <row r="721" spans="85:85" x14ac:dyDescent="0.35">
      <c r="CG721" s="450"/>
    </row>
    <row r="722" spans="85:85" x14ac:dyDescent="0.35">
      <c r="CG722" s="450"/>
    </row>
    <row r="723" spans="85:85" x14ac:dyDescent="0.35">
      <c r="CG723" s="450"/>
    </row>
    <row r="724" spans="85:85" x14ac:dyDescent="0.35">
      <c r="CG724" s="450"/>
    </row>
    <row r="725" spans="85:85" x14ac:dyDescent="0.35">
      <c r="CG725" s="450"/>
    </row>
    <row r="726" spans="85:85" x14ac:dyDescent="0.35">
      <c r="CG726" s="450"/>
    </row>
    <row r="727" spans="85:85" x14ac:dyDescent="0.35">
      <c r="CG727" s="450"/>
    </row>
    <row r="728" spans="85:85" x14ac:dyDescent="0.35">
      <c r="CG728" s="450"/>
    </row>
    <row r="729" spans="85:85" x14ac:dyDescent="0.35">
      <c r="CG729" s="450"/>
    </row>
    <row r="730" spans="85:85" x14ac:dyDescent="0.35">
      <c r="CG730" s="450"/>
    </row>
    <row r="731" spans="85:85" x14ac:dyDescent="0.35">
      <c r="CG731" s="450"/>
    </row>
    <row r="732" spans="85:85" x14ac:dyDescent="0.35">
      <c r="CG732" s="450"/>
    </row>
    <row r="733" spans="85:85" x14ac:dyDescent="0.35">
      <c r="CG733" s="450"/>
    </row>
    <row r="734" spans="85:85" x14ac:dyDescent="0.35">
      <c r="CG734" s="450"/>
    </row>
    <row r="735" spans="85:85" x14ac:dyDescent="0.35">
      <c r="CG735" s="450"/>
    </row>
    <row r="736" spans="85:85" x14ac:dyDescent="0.35">
      <c r="CG736" s="450"/>
    </row>
    <row r="737" spans="85:85" x14ac:dyDescent="0.35">
      <c r="CG737" s="450"/>
    </row>
    <row r="738" spans="85:85" x14ac:dyDescent="0.35">
      <c r="CG738" s="450"/>
    </row>
    <row r="739" spans="85:85" x14ac:dyDescent="0.35">
      <c r="CG739" s="450"/>
    </row>
    <row r="740" spans="85:85" x14ac:dyDescent="0.35">
      <c r="CG740" s="450"/>
    </row>
    <row r="741" spans="85:85" x14ac:dyDescent="0.35">
      <c r="CG741" s="450"/>
    </row>
    <row r="742" spans="85:85" x14ac:dyDescent="0.35">
      <c r="CG742" s="450"/>
    </row>
    <row r="743" spans="85:85" x14ac:dyDescent="0.35">
      <c r="CG743" s="450"/>
    </row>
    <row r="744" spans="85:85" x14ac:dyDescent="0.35">
      <c r="CG744" s="450"/>
    </row>
    <row r="745" spans="85:85" x14ac:dyDescent="0.35">
      <c r="CG745" s="450"/>
    </row>
    <row r="746" spans="85:85" x14ac:dyDescent="0.35">
      <c r="CG746" s="450"/>
    </row>
    <row r="747" spans="85:85" x14ac:dyDescent="0.35">
      <c r="CG747" s="450"/>
    </row>
    <row r="748" spans="85:85" x14ac:dyDescent="0.35">
      <c r="CG748" s="450"/>
    </row>
    <row r="749" spans="85:85" x14ac:dyDescent="0.35">
      <c r="CG749" s="450"/>
    </row>
    <row r="750" spans="85:85" x14ac:dyDescent="0.35">
      <c r="CG750" s="450"/>
    </row>
    <row r="751" spans="85:85" x14ac:dyDescent="0.35">
      <c r="CG751" s="450"/>
    </row>
    <row r="752" spans="85:85" x14ac:dyDescent="0.35">
      <c r="CG752" s="450"/>
    </row>
    <row r="753" spans="85:85" x14ac:dyDescent="0.35">
      <c r="CG753" s="450"/>
    </row>
    <row r="754" spans="85:85" x14ac:dyDescent="0.35">
      <c r="CG754" s="450"/>
    </row>
    <row r="755" spans="85:85" x14ac:dyDescent="0.35">
      <c r="CG755" s="450"/>
    </row>
    <row r="756" spans="85:85" x14ac:dyDescent="0.35">
      <c r="CG756" s="450"/>
    </row>
    <row r="757" spans="85:85" x14ac:dyDescent="0.35">
      <c r="CG757" s="450"/>
    </row>
    <row r="758" spans="85:85" x14ac:dyDescent="0.35">
      <c r="CG758" s="450"/>
    </row>
    <row r="759" spans="85:85" x14ac:dyDescent="0.35">
      <c r="CG759" s="450"/>
    </row>
    <row r="760" spans="85:85" x14ac:dyDescent="0.35">
      <c r="CG760" s="450"/>
    </row>
    <row r="761" spans="85:85" x14ac:dyDescent="0.35">
      <c r="CG761" s="450"/>
    </row>
    <row r="762" spans="85:85" x14ac:dyDescent="0.35">
      <c r="CG762" s="450"/>
    </row>
    <row r="763" spans="85:85" x14ac:dyDescent="0.35">
      <c r="CG763" s="450"/>
    </row>
    <row r="764" spans="85:85" x14ac:dyDescent="0.35">
      <c r="CG764" s="450"/>
    </row>
    <row r="765" spans="85:85" x14ac:dyDescent="0.35">
      <c r="CG765" s="450"/>
    </row>
    <row r="766" spans="85:85" x14ac:dyDescent="0.35">
      <c r="CG766" s="450"/>
    </row>
    <row r="767" spans="85:85" x14ac:dyDescent="0.35">
      <c r="CG767" s="450"/>
    </row>
    <row r="768" spans="85:85" x14ac:dyDescent="0.35">
      <c r="CG768" s="450"/>
    </row>
    <row r="769" spans="85:85" x14ac:dyDescent="0.35">
      <c r="CG769" s="450"/>
    </row>
    <row r="770" spans="85:85" x14ac:dyDescent="0.35">
      <c r="CG770" s="450"/>
    </row>
    <row r="771" spans="85:85" x14ac:dyDescent="0.35">
      <c r="CG771" s="450"/>
    </row>
    <row r="772" spans="85:85" x14ac:dyDescent="0.35">
      <c r="CG772" s="450"/>
    </row>
    <row r="773" spans="85:85" x14ac:dyDescent="0.35">
      <c r="CG773" s="450"/>
    </row>
    <row r="774" spans="85:85" x14ac:dyDescent="0.35">
      <c r="CG774" s="450"/>
    </row>
    <row r="775" spans="85:85" x14ac:dyDescent="0.35">
      <c r="CG775" s="450"/>
    </row>
    <row r="776" spans="85:85" x14ac:dyDescent="0.35">
      <c r="CG776" s="450"/>
    </row>
    <row r="777" spans="85:85" x14ac:dyDescent="0.35">
      <c r="CG777" s="450"/>
    </row>
    <row r="778" spans="85:85" x14ac:dyDescent="0.35">
      <c r="CG778" s="450"/>
    </row>
    <row r="779" spans="85:85" x14ac:dyDescent="0.35">
      <c r="CG779" s="450"/>
    </row>
    <row r="780" spans="85:85" x14ac:dyDescent="0.35">
      <c r="CG780" s="450"/>
    </row>
    <row r="781" spans="85:85" x14ac:dyDescent="0.35">
      <c r="CG781" s="450"/>
    </row>
    <row r="782" spans="85:85" x14ac:dyDescent="0.35">
      <c r="CG782" s="450"/>
    </row>
    <row r="783" spans="85:85" x14ac:dyDescent="0.35">
      <c r="CG783" s="450"/>
    </row>
    <row r="784" spans="85:85" x14ac:dyDescent="0.35">
      <c r="CG784" s="450"/>
    </row>
    <row r="785" spans="85:85" x14ac:dyDescent="0.35">
      <c r="CG785" s="450"/>
    </row>
    <row r="786" spans="85:85" x14ac:dyDescent="0.35">
      <c r="CG786" s="450"/>
    </row>
    <row r="787" spans="85:85" x14ac:dyDescent="0.35">
      <c r="CG787" s="450"/>
    </row>
    <row r="788" spans="85:85" x14ac:dyDescent="0.35">
      <c r="CG788" s="450"/>
    </row>
    <row r="789" spans="85:85" x14ac:dyDescent="0.35">
      <c r="CG789" s="450"/>
    </row>
    <row r="790" spans="85:85" x14ac:dyDescent="0.35">
      <c r="CG790" s="450"/>
    </row>
    <row r="791" spans="85:85" x14ac:dyDescent="0.35">
      <c r="CG791" s="450"/>
    </row>
    <row r="792" spans="85:85" x14ac:dyDescent="0.35">
      <c r="CG792" s="450"/>
    </row>
    <row r="793" spans="85:85" x14ac:dyDescent="0.35">
      <c r="CG793" s="450"/>
    </row>
    <row r="794" spans="85:85" x14ac:dyDescent="0.35">
      <c r="CG794" s="450"/>
    </row>
    <row r="795" spans="85:85" x14ac:dyDescent="0.35">
      <c r="CG795" s="45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
  <sheetViews>
    <sheetView showGridLines="0" zoomScaleNormal="100" workbookViewId="0"/>
  </sheetViews>
  <sheetFormatPr baseColWidth="10" defaultColWidth="9" defaultRowHeight="15.5" x14ac:dyDescent="0.35"/>
  <cols>
    <col min="1" max="16384" width="9" style="345"/>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329"/>
  <sheetViews>
    <sheetView showGridLines="0" topLeftCell="A233" zoomScaleNormal="100" workbookViewId="0">
      <selection activeCell="M252" sqref="M252"/>
    </sheetView>
  </sheetViews>
  <sheetFormatPr baseColWidth="10" defaultColWidth="9" defaultRowHeight="13" outlineLevelRow="1" x14ac:dyDescent="0.3"/>
  <cols>
    <col min="1" max="1" width="9" style="394"/>
    <col min="2" max="5" width="9" style="393"/>
    <col min="6" max="8" width="9" style="393" customWidth="1"/>
    <col min="9" max="21" width="9" style="393"/>
    <col min="22" max="22" width="13.08203125" style="393" bestFit="1" customWidth="1"/>
    <col min="23" max="16384" width="9" style="393"/>
  </cols>
  <sheetData>
    <row r="1" spans="1:7" s="543" customFormat="1" x14ac:dyDescent="0.3">
      <c r="A1" s="544"/>
    </row>
    <row r="2" spans="1:7" s="543" customFormat="1" x14ac:dyDescent="0.3">
      <c r="A2" s="544"/>
      <c r="B2" s="543" t="s">
        <v>748</v>
      </c>
      <c r="C2" s="560" t="s">
        <v>858</v>
      </c>
      <c r="D2" s="543" t="s">
        <v>749</v>
      </c>
    </row>
    <row r="3" spans="1:7" s="543" customFormat="1" x14ac:dyDescent="0.3">
      <c r="A3" s="544"/>
    </row>
    <row r="4" spans="1:7" s="543" customFormat="1" hidden="1" outlineLevel="1" x14ac:dyDescent="0.3">
      <c r="A4" s="544"/>
      <c r="B4" s="559" t="s">
        <v>769</v>
      </c>
      <c r="C4" s="561" t="b">
        <f>IF(C2="Unlock",TRUE,FALSE)</f>
        <v>0</v>
      </c>
      <c r="D4" s="543" t="s">
        <v>768</v>
      </c>
    </row>
    <row r="5" spans="1:7" s="543" customFormat="1" hidden="1" outlineLevel="1" x14ac:dyDescent="0.3">
      <c r="A5" s="544"/>
    </row>
    <row r="6" spans="1:7" s="543" customFormat="1" hidden="1" outlineLevel="1" x14ac:dyDescent="0.3">
      <c r="A6" s="544"/>
      <c r="C6" s="543" t="b">
        <f>'LBO Model'!D4='LBO Model'!D5</f>
        <v>1</v>
      </c>
      <c r="D6" s="543" t="str">
        <f>'LBO Model'!E5</f>
        <v>Base Case</v>
      </c>
    </row>
    <row r="7" spans="1:7" s="543" customFormat="1" hidden="1" outlineLevel="1" x14ac:dyDescent="0.3">
      <c r="A7" s="544"/>
      <c r="C7" s="543" t="b">
        <f>'LBO Model'!D4='LBO Model'!D6</f>
        <v>0</v>
      </c>
      <c r="D7" s="543" t="str">
        <f>'LBO Model'!E6</f>
        <v>Upside Case</v>
      </c>
    </row>
    <row r="8" spans="1:7" s="543" customFormat="1" hidden="1" outlineLevel="1" x14ac:dyDescent="0.3">
      <c r="A8" s="544"/>
      <c r="C8" s="543" t="b">
        <f>'LBO Model'!D4='LBO Model'!D7</f>
        <v>0</v>
      </c>
      <c r="D8" s="543" t="str">
        <f>'LBO Model'!E7</f>
        <v>Downside Case</v>
      </c>
    </row>
    <row r="9" spans="1:7" s="543" customFormat="1" hidden="1" outlineLevel="1" x14ac:dyDescent="0.3">
      <c r="A9" s="544"/>
    </row>
    <row r="10" spans="1:7" s="543" customFormat="1" hidden="1" outlineLevel="1" x14ac:dyDescent="0.3">
      <c r="A10" s="544"/>
      <c r="C10" s="543" t="b">
        <f>'LBO Model'!I4='LBO Model'!I5</f>
        <v>1</v>
      </c>
      <c r="D10" s="543" t="str">
        <f>'LBO Model'!J5</f>
        <v>High Bid</v>
      </c>
    </row>
    <row r="11" spans="1:7" s="543" customFormat="1" hidden="1" outlineLevel="1" x14ac:dyDescent="0.3">
      <c r="A11" s="544"/>
      <c r="C11" s="543" t="b">
        <f>'LBO Model'!I4='LBO Model'!I6</f>
        <v>0</v>
      </c>
      <c r="D11" s="543" t="str">
        <f>'LBO Model'!J6</f>
        <v>Low Bid</v>
      </c>
    </row>
    <row r="12" spans="1:7" s="543" customFormat="1" hidden="1" outlineLevel="1" x14ac:dyDescent="0.3">
      <c r="A12" s="544"/>
      <c r="C12" s="543" t="b">
        <f>'LBO Model'!I4='LBO Model'!I7</f>
        <v>0</v>
      </c>
      <c r="D12" s="543" t="str">
        <f>'LBO Model'!J7</f>
        <v>KLG High Bid</v>
      </c>
    </row>
    <row r="13" spans="1:7" s="543" customFormat="1" hidden="1" outlineLevel="1" x14ac:dyDescent="0.3">
      <c r="A13" s="544"/>
      <c r="C13" s="543" t="b">
        <f>'LBO Model'!I4='LBO Model'!I8</f>
        <v>0</v>
      </c>
      <c r="D13" s="543" t="str">
        <f>'LBO Model'!J8</f>
        <v>KLG Low Bid</v>
      </c>
    </row>
    <row r="14" spans="1:7" s="543" customFormat="1" hidden="1" outlineLevel="1" x14ac:dyDescent="0.3">
      <c r="A14" s="544"/>
    </row>
    <row r="15" spans="1:7" collapsed="1" x14ac:dyDescent="0.3"/>
    <row r="16" spans="1:7" s="248" customFormat="1" x14ac:dyDescent="0.3">
      <c r="A16" s="246" t="s">
        <v>31</v>
      </c>
      <c r="B16" s="276" t="str">
        <f ca="1">IF(T19,"Transaction Summary ("&amp;'LBO Model'!$J$4&amp;")",B16)</f>
        <v>Transaction Summary (KLG High Bid)</v>
      </c>
      <c r="G16" s="558"/>
    </row>
    <row r="17" spans="1:20" s="248" customFormat="1" ht="13.5" thickBot="1" x14ac:dyDescent="0.35">
      <c r="B17" s="416" t="str">
        <f>'LBO Model'!$B$12</f>
        <v>($ in millions)</v>
      </c>
      <c r="C17" s="267"/>
      <c r="D17" s="267"/>
      <c r="E17" s="267"/>
      <c r="F17" s="267"/>
      <c r="G17" s="558"/>
    </row>
    <row r="18" spans="1:20" s="248" customFormat="1" ht="14.5" x14ac:dyDescent="0.45">
      <c r="A18" s="246"/>
      <c r="B18" s="549"/>
      <c r="C18" s="549"/>
      <c r="D18" s="549"/>
      <c r="E18" s="549"/>
      <c r="F18" s="577" t="s">
        <v>370</v>
      </c>
      <c r="G18" s="558"/>
      <c r="T18" s="248" t="s">
        <v>772</v>
      </c>
    </row>
    <row r="19" spans="1:20" s="248" customFormat="1" x14ac:dyDescent="0.3">
      <c r="A19" s="246"/>
      <c r="B19" s="549" t="s">
        <v>834</v>
      </c>
      <c r="C19" s="549"/>
      <c r="D19" s="549"/>
      <c r="E19" s="549"/>
      <c r="F19" s="631">
        <f ca="1">IF($T$19,Output!F5,F19)</f>
        <v>242.30769230769229</v>
      </c>
      <c r="G19" s="558"/>
      <c r="T19" s="562" t="b">
        <f>AND(Unlock,KLGHighBid)</f>
        <v>0</v>
      </c>
    </row>
    <row r="20" spans="1:20" s="248" customFormat="1" x14ac:dyDescent="0.3">
      <c r="A20" s="246"/>
      <c r="B20" s="549" t="s">
        <v>780</v>
      </c>
      <c r="C20" s="549"/>
      <c r="D20" s="549"/>
      <c r="E20" s="549"/>
      <c r="F20" s="616">
        <f ca="1">IF($T$19,Output!F6,F20)</f>
        <v>0.17442848109239584</v>
      </c>
      <c r="G20" s="558"/>
    </row>
    <row r="21" spans="1:20" s="248" customFormat="1" x14ac:dyDescent="0.3">
      <c r="A21" s="246"/>
      <c r="B21" s="497" t="s">
        <v>779</v>
      </c>
      <c r="C21" s="497"/>
      <c r="D21" s="497"/>
      <c r="E21" s="497"/>
      <c r="F21" s="632">
        <f ca="1">IF($T$19,Output!F7,F21)</f>
        <v>284.57305503392666</v>
      </c>
      <c r="G21" s="558"/>
    </row>
    <row r="22" spans="1:20" s="248" customFormat="1" x14ac:dyDescent="0.3">
      <c r="A22" s="246"/>
      <c r="B22" s="549"/>
      <c r="C22" s="549"/>
      <c r="D22" s="549"/>
      <c r="E22" s="549"/>
      <c r="F22" s="582"/>
      <c r="G22" s="558"/>
    </row>
    <row r="23" spans="1:20" s="248" customFormat="1" x14ac:dyDescent="0.3">
      <c r="A23" s="246"/>
      <c r="B23" s="549" t="s">
        <v>503</v>
      </c>
      <c r="C23" s="549"/>
      <c r="D23" s="549"/>
      <c r="E23" s="549"/>
      <c r="F23" s="582">
        <f ca="1">IF($T$19,Output!F9,F23)</f>
        <v>22.723279999999999</v>
      </c>
      <c r="G23" s="558"/>
    </row>
    <row r="24" spans="1:20" s="248" customFormat="1" x14ac:dyDescent="0.3">
      <c r="A24" s="246"/>
      <c r="B24" s="549" t="s">
        <v>841</v>
      </c>
      <c r="C24" s="549"/>
      <c r="D24" s="549"/>
      <c r="E24" s="549"/>
      <c r="F24" s="582">
        <f ca="1">IF($T$19,Output!F10,F24)</f>
        <v>2.5000000000000001E-2</v>
      </c>
      <c r="G24" s="558"/>
    </row>
    <row r="25" spans="1:20" s="248" customFormat="1" x14ac:dyDescent="0.3">
      <c r="A25" s="246"/>
      <c r="B25" s="304" t="s">
        <v>781</v>
      </c>
      <c r="C25" s="304"/>
      <c r="D25" s="304"/>
      <c r="E25" s="304"/>
      <c r="F25" s="633">
        <f ca="1">IF($T$19,Output!F11,F25)</f>
        <v>22.748279999999998</v>
      </c>
      <c r="G25" s="558"/>
    </row>
    <row r="26" spans="1:20" s="248" customFormat="1" x14ac:dyDescent="0.3">
      <c r="A26" s="246"/>
      <c r="B26" s="549" t="s">
        <v>782</v>
      </c>
      <c r="C26" s="549"/>
      <c r="D26" s="549"/>
      <c r="E26" s="549"/>
      <c r="F26" s="634">
        <f ca="1">IF($T$19,Output!F12,F26)</f>
        <v>284.57305503392666</v>
      </c>
      <c r="G26" s="558"/>
    </row>
    <row r="27" spans="1:20" s="248" customFormat="1" x14ac:dyDescent="0.3">
      <c r="A27" s="246"/>
      <c r="B27" s="549" t="s">
        <v>842</v>
      </c>
      <c r="C27" s="549"/>
      <c r="D27" s="549"/>
      <c r="E27" s="549"/>
      <c r="F27" s="582">
        <f ca="1">IF($T$19,Output!F13,F27)</f>
        <v>-4.1390399999999996</v>
      </c>
      <c r="G27" s="558"/>
    </row>
    <row r="28" spans="1:20" s="248" customFormat="1" x14ac:dyDescent="0.3">
      <c r="A28" s="246"/>
      <c r="B28" s="304" t="s">
        <v>369</v>
      </c>
      <c r="C28" s="304"/>
      <c r="D28" s="304"/>
      <c r="E28" s="304"/>
      <c r="F28" s="635">
        <f ca="1">IF($T$19,Output!F14,F28)</f>
        <v>6469.4084963671721</v>
      </c>
      <c r="G28" s="558"/>
    </row>
    <row r="29" spans="1:20" s="248" customFormat="1" x14ac:dyDescent="0.3">
      <c r="A29" s="246"/>
      <c r="B29" s="549" t="s">
        <v>783</v>
      </c>
      <c r="C29" s="549"/>
      <c r="D29" s="549"/>
      <c r="E29" s="549"/>
      <c r="F29" s="582">
        <f ca="1">IF($T$19,Output!F15,F29)</f>
        <v>427.82299999999998</v>
      </c>
      <c r="G29" s="558"/>
    </row>
    <row r="30" spans="1:20" s="248" customFormat="1" x14ac:dyDescent="0.3">
      <c r="A30" s="246"/>
      <c r="B30" s="549" t="s">
        <v>785</v>
      </c>
      <c r="C30" s="549"/>
      <c r="D30" s="549"/>
      <c r="E30" s="549"/>
      <c r="F30" s="582">
        <f ca="1">IF($T$19,Output!F16,F30)</f>
        <v>0</v>
      </c>
      <c r="G30" s="558"/>
    </row>
    <row r="31" spans="1:20" s="248" customFormat="1" x14ac:dyDescent="0.3">
      <c r="A31" s="246"/>
      <c r="B31" s="549" t="s">
        <v>786</v>
      </c>
      <c r="C31" s="549"/>
      <c r="D31" s="549"/>
      <c r="E31" s="549"/>
      <c r="F31" s="582">
        <f ca="1">IF($T$19,Output!F17,F31)</f>
        <v>-21.341550000000002</v>
      </c>
      <c r="G31" s="558"/>
    </row>
    <row r="32" spans="1:20" s="248" customFormat="1" x14ac:dyDescent="0.3">
      <c r="A32" s="246"/>
      <c r="B32" s="497" t="s">
        <v>833</v>
      </c>
      <c r="C32" s="497"/>
      <c r="D32" s="497"/>
      <c r="E32" s="497"/>
      <c r="F32" s="636">
        <f ca="1">IF($T$19,Output!F18,F32)</f>
        <v>6875.8899463671723</v>
      </c>
      <c r="G32" s="558"/>
    </row>
    <row r="33" spans="1:20" s="248" customFormat="1" x14ac:dyDescent="0.3">
      <c r="A33" s="246"/>
      <c r="B33" s="549"/>
      <c r="C33" s="549"/>
      <c r="D33" s="549"/>
      <c r="E33" s="549"/>
      <c r="F33" s="582"/>
      <c r="G33" s="558"/>
    </row>
    <row r="34" spans="1:20" s="248" customFormat="1" x14ac:dyDescent="0.3">
      <c r="A34" s="246"/>
      <c r="B34" s="549" t="s">
        <v>787</v>
      </c>
      <c r="C34" s="549"/>
      <c r="D34" s="549"/>
      <c r="E34" s="549"/>
      <c r="F34" s="582">
        <f ca="1">IF($T$19,Output!F20,F34)</f>
        <v>132.19408474048507</v>
      </c>
      <c r="G34" s="558"/>
    </row>
    <row r="35" spans="1:20" s="248" customFormat="1" x14ac:dyDescent="0.3">
      <c r="A35" s="246"/>
      <c r="B35" s="497" t="s">
        <v>827</v>
      </c>
      <c r="C35" s="254"/>
      <c r="D35" s="254"/>
      <c r="E35" s="254"/>
      <c r="F35" s="636">
        <f ca="1">IF($T$19,Output!F21,F35)</f>
        <v>7008.0840311076572</v>
      </c>
      <c r="G35" s="558"/>
    </row>
    <row r="36" spans="1:20" s="248" customFormat="1" x14ac:dyDescent="0.3">
      <c r="A36" s="246"/>
      <c r="B36" s="549"/>
      <c r="C36" s="549"/>
      <c r="D36" s="549"/>
      <c r="E36" s="549"/>
      <c r="F36" s="582"/>
      <c r="G36" s="558"/>
    </row>
    <row r="37" spans="1:20" s="248" customFormat="1" x14ac:dyDescent="0.3">
      <c r="A37" s="246"/>
      <c r="B37" s="549" t="s">
        <v>412</v>
      </c>
      <c r="C37" s="549"/>
      <c r="D37" s="549"/>
      <c r="E37" s="549"/>
      <c r="F37" s="634">
        <f ca="1">IF($T$19,Output!F23,F37)</f>
        <v>403.19000000000017</v>
      </c>
      <c r="G37" s="558"/>
    </row>
    <row r="38" spans="1:20" s="248" customFormat="1" x14ac:dyDescent="0.3">
      <c r="A38" s="246"/>
      <c r="B38" s="549"/>
      <c r="C38" s="549"/>
      <c r="D38" s="549"/>
      <c r="E38" s="549"/>
      <c r="F38" s="582"/>
      <c r="G38" s="558"/>
    </row>
    <row r="39" spans="1:20" s="248" customFormat="1" x14ac:dyDescent="0.3">
      <c r="A39" s="246"/>
      <c r="B39" s="549" t="s">
        <v>413</v>
      </c>
      <c r="C39" s="549"/>
      <c r="D39" s="549"/>
      <c r="E39" s="549"/>
      <c r="F39" s="637">
        <f ca="1">IF($T$19,Output!F25,F39)</f>
        <v>17.053721437454225</v>
      </c>
      <c r="G39" s="558"/>
    </row>
    <row r="40" spans="1:20" s="248" customFormat="1" x14ac:dyDescent="0.3">
      <c r="A40" s="246"/>
      <c r="B40" s="549"/>
      <c r="C40" s="549"/>
      <c r="D40" s="549"/>
      <c r="E40" s="549"/>
      <c r="F40" s="638"/>
      <c r="G40" s="558"/>
    </row>
    <row r="41" spans="1:20" s="248" customFormat="1" ht="13.5" thickBot="1" x14ac:dyDescent="0.35">
      <c r="A41" s="246"/>
      <c r="B41" s="267" t="s">
        <v>414</v>
      </c>
      <c r="C41" s="267"/>
      <c r="D41" s="267"/>
      <c r="E41" s="267"/>
      <c r="F41" s="639">
        <f ca="1">IF($T$19,Output!F27,F41)</f>
        <v>17.38159188250615</v>
      </c>
      <c r="G41" s="558"/>
    </row>
    <row r="42" spans="1:20" s="248" customFormat="1" x14ac:dyDescent="0.3">
      <c r="A42" s="246"/>
      <c r="G42" s="558"/>
    </row>
    <row r="43" spans="1:20" s="248" customFormat="1" x14ac:dyDescent="0.3">
      <c r="A43" s="246" t="s">
        <v>31</v>
      </c>
      <c r="B43" s="276" t="str">
        <f ca="1">IF(T47,"Enterprise Value &amp; Leverage Summary ("&amp;'LBO Model'!$J$4&amp;")",B43)</f>
        <v>Enterprise Value &amp; Leverage Summary (KLG High Bid)</v>
      </c>
    </row>
    <row r="44" spans="1:20" s="248" customFormat="1" x14ac:dyDescent="0.3">
      <c r="A44" s="246"/>
      <c r="B44" s="248" t="str">
        <f>'LBO Model'!B32</f>
        <v>FYE 2016 EBITDA</v>
      </c>
    </row>
    <row r="45" spans="1:20" s="256" customFormat="1" x14ac:dyDescent="0.3">
      <c r="A45" s="249"/>
      <c r="I45" s="256" t="s">
        <v>517</v>
      </c>
    </row>
    <row r="46" spans="1:20" s="256" customFormat="1" ht="13.5" thickBot="1" x14ac:dyDescent="0.35">
      <c r="A46" s="249"/>
      <c r="B46" s="274"/>
      <c r="C46" s="274"/>
      <c r="D46" s="274"/>
      <c r="E46" s="274"/>
      <c r="F46" s="308" t="s">
        <v>205</v>
      </c>
      <c r="G46" s="274"/>
      <c r="H46" s="274"/>
      <c r="I46" s="308" t="s">
        <v>518</v>
      </c>
      <c r="J46" s="274"/>
      <c r="T46" s="248" t="s">
        <v>772</v>
      </c>
    </row>
    <row r="47" spans="1:20" s="248" customFormat="1" x14ac:dyDescent="0.3">
      <c r="A47" s="246"/>
      <c r="B47" s="248" t="s">
        <v>519</v>
      </c>
      <c r="F47" s="286">
        <f ca="1">IF($T$47,Output!F33,F47)</f>
        <v>6469.4084963671721</v>
      </c>
      <c r="T47" s="562" t="b">
        <f>AND(Unlock,KLGHighBid)</f>
        <v>0</v>
      </c>
    </row>
    <row r="48" spans="1:20" s="248" customFormat="1" x14ac:dyDescent="0.3">
      <c r="A48" s="246"/>
      <c r="B48" s="248" t="s">
        <v>520</v>
      </c>
      <c r="F48" s="248">
        <f ca="1">IF($T$47,Output!F34,F48)</f>
        <v>427.82299999999998</v>
      </c>
    </row>
    <row r="49" spans="1:10" s="248" customFormat="1" x14ac:dyDescent="0.3">
      <c r="A49" s="246"/>
      <c r="B49" s="410" t="s">
        <v>521</v>
      </c>
      <c r="C49" s="410"/>
      <c r="D49" s="410"/>
      <c r="E49" s="410"/>
      <c r="F49" s="410">
        <f ca="1">IF($T$47,Output!F35,F49)</f>
        <v>-21.341550000000002</v>
      </c>
      <c r="G49" s="410"/>
      <c r="H49" s="410"/>
      <c r="I49" s="410"/>
      <c r="J49" s="410"/>
    </row>
    <row r="50" spans="1:10" s="248" customFormat="1" x14ac:dyDescent="0.3">
      <c r="A50" s="246"/>
      <c r="B50" s="248" t="s">
        <v>372</v>
      </c>
      <c r="F50" s="286">
        <f ca="1">IF($T$47,Output!F36,F50)</f>
        <v>6875.8899463671723</v>
      </c>
      <c r="I50" s="234">
        <f ca="1">IF($T$47,Output!I36,I50)</f>
        <v>17.053721437454225</v>
      </c>
    </row>
    <row r="51" spans="1:10" s="248" customFormat="1" x14ac:dyDescent="0.3">
      <c r="A51" s="246"/>
      <c r="B51" s="258" t="s">
        <v>478</v>
      </c>
      <c r="C51" s="258"/>
      <c r="D51" s="258"/>
      <c r="E51" s="258"/>
      <c r="F51" s="258">
        <f ca="1">IF($T$47,Output!F37,F51)</f>
        <v>132.19408474048507</v>
      </c>
      <c r="G51" s="258"/>
      <c r="H51" s="258"/>
      <c r="I51" s="592"/>
      <c r="J51" s="258"/>
    </row>
    <row r="52" spans="1:10" s="256" customFormat="1" x14ac:dyDescent="0.3">
      <c r="A52" s="249"/>
      <c r="B52" s="256" t="s">
        <v>522</v>
      </c>
      <c r="F52" s="295">
        <f ca="1">IF($T$47,Output!F38,F52)</f>
        <v>7008.0840311076572</v>
      </c>
      <c r="I52" s="402">
        <f ca="1">IF($T$47,Output!I38,I52)</f>
        <v>17.38159188250615</v>
      </c>
    </row>
    <row r="53" spans="1:10" s="248" customFormat="1" x14ac:dyDescent="0.3">
      <c r="A53" s="246"/>
    </row>
    <row r="54" spans="1:10" s="248" customFormat="1" x14ac:dyDescent="0.3">
      <c r="A54" s="246"/>
      <c r="B54" s="248" t="s">
        <v>523</v>
      </c>
      <c r="F54" s="286">
        <f ca="1">IF($T$47,Output!F40,F54)</f>
        <v>403.19000000000017</v>
      </c>
    </row>
    <row r="55" spans="1:10" s="248" customFormat="1" x14ac:dyDescent="0.3">
      <c r="A55" s="246"/>
    </row>
    <row r="56" spans="1:10" s="276" customFormat="1" x14ac:dyDescent="0.3">
      <c r="A56" s="418"/>
      <c r="B56" s="276" t="s">
        <v>524</v>
      </c>
      <c r="I56" s="256" t="s">
        <v>525</v>
      </c>
    </row>
    <row r="57" spans="1:10" s="248" customFormat="1" x14ac:dyDescent="0.3">
      <c r="A57" s="246"/>
      <c r="B57" s="248" t="s">
        <v>371</v>
      </c>
      <c r="F57" s="248">
        <f ca="1">IF($T$47,Output!F43,F57)</f>
        <v>0</v>
      </c>
      <c r="I57" s="234">
        <f ca="1">IF($T$47,Output!I43,I57)</f>
        <v>0</v>
      </c>
    </row>
    <row r="58" spans="1:10" s="248" customFormat="1" x14ac:dyDescent="0.3">
      <c r="A58" s="246"/>
      <c r="B58" s="248" t="s">
        <v>195</v>
      </c>
      <c r="F58" s="248">
        <f ca="1">IF($T$47,Output!F44,F58)</f>
        <v>749.9999973174539</v>
      </c>
      <c r="I58" s="234">
        <f ca="1">IF($T$47,Output!I44,I58)</f>
        <v>1.8601651760149149</v>
      </c>
    </row>
    <row r="59" spans="1:10" s="248" customFormat="1" x14ac:dyDescent="0.3">
      <c r="A59" s="246"/>
      <c r="B59" s="248" t="s">
        <v>196</v>
      </c>
      <c r="F59" s="248">
        <f ca="1">IF($T$47,Output!F45,F59)</f>
        <v>2249.9999927648187</v>
      </c>
      <c r="I59" s="234">
        <f ca="1">IF($T$47,Output!I45,I59)</f>
        <v>5.5804955300598174</v>
      </c>
    </row>
    <row r="60" spans="1:10" s="248" customFormat="1" x14ac:dyDescent="0.3">
      <c r="A60" s="246"/>
      <c r="B60" s="410" t="s">
        <v>197</v>
      </c>
      <c r="C60" s="410"/>
      <c r="D60" s="410"/>
      <c r="E60" s="410"/>
      <c r="F60" s="410">
        <f ca="1">IF($T$47,Output!F46,F60)</f>
        <v>0</v>
      </c>
      <c r="G60" s="410"/>
      <c r="H60" s="410"/>
      <c r="I60" s="593">
        <f ca="1">IF($T$47,Output!I46,I60)</f>
        <v>0</v>
      </c>
      <c r="J60" s="410"/>
    </row>
    <row r="61" spans="1:10" s="248" customFormat="1" x14ac:dyDescent="0.3">
      <c r="A61" s="246"/>
      <c r="B61" s="248" t="s">
        <v>142</v>
      </c>
      <c r="F61" s="248">
        <f ca="1">IF($T$47,Output!F47,F61)</f>
        <v>2999.9999900822727</v>
      </c>
      <c r="I61" s="234">
        <f ca="1">IF($T$47,Output!I47,I61)</f>
        <v>7.4406607060747323</v>
      </c>
    </row>
    <row r="62" spans="1:10" s="248" customFormat="1" x14ac:dyDescent="0.3">
      <c r="A62" s="246"/>
      <c r="B62" s="410" t="s">
        <v>521</v>
      </c>
      <c r="C62" s="410"/>
      <c r="D62" s="410"/>
      <c r="E62" s="410"/>
      <c r="F62" s="410">
        <f ca="1">IF($T$47,Output!F48,F62)</f>
        <v>-21.341550000000002</v>
      </c>
      <c r="G62" s="410"/>
      <c r="H62" s="410"/>
      <c r="I62" s="593">
        <f ca="1">IF($T$47,Output!I48,I62)</f>
        <v>-5.2931744338897274E-2</v>
      </c>
      <c r="J62" s="410"/>
    </row>
    <row r="63" spans="1:10" s="256" customFormat="1" ht="13.5" thickBot="1" x14ac:dyDescent="0.35">
      <c r="A63" s="249"/>
      <c r="B63" s="411" t="s">
        <v>526</v>
      </c>
      <c r="C63" s="411"/>
      <c r="D63" s="411"/>
      <c r="E63" s="411"/>
      <c r="F63" s="444">
        <f ca="1">IF($T$47,Output!F49,F63)</f>
        <v>2978.6584400822726</v>
      </c>
      <c r="G63" s="411"/>
      <c r="H63" s="411"/>
      <c r="I63" s="594">
        <f ca="1">IF($T$47,Output!I49,I63)</f>
        <v>7.387728961735835</v>
      </c>
      <c r="J63" s="411"/>
    </row>
    <row r="64" spans="1:10" s="248" customFormat="1" x14ac:dyDescent="0.3">
      <c r="A64" s="246"/>
    </row>
    <row r="65" spans="1:20" s="248" customFormat="1" x14ac:dyDescent="0.3">
      <c r="A65" s="540" t="s">
        <v>31</v>
      </c>
      <c r="B65" s="627" t="str">
        <f ca="1">IF(T68,"Sources &amp; Uses ("&amp;'LBO Model'!$J$4&amp;")",B65)</f>
        <v>Sources &amp; Uses (KLG High Bid)</v>
      </c>
      <c r="C65" s="550"/>
      <c r="D65" s="550"/>
      <c r="E65" s="550"/>
      <c r="F65" s="550"/>
      <c r="G65" s="550"/>
      <c r="H65" s="550"/>
      <c r="I65" s="550"/>
      <c r="J65" s="550"/>
      <c r="K65" s="550"/>
    </row>
    <row r="66" spans="1:20" s="248" customFormat="1" x14ac:dyDescent="0.3">
      <c r="A66" s="540"/>
      <c r="B66" s="629" t="str">
        <f>'LBO Model'!$B$12</f>
        <v>($ in millions)</v>
      </c>
      <c r="C66" s="550"/>
      <c r="D66" s="550"/>
      <c r="E66" s="550"/>
      <c r="F66" s="550"/>
      <c r="G66" s="550"/>
      <c r="H66" s="550"/>
      <c r="I66" s="550"/>
      <c r="J66" s="550"/>
      <c r="K66" s="550"/>
    </row>
    <row r="67" spans="1:20" s="248" customFormat="1" ht="13.5" thickBot="1" x14ac:dyDescent="0.35">
      <c r="A67" s="540"/>
      <c r="B67" s="625" t="s">
        <v>389</v>
      </c>
      <c r="C67" s="625"/>
      <c r="D67" s="625"/>
      <c r="E67" s="625"/>
      <c r="F67" s="626"/>
      <c r="G67" s="625" t="s">
        <v>391</v>
      </c>
      <c r="H67" s="625"/>
      <c r="I67" s="625"/>
      <c r="J67" s="625"/>
      <c r="K67" s="625"/>
      <c r="T67" s="248" t="s">
        <v>772</v>
      </c>
    </row>
    <row r="68" spans="1:20" s="248" customFormat="1" ht="14.5" x14ac:dyDescent="0.45">
      <c r="A68" s="540"/>
      <c r="B68" s="249"/>
      <c r="C68" s="249"/>
      <c r="D68" s="249"/>
      <c r="E68" s="541" t="s">
        <v>370</v>
      </c>
      <c r="F68" s="542" t="s">
        <v>392</v>
      </c>
      <c r="G68" s="249"/>
      <c r="H68" s="249"/>
      <c r="I68" s="249"/>
      <c r="J68" s="249"/>
      <c r="K68" s="541" t="s">
        <v>370</v>
      </c>
      <c r="T68" s="562" t="b">
        <f>AND(Unlock,KLGHighBid)</f>
        <v>0</v>
      </c>
    </row>
    <row r="69" spans="1:20" s="248" customFormat="1" x14ac:dyDescent="0.3">
      <c r="A69" s="540"/>
      <c r="B69" s="248" t="s">
        <v>390</v>
      </c>
      <c r="E69" s="286">
        <f ca="1">IF($T$68,Output!E55,E69)</f>
        <v>84.187449999999998</v>
      </c>
      <c r="F69" s="228">
        <f ca="1">IF($T$68,Output!F55,F69)</f>
        <v>1.1976433782337736E-2</v>
      </c>
      <c r="G69" s="248" t="s">
        <v>395</v>
      </c>
      <c r="K69" s="286">
        <f ca="1">IF($T$68,Output!K55,K69)</f>
        <v>6466.4332099913245</v>
      </c>
    </row>
    <row r="70" spans="1:20" s="248" customFormat="1" x14ac:dyDescent="0.3">
      <c r="A70" s="540"/>
      <c r="B70" s="248" t="s">
        <v>195</v>
      </c>
      <c r="E70" s="248">
        <f ca="1">IF($T$68,Output!E56,E70)</f>
        <v>749.9999973174539</v>
      </c>
      <c r="F70" s="228">
        <f ca="1">IF($T$68,Output!F56,F70)</f>
        <v>0.10669435057869703</v>
      </c>
      <c r="G70" s="248" t="s">
        <v>396</v>
      </c>
      <c r="K70" s="248">
        <f ca="1">IF($T$68,Output!K56,K70)</f>
        <v>2.9752863758481674</v>
      </c>
    </row>
    <row r="71" spans="1:20" s="248" customFormat="1" x14ac:dyDescent="0.3">
      <c r="A71" s="540"/>
      <c r="B71" s="248" t="s">
        <v>196</v>
      </c>
      <c r="E71" s="248">
        <f ca="1">IF($T$68,Output!E57,E71)</f>
        <v>2249.9999927648187</v>
      </c>
      <c r="F71" s="228">
        <f ca="1">IF($T$68,Output!F57,F71)</f>
        <v>0.32008305185165054</v>
      </c>
      <c r="G71" s="248" t="s">
        <v>661</v>
      </c>
      <c r="K71" s="248">
        <f ca="1">IF($T$68,Output!K57,K71)</f>
        <v>427.82299999999998</v>
      </c>
    </row>
    <row r="72" spans="1:20" s="248" customFormat="1" x14ac:dyDescent="0.3">
      <c r="A72" s="540"/>
      <c r="B72" s="248" t="s">
        <v>197</v>
      </c>
      <c r="E72" s="248">
        <f ca="1">IF($T$68,Output!E58,E72)</f>
        <v>0</v>
      </c>
      <c r="F72" s="228">
        <f ca="1">IF($T$68,Output!F58,F72)</f>
        <v>0</v>
      </c>
      <c r="G72" s="248" t="s">
        <v>201</v>
      </c>
      <c r="K72" s="248">
        <f ca="1">IF($T$68,Output!K58,K72)</f>
        <v>67.49999977681334</v>
      </c>
    </row>
    <row r="73" spans="1:20" s="248" customFormat="1" x14ac:dyDescent="0.3">
      <c r="A73" s="540"/>
      <c r="B73" s="248" t="s">
        <v>198</v>
      </c>
      <c r="E73" s="248">
        <f ca="1">IF($T$68,Output!E59,E73)</f>
        <v>3945.2381410247685</v>
      </c>
      <c r="F73" s="228">
        <f ca="1">IF($T$68,Output!F59,F73)</f>
        <v>0.56124616378731473</v>
      </c>
      <c r="G73" s="248" t="s">
        <v>397</v>
      </c>
      <c r="K73" s="248">
        <f ca="1">IF($T$68,Output!K59,K73)</f>
        <v>64.694084963671727</v>
      </c>
    </row>
    <row r="74" spans="1:20" s="248" customFormat="1" ht="13.5" thickBot="1" x14ac:dyDescent="0.35">
      <c r="A74" s="540"/>
      <c r="B74" s="411" t="s">
        <v>199</v>
      </c>
      <c r="C74" s="624"/>
      <c r="D74" s="624"/>
      <c r="E74" s="444">
        <f ca="1">IF($T$68,Output!E60,E74)</f>
        <v>7029.4255811076282</v>
      </c>
      <c r="F74" s="628">
        <f ca="1">IF($T$68,Output!F60,F74)</f>
        <v>1</v>
      </c>
      <c r="G74" s="411" t="s">
        <v>202</v>
      </c>
      <c r="H74" s="624"/>
      <c r="I74" s="624"/>
      <c r="J74" s="624"/>
      <c r="K74" s="444">
        <f ca="1">IF($T$68,Output!K60,K74)</f>
        <v>7029.4255811076591</v>
      </c>
    </row>
    <row r="75" spans="1:20" s="248" customFormat="1" x14ac:dyDescent="0.3">
      <c r="A75" s="246"/>
    </row>
    <row r="76" spans="1:20" s="248" customFormat="1" ht="13.5" thickBot="1" x14ac:dyDescent="0.35">
      <c r="A76" s="246"/>
      <c r="B76" s="413" t="str">
        <f ca="1">IF($T$68,"Summary of Fees ("&amp;'LBO Model'!$J$4&amp;")",B76)</f>
        <v>Summary of Fees (KLG High Bid)</v>
      </c>
      <c r="C76" s="267"/>
      <c r="D76" s="267"/>
      <c r="E76" s="267"/>
    </row>
    <row r="77" spans="1:20" s="248" customFormat="1" x14ac:dyDescent="0.3">
      <c r="A77" s="246"/>
      <c r="B77" s="248" t="s">
        <v>201</v>
      </c>
      <c r="E77" s="286">
        <f ca="1">IF($T$68,Output!E63,E77)</f>
        <v>67.499999776851126</v>
      </c>
    </row>
    <row r="78" spans="1:20" s="248" customFormat="1" x14ac:dyDescent="0.3">
      <c r="A78" s="246"/>
      <c r="B78" s="549" t="s">
        <v>476</v>
      </c>
      <c r="E78" s="248">
        <f ca="1">IF($T$68,Output!E64,E78)</f>
        <v>32.347042481835864</v>
      </c>
    </row>
    <row r="79" spans="1:20" s="248" customFormat="1" x14ac:dyDescent="0.3">
      <c r="A79" s="246"/>
      <c r="B79" s="549" t="s">
        <v>410</v>
      </c>
      <c r="E79" s="248">
        <f ca="1">IF($T$68,Output!E65,E79)</f>
        <v>19.408225489101518</v>
      </c>
    </row>
    <row r="80" spans="1:20" s="248" customFormat="1" x14ac:dyDescent="0.3">
      <c r="A80" s="246"/>
      <c r="B80" s="549" t="s">
        <v>37</v>
      </c>
      <c r="E80" s="248">
        <f ca="1">IF($T$68,Output!E66,E80)</f>
        <v>12.938816992734344</v>
      </c>
    </row>
    <row r="81" spans="1:20" s="248" customFormat="1" ht="13.5" thickBot="1" x14ac:dyDescent="0.35">
      <c r="A81" s="246"/>
      <c r="B81" s="411" t="s">
        <v>142</v>
      </c>
      <c r="C81" s="624"/>
      <c r="D81" s="624"/>
      <c r="E81" s="444">
        <f ca="1">IF($T$68,Output!E67,E81)</f>
        <v>132.19408474052284</v>
      </c>
    </row>
    <row r="82" spans="1:20" s="248" customFormat="1" x14ac:dyDescent="0.3">
      <c r="A82" s="246"/>
      <c r="G82" s="558"/>
    </row>
    <row r="83" spans="1:20" s="248" customFormat="1" x14ac:dyDescent="0.3">
      <c r="A83" s="246" t="s">
        <v>31</v>
      </c>
      <c r="B83" s="276" t="str">
        <f ca="1">IF(T86,"Transaction Summary ("&amp;'LBO Model'!$J$4&amp;")",B83)</f>
        <v>Transaction Summary (KLG Low Bid)</v>
      </c>
      <c r="G83" s="558"/>
    </row>
    <row r="84" spans="1:20" s="248" customFormat="1" ht="13.5" thickBot="1" x14ac:dyDescent="0.35">
      <c r="B84" s="416" t="str">
        <f>'LBO Model'!$B$12</f>
        <v>($ in millions)</v>
      </c>
      <c r="C84" s="267"/>
      <c r="D84" s="267"/>
      <c r="E84" s="267"/>
      <c r="F84" s="267"/>
      <c r="G84" s="558"/>
    </row>
    <row r="85" spans="1:20" s="248" customFormat="1" ht="14.5" x14ac:dyDescent="0.45">
      <c r="A85" s="246"/>
      <c r="B85" s="549"/>
      <c r="C85" s="549"/>
      <c r="D85" s="549"/>
      <c r="E85" s="549"/>
      <c r="F85" s="577" t="s">
        <v>370</v>
      </c>
      <c r="G85" s="558"/>
      <c r="T85" s="248" t="s">
        <v>772</v>
      </c>
    </row>
    <row r="86" spans="1:20" s="248" customFormat="1" x14ac:dyDescent="0.3">
      <c r="A86" s="246"/>
      <c r="B86" s="549" t="s">
        <v>834</v>
      </c>
      <c r="C86" s="549"/>
      <c r="D86" s="549"/>
      <c r="E86" s="549"/>
      <c r="F86" s="631">
        <f ca="1">IF($T$86,Output!F5,F86)</f>
        <v>242.30769230769229</v>
      </c>
      <c r="G86" s="558"/>
      <c r="T86" s="562" t="b">
        <f>AND(Unlock,KLGLowBid)</f>
        <v>0</v>
      </c>
    </row>
    <row r="87" spans="1:20" s="248" customFormat="1" x14ac:dyDescent="0.3">
      <c r="A87" s="246"/>
      <c r="B87" s="549" t="s">
        <v>780</v>
      </c>
      <c r="C87" s="549"/>
      <c r="D87" s="549"/>
      <c r="E87" s="549"/>
      <c r="F87" s="616">
        <f ca="1">IF($T$86,Output!F6,F87)</f>
        <v>0.12</v>
      </c>
      <c r="G87" s="558"/>
    </row>
    <row r="88" spans="1:20" s="248" customFormat="1" x14ac:dyDescent="0.3">
      <c r="A88" s="246"/>
      <c r="B88" s="497" t="s">
        <v>779</v>
      </c>
      <c r="C88" s="497"/>
      <c r="D88" s="497"/>
      <c r="E88" s="497"/>
      <c r="F88" s="632">
        <f ca="1">IF($T$86,Output!F7,F88)</f>
        <v>271.38461538461542</v>
      </c>
      <c r="G88" s="558"/>
    </row>
    <row r="89" spans="1:20" s="248" customFormat="1" x14ac:dyDescent="0.3">
      <c r="A89" s="246"/>
      <c r="B89" s="549"/>
      <c r="C89" s="549"/>
      <c r="D89" s="549"/>
      <c r="E89" s="549"/>
      <c r="F89" s="582"/>
      <c r="G89" s="558"/>
    </row>
    <row r="90" spans="1:20" s="248" customFormat="1" x14ac:dyDescent="0.3">
      <c r="A90" s="246"/>
      <c r="B90" s="549" t="s">
        <v>503</v>
      </c>
      <c r="C90" s="549"/>
      <c r="D90" s="549"/>
      <c r="E90" s="549"/>
      <c r="F90" s="582">
        <f ca="1">IF($T$86,Output!F9,F90)</f>
        <v>22.723279999999999</v>
      </c>
      <c r="G90" s="558"/>
    </row>
    <row r="91" spans="1:20" s="248" customFormat="1" x14ac:dyDescent="0.3">
      <c r="A91" s="246"/>
      <c r="B91" s="549" t="s">
        <v>841</v>
      </c>
      <c r="C91" s="549"/>
      <c r="D91" s="549"/>
      <c r="E91" s="549"/>
      <c r="F91" s="582">
        <f ca="1">IF($T$86,Output!F10,F91)</f>
        <v>2.5000000000000001E-2</v>
      </c>
      <c r="G91" s="558"/>
    </row>
    <row r="92" spans="1:20" s="248" customFormat="1" x14ac:dyDescent="0.3">
      <c r="A92" s="246"/>
      <c r="B92" s="304" t="s">
        <v>781</v>
      </c>
      <c r="C92" s="304"/>
      <c r="D92" s="304"/>
      <c r="E92" s="304"/>
      <c r="F92" s="633">
        <f ca="1">IF($T$86,Output!F11,F92)</f>
        <v>22.748279999999998</v>
      </c>
      <c r="G92" s="558"/>
    </row>
    <row r="93" spans="1:20" s="248" customFormat="1" x14ac:dyDescent="0.3">
      <c r="A93" s="246"/>
      <c r="B93" s="549" t="s">
        <v>782</v>
      </c>
      <c r="C93" s="549"/>
      <c r="D93" s="549"/>
      <c r="E93" s="549"/>
      <c r="F93" s="634">
        <f ca="1">IF($T$86,Output!F12,F93)</f>
        <v>271.38461538461542</v>
      </c>
      <c r="G93" s="558"/>
    </row>
    <row r="94" spans="1:20" s="248" customFormat="1" x14ac:dyDescent="0.3">
      <c r="A94" s="246"/>
      <c r="B94" s="549" t="s">
        <v>842</v>
      </c>
      <c r="C94" s="549"/>
      <c r="D94" s="549"/>
      <c r="E94" s="549"/>
      <c r="F94" s="582">
        <f ca="1">IF($T$86,Output!F13,F94)</f>
        <v>-4.1390399999999996</v>
      </c>
      <c r="G94" s="558"/>
    </row>
    <row r="95" spans="1:20" s="248" customFormat="1" x14ac:dyDescent="0.3">
      <c r="A95" s="246"/>
      <c r="B95" s="304" t="s">
        <v>369</v>
      </c>
      <c r="C95" s="304"/>
      <c r="D95" s="304"/>
      <c r="E95" s="304"/>
      <c r="F95" s="635">
        <f ca="1">IF($T$86,Output!F14,F95)</f>
        <v>6169.3941784615381</v>
      </c>
      <c r="G95" s="558"/>
    </row>
    <row r="96" spans="1:20" s="248" customFormat="1" x14ac:dyDescent="0.3">
      <c r="A96" s="246"/>
      <c r="B96" s="549" t="s">
        <v>783</v>
      </c>
      <c r="C96" s="549"/>
      <c r="D96" s="549"/>
      <c r="E96" s="549"/>
      <c r="F96" s="582">
        <f ca="1">IF($T$86,Output!F15,F96)</f>
        <v>427.82299999999998</v>
      </c>
      <c r="G96" s="558"/>
    </row>
    <row r="97" spans="1:9" s="248" customFormat="1" x14ac:dyDescent="0.3">
      <c r="A97" s="246"/>
      <c r="B97" s="549" t="s">
        <v>785</v>
      </c>
      <c r="C97" s="549"/>
      <c r="D97" s="549"/>
      <c r="E97" s="549"/>
      <c r="F97" s="582">
        <f ca="1">IF($T$86,Output!F16,F97)</f>
        <v>0</v>
      </c>
      <c r="G97" s="558"/>
    </row>
    <row r="98" spans="1:9" s="248" customFormat="1" x14ac:dyDescent="0.3">
      <c r="A98" s="246"/>
      <c r="B98" s="549" t="s">
        <v>786</v>
      </c>
      <c r="C98" s="549"/>
      <c r="D98" s="549"/>
      <c r="E98" s="549"/>
      <c r="F98" s="582">
        <f ca="1">IF($T$86,Output!F17,F98)</f>
        <v>-21.341550000000002</v>
      </c>
      <c r="G98" s="558"/>
    </row>
    <row r="99" spans="1:9" s="248" customFormat="1" x14ac:dyDescent="0.3">
      <c r="A99" s="246"/>
      <c r="B99" s="497" t="s">
        <v>833</v>
      </c>
      <c r="C99" s="497"/>
      <c r="D99" s="497"/>
      <c r="E99" s="497"/>
      <c r="F99" s="636">
        <f ca="1">IF($T$86,Output!F18,F99)</f>
        <v>6575.8756284615383</v>
      </c>
      <c r="G99" s="558"/>
    </row>
    <row r="100" spans="1:9" s="248" customFormat="1" x14ac:dyDescent="0.3">
      <c r="A100" s="246"/>
      <c r="B100" s="549"/>
      <c r="C100" s="549"/>
      <c r="D100" s="549"/>
      <c r="E100" s="549"/>
      <c r="F100" s="582"/>
      <c r="G100" s="558"/>
    </row>
    <row r="101" spans="1:9" s="248" customFormat="1" x14ac:dyDescent="0.3">
      <c r="A101" s="246"/>
      <c r="B101" s="549" t="s">
        <v>787</v>
      </c>
      <c r="C101" s="549"/>
      <c r="D101" s="549"/>
      <c r="E101" s="549"/>
      <c r="F101" s="582">
        <f ca="1">IF($T$86,Output!F20,F101)</f>
        <v>129.19395722346496</v>
      </c>
      <c r="G101" s="558"/>
    </row>
    <row r="102" spans="1:9" s="248" customFormat="1" x14ac:dyDescent="0.3">
      <c r="A102" s="246"/>
      <c r="B102" s="497" t="s">
        <v>827</v>
      </c>
      <c r="C102" s="254"/>
      <c r="D102" s="254"/>
      <c r="E102" s="254"/>
      <c r="F102" s="636">
        <f ca="1">IF($T$86,Output!F21,F102)</f>
        <v>6705.0695856850034</v>
      </c>
      <c r="G102" s="558"/>
    </row>
    <row r="103" spans="1:9" s="248" customFormat="1" x14ac:dyDescent="0.3">
      <c r="A103" s="246"/>
      <c r="B103" s="549"/>
      <c r="C103" s="549"/>
      <c r="D103" s="549"/>
      <c r="E103" s="549"/>
      <c r="F103" s="582"/>
      <c r="G103" s="558"/>
    </row>
    <row r="104" spans="1:9" s="248" customFormat="1" x14ac:dyDescent="0.3">
      <c r="A104" s="246"/>
      <c r="B104" s="549" t="s">
        <v>412</v>
      </c>
      <c r="C104" s="549"/>
      <c r="D104" s="549"/>
      <c r="E104" s="549"/>
      <c r="F104" s="634">
        <f ca="1">IF($T$86,Output!F23,F104)</f>
        <v>403.19000000000017</v>
      </c>
      <c r="G104" s="558"/>
    </row>
    <row r="105" spans="1:9" s="248" customFormat="1" x14ac:dyDescent="0.3">
      <c r="A105" s="246"/>
      <c r="B105" s="549"/>
      <c r="C105" s="549"/>
      <c r="D105" s="549"/>
      <c r="E105" s="549"/>
      <c r="F105" s="582"/>
      <c r="G105" s="558"/>
    </row>
    <row r="106" spans="1:9" s="248" customFormat="1" x14ac:dyDescent="0.3">
      <c r="A106" s="246"/>
      <c r="B106" s="549" t="s">
        <v>413</v>
      </c>
      <c r="C106" s="549"/>
      <c r="D106" s="549"/>
      <c r="E106" s="549"/>
      <c r="F106" s="637">
        <f ca="1">IF($T$86,Output!F25,F106)</f>
        <v>16.309619852827538</v>
      </c>
      <c r="G106" s="558"/>
    </row>
    <row r="107" spans="1:9" s="248" customFormat="1" x14ac:dyDescent="0.3">
      <c r="A107" s="246"/>
      <c r="B107" s="549"/>
      <c r="C107" s="549"/>
      <c r="D107" s="549"/>
      <c r="E107" s="549"/>
      <c r="F107" s="638"/>
      <c r="G107" s="558"/>
    </row>
    <row r="108" spans="1:9" s="248" customFormat="1" ht="13.5" thickBot="1" x14ac:dyDescent="0.35">
      <c r="A108" s="246"/>
      <c r="B108" s="267" t="s">
        <v>414</v>
      </c>
      <c r="C108" s="267"/>
      <c r="D108" s="267"/>
      <c r="E108" s="267"/>
      <c r="F108" s="639">
        <f ca="1">IF($T$86,Output!F27,F108)</f>
        <v>16.630049320878495</v>
      </c>
      <c r="G108" s="558"/>
    </row>
    <row r="109" spans="1:9" s="248" customFormat="1" x14ac:dyDescent="0.3">
      <c r="A109" s="246"/>
      <c r="G109" s="558"/>
    </row>
    <row r="110" spans="1:9" s="248" customFormat="1" x14ac:dyDescent="0.3">
      <c r="A110" s="246" t="s">
        <v>31</v>
      </c>
      <c r="B110" s="276" t="str">
        <f ca="1">IF(T114,"Enterprise Value &amp; Leverage Summary ("&amp;'LBO Model'!$J$4&amp;")",B110)</f>
        <v>Enterprise Value &amp; Leverage Summary (KLG Low Bid)</v>
      </c>
    </row>
    <row r="111" spans="1:9" s="248" customFormat="1" x14ac:dyDescent="0.3">
      <c r="A111" s="246"/>
      <c r="B111" s="248" t="str">
        <f>'LBO Model'!B84</f>
        <v>Cash and Cash Equivalents</v>
      </c>
    </row>
    <row r="112" spans="1:9" s="256" customFormat="1" x14ac:dyDescent="0.3">
      <c r="A112" s="249"/>
      <c r="I112" s="256" t="s">
        <v>517</v>
      </c>
    </row>
    <row r="113" spans="1:20" s="256" customFormat="1" ht="13.5" thickBot="1" x14ac:dyDescent="0.35">
      <c r="A113" s="249"/>
      <c r="B113" s="274"/>
      <c r="C113" s="274"/>
      <c r="D113" s="274"/>
      <c r="E113" s="274"/>
      <c r="F113" s="308" t="s">
        <v>205</v>
      </c>
      <c r="G113" s="274"/>
      <c r="H113" s="274"/>
      <c r="I113" s="308" t="s">
        <v>518</v>
      </c>
      <c r="J113" s="274"/>
      <c r="T113" s="248" t="s">
        <v>772</v>
      </c>
    </row>
    <row r="114" spans="1:20" s="248" customFormat="1" x14ac:dyDescent="0.3">
      <c r="A114" s="246"/>
      <c r="B114" s="248" t="s">
        <v>519</v>
      </c>
      <c r="F114" s="286">
        <f ca="1">IF($T$114,Output!F33,F114)</f>
        <v>6169.3941784615381</v>
      </c>
      <c r="T114" s="562" t="b">
        <f>AND(Unlock,KLGLowBid)</f>
        <v>0</v>
      </c>
    </row>
    <row r="115" spans="1:20" s="248" customFormat="1" x14ac:dyDescent="0.3">
      <c r="A115" s="246"/>
      <c r="B115" s="248" t="s">
        <v>520</v>
      </c>
      <c r="F115" s="248">
        <f ca="1">IF($T$114,Output!F34,F115)</f>
        <v>427.82299999999998</v>
      </c>
    </row>
    <row r="116" spans="1:20" s="248" customFormat="1" x14ac:dyDescent="0.3">
      <c r="A116" s="246"/>
      <c r="B116" s="410" t="s">
        <v>521</v>
      </c>
      <c r="C116" s="410"/>
      <c r="D116" s="410"/>
      <c r="E116" s="410"/>
      <c r="F116" s="410">
        <f ca="1">IF($T$114,Output!F35,F116)</f>
        <v>-21.341550000000002</v>
      </c>
      <c r="G116" s="410"/>
      <c r="H116" s="410"/>
      <c r="I116" s="410"/>
      <c r="J116" s="410"/>
    </row>
    <row r="117" spans="1:20" s="248" customFormat="1" x14ac:dyDescent="0.3">
      <c r="A117" s="246"/>
      <c r="B117" s="248" t="s">
        <v>372</v>
      </c>
      <c r="F117" s="286">
        <f ca="1">IF($T$114,Output!F36,F117)</f>
        <v>6575.8756284615383</v>
      </c>
      <c r="I117" s="234">
        <f ca="1">IF($T$114,Output!I36,I117)</f>
        <v>16.309619852827538</v>
      </c>
    </row>
    <row r="118" spans="1:20" s="248" customFormat="1" x14ac:dyDescent="0.3">
      <c r="A118" s="246"/>
      <c r="B118" s="258" t="s">
        <v>478</v>
      </c>
      <c r="C118" s="258"/>
      <c r="D118" s="258"/>
      <c r="E118" s="258"/>
      <c r="F118" s="258">
        <f ca="1">IF($T$114,Output!F37,F118)</f>
        <v>129.19395722346496</v>
      </c>
      <c r="G118" s="258"/>
      <c r="H118" s="258"/>
      <c r="I118" s="592"/>
      <c r="J118" s="258"/>
    </row>
    <row r="119" spans="1:20" s="256" customFormat="1" x14ac:dyDescent="0.3">
      <c r="A119" s="249"/>
      <c r="B119" s="256" t="s">
        <v>522</v>
      </c>
      <c r="F119" s="295">
        <f ca="1">IF($T$114,Output!F38,F119)</f>
        <v>6705.0695856850034</v>
      </c>
      <c r="I119" s="402">
        <f ca="1">IF($T$114,Output!I38,I119)</f>
        <v>16.630049320878495</v>
      </c>
    </row>
    <row r="120" spans="1:20" s="248" customFormat="1" x14ac:dyDescent="0.3">
      <c r="A120" s="246"/>
    </row>
    <row r="121" spans="1:20" s="248" customFormat="1" x14ac:dyDescent="0.3">
      <c r="A121" s="246"/>
      <c r="B121" s="248" t="s">
        <v>523</v>
      </c>
      <c r="F121" s="286">
        <f ca="1">IF($T$114,Output!F40,F121)</f>
        <v>403.19000000000017</v>
      </c>
    </row>
    <row r="122" spans="1:20" s="248" customFormat="1" x14ac:dyDescent="0.3">
      <c r="A122" s="246"/>
    </row>
    <row r="123" spans="1:20" s="276" customFormat="1" x14ac:dyDescent="0.3">
      <c r="A123" s="418"/>
      <c r="B123" s="276" t="s">
        <v>524</v>
      </c>
      <c r="I123" s="256" t="s">
        <v>525</v>
      </c>
    </row>
    <row r="124" spans="1:20" s="248" customFormat="1" x14ac:dyDescent="0.3">
      <c r="A124" s="246"/>
      <c r="B124" s="248" t="s">
        <v>371</v>
      </c>
      <c r="F124" s="248">
        <f ca="1">IF($T$114,Output!F43,F124)</f>
        <v>0</v>
      </c>
      <c r="I124" s="234">
        <f ca="1">IF($T$114,Output!I43,I124)</f>
        <v>0</v>
      </c>
    </row>
    <row r="125" spans="1:20" s="248" customFormat="1" x14ac:dyDescent="0.3">
      <c r="A125" s="246"/>
      <c r="B125" s="248" t="s">
        <v>195</v>
      </c>
      <c r="F125" s="248">
        <f ca="1">IF($T$114,Output!F44,F125)</f>
        <v>750.00001386756139</v>
      </c>
      <c r="I125" s="234">
        <f ca="1">IF($T$114,Output!I44,I125)</f>
        <v>1.8601652170628267</v>
      </c>
    </row>
    <row r="126" spans="1:20" s="248" customFormat="1" x14ac:dyDescent="0.3">
      <c r="A126" s="246"/>
      <c r="B126" s="248" t="s">
        <v>196</v>
      </c>
      <c r="F126" s="248">
        <f ca="1">IF($T$114,Output!F45,F126)</f>
        <v>2250.0006723056222</v>
      </c>
      <c r="I126" s="234">
        <f ca="1">IF($T$114,Output!I45,I126)</f>
        <v>5.5804972154706745</v>
      </c>
    </row>
    <row r="127" spans="1:20" s="248" customFormat="1" x14ac:dyDescent="0.3">
      <c r="A127" s="246"/>
      <c r="B127" s="410" t="s">
        <v>197</v>
      </c>
      <c r="C127" s="410"/>
      <c r="D127" s="410"/>
      <c r="E127" s="410"/>
      <c r="F127" s="410">
        <f ca="1">IF($T$114,Output!F46,F127)</f>
        <v>0</v>
      </c>
      <c r="G127" s="410"/>
      <c r="H127" s="410"/>
      <c r="I127" s="593">
        <f ca="1">IF($T$114,Output!I46,I127)</f>
        <v>0</v>
      </c>
      <c r="J127" s="410"/>
    </row>
    <row r="128" spans="1:20" s="248" customFormat="1" x14ac:dyDescent="0.3">
      <c r="A128" s="246"/>
      <c r="B128" s="248" t="s">
        <v>142</v>
      </c>
      <c r="F128" s="248">
        <f ca="1">IF($T$114,Output!F47,F128)</f>
        <v>3000.0006861731836</v>
      </c>
      <c r="I128" s="234">
        <f ca="1">IF($T$114,Output!I47,I128)</f>
        <v>7.4406624325335011</v>
      </c>
    </row>
    <row r="129" spans="1:20" s="248" customFormat="1" x14ac:dyDescent="0.3">
      <c r="A129" s="246"/>
      <c r="B129" s="410" t="s">
        <v>521</v>
      </c>
      <c r="C129" s="410"/>
      <c r="D129" s="410"/>
      <c r="E129" s="410"/>
      <c r="F129" s="410">
        <f ca="1">IF($T$114,Output!F48,F129)</f>
        <v>-21.341550000000002</v>
      </c>
      <c r="G129" s="410"/>
      <c r="H129" s="410"/>
      <c r="I129" s="593">
        <f ca="1">IF($T$114,Output!I48,I129)</f>
        <v>-5.2931744338897274E-2</v>
      </c>
      <c r="J129" s="410"/>
    </row>
    <row r="130" spans="1:20" s="256" customFormat="1" ht="13.5" thickBot="1" x14ac:dyDescent="0.35">
      <c r="A130" s="249"/>
      <c r="B130" s="411" t="s">
        <v>526</v>
      </c>
      <c r="C130" s="411"/>
      <c r="D130" s="411"/>
      <c r="E130" s="411"/>
      <c r="F130" s="444">
        <f ca="1">IF($T$114,Output!F49,F130)</f>
        <v>2978.6591361731835</v>
      </c>
      <c r="G130" s="411"/>
      <c r="H130" s="411"/>
      <c r="I130" s="594">
        <f ca="1">IF($T$114,Output!I49,I130)</f>
        <v>7.3877306881946039</v>
      </c>
      <c r="J130" s="411"/>
    </row>
    <row r="131" spans="1:20" s="248" customFormat="1" x14ac:dyDescent="0.3">
      <c r="A131" s="246"/>
    </row>
    <row r="132" spans="1:20" s="248" customFormat="1" x14ac:dyDescent="0.3">
      <c r="A132" s="246"/>
      <c r="B132" s="549" t="s">
        <v>853</v>
      </c>
      <c r="C132" s="549"/>
      <c r="D132" s="549"/>
      <c r="E132" s="549"/>
      <c r="F132" s="637"/>
      <c r="G132" s="558"/>
    </row>
    <row r="133" spans="1:20" s="248" customFormat="1" x14ac:dyDescent="0.3">
      <c r="A133" s="246"/>
      <c r="B133" s="549"/>
      <c r="C133" s="549"/>
      <c r="D133" s="549"/>
      <c r="E133" s="549"/>
      <c r="F133" s="637"/>
      <c r="G133" s="558"/>
    </row>
    <row r="134" spans="1:20" s="276" customFormat="1" x14ac:dyDescent="0.3">
      <c r="A134" s="418" t="s">
        <v>31</v>
      </c>
      <c r="B134" s="630" t="str">
        <f ca="1">IF($T$138,"Summary Financial Results ("&amp;'LBO Model'!$E$4&amp;")",B134)</f>
        <v>Summary Financial Results (Base Case)</v>
      </c>
      <c r="C134" s="630"/>
      <c r="D134" s="630"/>
      <c r="E134" s="630"/>
      <c r="F134" s="630"/>
      <c r="G134" s="630"/>
      <c r="H134" s="630"/>
      <c r="I134" s="630"/>
      <c r="J134" s="630"/>
      <c r="K134" s="630"/>
      <c r="L134" s="630"/>
      <c r="M134" s="630"/>
      <c r="N134" s="630"/>
      <c r="O134" s="630"/>
      <c r="P134" s="630"/>
      <c r="Q134" s="630"/>
      <c r="R134" s="630"/>
      <c r="S134" s="248"/>
    </row>
    <row r="135" spans="1:20" s="276" customFormat="1" ht="5.15" customHeight="1" thickBot="1" x14ac:dyDescent="0.35">
      <c r="A135" s="418"/>
      <c r="B135" s="630"/>
      <c r="C135" s="630"/>
      <c r="D135" s="630"/>
      <c r="E135" s="630"/>
      <c r="F135" s="630"/>
      <c r="G135" s="630"/>
      <c r="H135" s="630"/>
      <c r="I135" s="630"/>
      <c r="J135" s="630"/>
      <c r="K135" s="630"/>
      <c r="L135" s="630"/>
      <c r="M135" s="630"/>
      <c r="N135" s="630"/>
      <c r="O135" s="630"/>
      <c r="P135" s="630"/>
      <c r="Q135" s="630"/>
      <c r="R135" s="630"/>
      <c r="S135" s="248"/>
    </row>
    <row r="136" spans="1:20" s="248" customFormat="1" x14ac:dyDescent="0.3">
      <c r="A136" s="246"/>
      <c r="B136" s="596" t="str">
        <f>"For the FYE Ending "&amp;TEXT(I137, "MMM DD")</f>
        <v>For the FYE Ending dic 27</v>
      </c>
      <c r="C136" s="596"/>
      <c r="D136" s="596"/>
      <c r="E136" s="596"/>
      <c r="F136" s="597" t="s">
        <v>109</v>
      </c>
      <c r="G136" s="597"/>
      <c r="H136" s="277"/>
      <c r="I136" s="597" t="s">
        <v>364</v>
      </c>
      <c r="J136" s="597"/>
      <c r="K136" s="597"/>
      <c r="L136" s="597"/>
      <c r="M136" s="597"/>
      <c r="N136" s="597"/>
      <c r="O136" s="597"/>
      <c r="P136" s="598"/>
      <c r="Q136" s="598"/>
      <c r="R136" s="598"/>
    </row>
    <row r="137" spans="1:20" s="248" customFormat="1" x14ac:dyDescent="0.3">
      <c r="A137" s="246"/>
      <c r="B137" s="414" t="str">
        <f>'LBO Model'!$B$12</f>
        <v>($ in millions)</v>
      </c>
      <c r="C137" s="258"/>
      <c r="D137" s="258"/>
      <c r="E137" s="258"/>
      <c r="F137" s="231">
        <f>'LBO Model'!F143</f>
        <v>42003</v>
      </c>
      <c r="G137" s="231">
        <f>'LBO Model'!G143</f>
        <v>42367</v>
      </c>
      <c r="H137" s="232">
        <f>'LBO Model'!H143</f>
        <v>42731</v>
      </c>
      <c r="I137" s="231">
        <f>'LBO Model'!I143</f>
        <v>43096</v>
      </c>
      <c r="J137" s="231">
        <f>'LBO Model'!J143</f>
        <v>43461</v>
      </c>
      <c r="K137" s="231">
        <f>'LBO Model'!K143</f>
        <v>43826</v>
      </c>
      <c r="L137" s="231">
        <f>'LBO Model'!L143</f>
        <v>44192</v>
      </c>
      <c r="M137" s="231">
        <f>'LBO Model'!M143</f>
        <v>44557</v>
      </c>
      <c r="N137" s="231">
        <f>'LBO Model'!N143</f>
        <v>44922</v>
      </c>
      <c r="O137" s="231">
        <f>'LBO Model'!O143</f>
        <v>45287</v>
      </c>
      <c r="P137" s="231">
        <f>'LBO Model'!P143</f>
        <v>45653</v>
      </c>
      <c r="Q137" s="231">
        <f>'LBO Model'!Q143</f>
        <v>46018</v>
      </c>
      <c r="R137" s="231">
        <f>'LBO Model'!R143</f>
        <v>46383</v>
      </c>
      <c r="T137" s="248" t="s">
        <v>772</v>
      </c>
    </row>
    <row r="138" spans="1:20" s="248" customFormat="1" x14ac:dyDescent="0.3">
      <c r="A138" s="246"/>
      <c r="B138" s="248" t="s">
        <v>107</v>
      </c>
      <c r="F138" s="286">
        <f ca="1">IF($T$138,Output!F73,F138)</f>
        <v>2529.1950000000002</v>
      </c>
      <c r="G138" s="286">
        <f ca="1">IF($T$138,Output!G73,G138)</f>
        <v>2681.58</v>
      </c>
      <c r="H138" s="433">
        <f ca="1">IF($T$138,Output!H73,H138)</f>
        <v>2795.3650000000002</v>
      </c>
      <c r="I138" s="286">
        <f ca="1">IF($T$138,Output!I73,I138)</f>
        <v>2846.1157142857151</v>
      </c>
      <c r="J138" s="286">
        <f ca="1">IF($T$138,Output!J73,J138)</f>
        <v>3083.1444285714297</v>
      </c>
      <c r="K138" s="286">
        <f ca="1">IF($T$138,Output!K73,K138)</f>
        <v>3374.4200000000014</v>
      </c>
      <c r="L138" s="286">
        <f ca="1">IF($T$138,Output!L73,L138)</f>
        <v>3886.8910000000014</v>
      </c>
      <c r="M138" s="286">
        <f ca="1">IF($T$138,Output!M73,M138)</f>
        <v>4220.0080000000016</v>
      </c>
      <c r="N138" s="286">
        <f ca="1">IF($T$138,Output!N73,N138)</f>
        <v>4593.740977397968</v>
      </c>
      <c r="O138" s="286">
        <f ca="1">IF($T$138,Output!O73,O138)</f>
        <v>5013.7081816123136</v>
      </c>
      <c r="P138" s="286">
        <f ca="1">IF($T$138,Output!P73,P138)</f>
        <v>5486.405976275908</v>
      </c>
      <c r="Q138" s="286">
        <f ca="1">IF($T$138,Output!Q73,Q138)</f>
        <v>6019.3584004222148</v>
      </c>
      <c r="R138" s="286">
        <f ca="1">IF($T$138,Output!R73,R138)</f>
        <v>6621.2942404644364</v>
      </c>
      <c r="T138" s="562" t="b">
        <f>AND(Unlock,BaseCase,KLGHighBid)</f>
        <v>0</v>
      </c>
    </row>
    <row r="139" spans="1:20" s="236" customFormat="1" x14ac:dyDescent="0.3">
      <c r="A139" s="283"/>
      <c r="B139" s="284" t="s">
        <v>140</v>
      </c>
      <c r="G139" s="290">
        <f ca="1">IF($T$138,Output!G74,G139)</f>
        <v>6.0250395876948915E-2</v>
      </c>
      <c r="H139" s="434">
        <f ca="1">IF($T$138,Output!H74,H139)</f>
        <v>4.2432073628234201E-2</v>
      </c>
      <c r="I139" s="290">
        <f ca="1">IF($T$138,Output!I74,I139)</f>
        <v>1.8155308621848887E-2</v>
      </c>
      <c r="J139" s="290">
        <f ca="1">IF($T$138,Output!J74,J139)</f>
        <v>8.3281474852192172E-2</v>
      </c>
      <c r="K139" s="290">
        <f ca="1">IF($T$138,Output!K74,K139)</f>
        <v>9.4473540950377632E-2</v>
      </c>
      <c r="L139" s="290">
        <f ca="1">IF($T$138,Output!L74,L139)</f>
        <v>0.15186935828972081</v>
      </c>
      <c r="M139" s="290">
        <f ca="1">IF($T$138,Output!M74,M139)</f>
        <v>8.5702686285774377E-2</v>
      </c>
      <c r="N139" s="290">
        <f ca="1">IF($T$138,Output!N74,N139)</f>
        <v>8.8562149028619475E-2</v>
      </c>
      <c r="O139" s="290">
        <f ca="1">IF($T$138,Output!O74,O139)</f>
        <v>9.1421611771464573E-2</v>
      </c>
      <c r="P139" s="290">
        <f ca="1">IF($T$138,Output!P74,P139)</f>
        <v>9.4281074514309671E-2</v>
      </c>
      <c r="Q139" s="290">
        <f ca="1">IF($T$138,Output!Q74,Q139)</f>
        <v>9.7140537257154769E-2</v>
      </c>
      <c r="R139" s="290">
        <f ca="1">IF($T$138,Output!R74,R139)</f>
        <v>0.10000000000000009</v>
      </c>
    </row>
    <row r="140" spans="1:20" s="248" customFormat="1" x14ac:dyDescent="0.3">
      <c r="A140" s="246"/>
      <c r="H140" s="230"/>
    </row>
    <row r="141" spans="1:20" s="248" customFormat="1" x14ac:dyDescent="0.3">
      <c r="A141" s="246"/>
      <c r="B141" s="248" t="s">
        <v>527</v>
      </c>
      <c r="F141" s="248">
        <f ca="1">IF($T$138,Output!F76,F141)</f>
        <v>2129.1430000000005</v>
      </c>
      <c r="G141" s="248">
        <f ca="1">IF($T$138,Output!G76,G141)</f>
        <v>2287.48</v>
      </c>
      <c r="H141" s="230">
        <f ca="1">IF($T$138,Output!H76,H141)</f>
        <v>2392.1750000000002</v>
      </c>
      <c r="I141" s="248">
        <f ca="1">IF($T$138,Output!I76,I141)</f>
        <v>2405.2157142857154</v>
      </c>
      <c r="J141" s="248">
        <f ca="1">IF($T$138,Output!J76,J141)</f>
        <v>2593.7444285714291</v>
      </c>
      <c r="K141" s="248">
        <f ca="1">IF($T$138,Output!K76,K141)</f>
        <v>2813.3200000000011</v>
      </c>
      <c r="L141" s="248">
        <f ca="1">IF($T$138,Output!L76,L141)</f>
        <v>3255.2910000000011</v>
      </c>
      <c r="M141" s="248">
        <f ca="1">IF($T$138,Output!M76,M141)</f>
        <v>3527.9080000000008</v>
      </c>
      <c r="N141" s="248">
        <f ca="1">IF($T$138,Output!N76,N141)</f>
        <v>3840.3471140552601</v>
      </c>
      <c r="O141" s="248">
        <f ca="1">IF($T$138,Output!O76,O141)</f>
        <v>4191.4378369840842</v>
      </c>
      <c r="P141" s="248">
        <f ca="1">IF($T$138,Output!P76,P141)</f>
        <v>4586.6111000148776</v>
      </c>
      <c r="Q141" s="248">
        <f ca="1">IF($T$138,Output!Q76,Q141)</f>
        <v>5032.1569664599538</v>
      </c>
      <c r="R141" s="248">
        <f ca="1">IF($T$138,Output!R76,R141)</f>
        <v>5535.372663105948</v>
      </c>
    </row>
    <row r="142" spans="1:20" s="236" customFormat="1" x14ac:dyDescent="0.3">
      <c r="A142" s="283"/>
      <c r="B142" s="284" t="s">
        <v>140</v>
      </c>
      <c r="F142" s="290"/>
      <c r="G142" s="290">
        <f ca="1">IF($T$138,Output!G77,G142)</f>
        <v>7.4366540904016176E-2</v>
      </c>
      <c r="H142" s="434">
        <f ca="1">IF($T$138,Output!H77,H142)</f>
        <v>4.5768706174480256E-2</v>
      </c>
      <c r="I142" s="290">
        <f ca="1">IF($T$138,Output!I77,I142)</f>
        <v>5.4514048034592921E-3</v>
      </c>
      <c r="J142" s="290">
        <f ca="1">IF($T$138,Output!J77,J142)</f>
        <v>7.8383287272718372E-2</v>
      </c>
      <c r="K142" s="290">
        <f ca="1">IF($T$138,Output!K77,K142)</f>
        <v>8.4655823839016042E-2</v>
      </c>
      <c r="L142" s="290">
        <f ca="1">IF($T$138,Output!L77,L142)</f>
        <v>0.1570994412295792</v>
      </c>
      <c r="M142" s="290">
        <f ca="1">IF($T$138,Output!M77,M142)</f>
        <v>8.3745815658262002E-2</v>
      </c>
      <c r="N142" s="290">
        <f ca="1">IF($T$138,Output!N77,N142)</f>
        <v>8.8562149028619475E-2</v>
      </c>
      <c r="O142" s="290">
        <f ca="1">IF($T$138,Output!O77,O142)</f>
        <v>9.1421611771464573E-2</v>
      </c>
      <c r="P142" s="290">
        <f ca="1">IF($T$138,Output!P77,P142)</f>
        <v>9.4281074514309671E-2</v>
      </c>
      <c r="Q142" s="290">
        <f ca="1">IF($T$138,Output!Q77,Q142)</f>
        <v>9.7140537257154991E-2</v>
      </c>
      <c r="R142" s="290">
        <f ca="1">IF($T$138,Output!R77,R142)</f>
        <v>9.9999999999999867E-2</v>
      </c>
    </row>
    <row r="143" spans="1:20" s="236" customFormat="1" x14ac:dyDescent="0.3">
      <c r="A143" s="283"/>
      <c r="B143" s="284" t="s">
        <v>365</v>
      </c>
      <c r="F143" s="290">
        <f ca="1">IF($T$138,Output!F78,F143)</f>
        <v>0.84182635186294463</v>
      </c>
      <c r="G143" s="290">
        <f ca="1">IF($T$138,Output!G78,G143)</f>
        <v>0.85303440508953676</v>
      </c>
      <c r="H143" s="434">
        <f ca="1">IF($T$138,Output!H78,H143)</f>
        <v>0.8557648106776754</v>
      </c>
      <c r="I143" s="290">
        <f ca="1">IF($T$138,Output!I78,I143)</f>
        <v>0.8450871137153847</v>
      </c>
      <c r="J143" s="290">
        <f ca="1">IF($T$138,Output!J78,J143)</f>
        <v>0.84126595061044118</v>
      </c>
      <c r="K143" s="290">
        <f ca="1">IF($T$138,Output!K78,K143)</f>
        <v>0.83371957254876394</v>
      </c>
      <c r="L143" s="290">
        <f ca="1">IF($T$138,Output!L78,L143)</f>
        <v>0.83750509082966307</v>
      </c>
      <c r="M143" s="290">
        <f ca="1">IF($T$138,Output!M78,M143)</f>
        <v>0.83599557157237603</v>
      </c>
      <c r="N143" s="290">
        <f ca="1">IF($T$138,Output!N78,N143)</f>
        <v>0.83599557157237614</v>
      </c>
      <c r="O143" s="290">
        <f ca="1">IF($T$138,Output!O78,O143)</f>
        <v>0.83599557157237603</v>
      </c>
      <c r="P143" s="290">
        <f ca="1">IF($T$138,Output!P78,P143)</f>
        <v>0.83599557157237603</v>
      </c>
      <c r="Q143" s="290">
        <f ca="1">IF($T$138,Output!Q78,Q143)</f>
        <v>0.83599557157237625</v>
      </c>
      <c r="R143" s="290">
        <f ca="1">IF($T$138,Output!R78,R143)</f>
        <v>0.83599557157237603</v>
      </c>
    </row>
    <row r="144" spans="1:20" s="248" customFormat="1" x14ac:dyDescent="0.3">
      <c r="A144" s="246"/>
      <c r="H144" s="230"/>
    </row>
    <row r="145" spans="1:20" s="248" customFormat="1" x14ac:dyDescent="0.3">
      <c r="A145" s="246"/>
      <c r="B145" s="248" t="s">
        <v>111</v>
      </c>
      <c r="F145" s="248">
        <f ca="1">IF($T$138,Output!F80,F145)</f>
        <v>400.05199999999974</v>
      </c>
      <c r="G145" s="248">
        <f ca="1">IF($T$138,Output!G80,G145)</f>
        <v>394.09999999999985</v>
      </c>
      <c r="H145" s="230">
        <f ca="1">IF($T$138,Output!H80,H145)</f>
        <v>403.19000000000017</v>
      </c>
      <c r="I145" s="248">
        <f ca="1">IF($T$138,Output!I80,I145)</f>
        <v>440.89999999999992</v>
      </c>
      <c r="J145" s="248">
        <f ca="1">IF($T$138,Output!J80,J145)</f>
        <v>489.40000000000043</v>
      </c>
      <c r="K145" s="248">
        <f ca="1">IF($T$138,Output!K80,K145)</f>
        <v>561.10000000000059</v>
      </c>
      <c r="L145" s="248">
        <f ca="1">IF($T$138,Output!L80,L145)</f>
        <v>631.60000000000036</v>
      </c>
      <c r="M145" s="248">
        <f ca="1">IF($T$138,Output!M80,M145)</f>
        <v>692.1000000000007</v>
      </c>
      <c r="N145" s="248">
        <f ca="1">IF($T$138,Output!N80,N145)</f>
        <v>753.3938633427083</v>
      </c>
      <c r="O145" s="248">
        <f ca="1">IF($T$138,Output!O80,O145)</f>
        <v>822.27034462822928</v>
      </c>
      <c r="P145" s="248">
        <f ca="1">IF($T$138,Output!P80,P145)</f>
        <v>899.79487626102991</v>
      </c>
      <c r="Q145" s="248">
        <f ca="1">IF($T$138,Output!Q80,Q145)</f>
        <v>987.2014339622616</v>
      </c>
      <c r="R145" s="248">
        <f ca="1">IF($T$138,Output!R80,R145)</f>
        <v>1085.9215773584885</v>
      </c>
    </row>
    <row r="146" spans="1:20" s="236" customFormat="1" x14ac:dyDescent="0.3">
      <c r="A146" s="283"/>
      <c r="B146" s="284" t="s">
        <v>140</v>
      </c>
      <c r="F146" s="290"/>
      <c r="G146" s="290">
        <f ca="1">IF($T$138,Output!G81,G146)</f>
        <v>-1.4878065851439026E-2</v>
      </c>
      <c r="H146" s="434">
        <f ca="1">IF($T$138,Output!H81,H146)</f>
        <v>2.3065211875159308E-2</v>
      </c>
      <c r="I146" s="290">
        <f ca="1">IF($T$138,Output!I81,I146)</f>
        <v>9.3529105384557498E-2</v>
      </c>
      <c r="J146" s="290">
        <f ca="1">IF($T$138,Output!J81,J146)</f>
        <v>0.11000226808800306</v>
      </c>
      <c r="K146" s="290">
        <f ca="1">IF($T$138,Output!K81,K146)</f>
        <v>0.14650592562321219</v>
      </c>
      <c r="L146" s="290">
        <f ca="1">IF($T$138,Output!L81,L146)</f>
        <v>0.1256460523970766</v>
      </c>
      <c r="M146" s="290">
        <f ca="1">IF($T$138,Output!M81,M146)</f>
        <v>9.5788473717543177E-2</v>
      </c>
      <c r="N146" s="290">
        <f ca="1">IF($T$138,Output!N81,N146)</f>
        <v>8.8562149028619475E-2</v>
      </c>
      <c r="O146" s="290">
        <f ca="1">IF($T$138,Output!O81,O146)</f>
        <v>9.1421611771464573E-2</v>
      </c>
      <c r="P146" s="290">
        <f ca="1">IF($T$138,Output!P81,P146)</f>
        <v>9.4281074514309005E-2</v>
      </c>
      <c r="Q146" s="290">
        <f ca="1">IF($T$138,Output!Q81,Q146)</f>
        <v>9.7140537257154991E-2</v>
      </c>
      <c r="R146" s="290">
        <f ca="1">IF($T$138,Output!R81,R146)</f>
        <v>0.10000000000000075</v>
      </c>
    </row>
    <row r="147" spans="1:20" s="236" customFormat="1" x14ac:dyDescent="0.3">
      <c r="A147" s="283"/>
      <c r="B147" s="284" t="s">
        <v>365</v>
      </c>
      <c r="F147" s="290">
        <f ca="1">IF($T$138,Output!F82,F147)</f>
        <v>0.15817364813705534</v>
      </c>
      <c r="G147" s="290">
        <f ca="1">IF($T$138,Output!G82,G147)</f>
        <v>0.14696559491046318</v>
      </c>
      <c r="H147" s="434">
        <f ca="1">IF($T$138,Output!H82,H147)</f>
        <v>0.14423518932232468</v>
      </c>
      <c r="I147" s="290">
        <f ca="1">IF($T$138,Output!I82,I147)</f>
        <v>0.15491288628461541</v>
      </c>
      <c r="J147" s="290">
        <f ca="1">IF($T$138,Output!J82,J147)</f>
        <v>0.15873404938955882</v>
      </c>
      <c r="K147" s="290">
        <f ca="1">IF($T$138,Output!K82,K147)</f>
        <v>0.16628042745123617</v>
      </c>
      <c r="L147" s="290">
        <f ca="1">IF($T$138,Output!L82,L147)</f>
        <v>0.16249490917033693</v>
      </c>
      <c r="M147" s="290">
        <f ca="1">IF($T$138,Output!M82,M147)</f>
        <v>0.16400442842762394</v>
      </c>
      <c r="N147" s="290">
        <f ca="1">IF($T$138,Output!N82,N147)</f>
        <v>0.16400442842762394</v>
      </c>
      <c r="O147" s="290">
        <f ca="1">IF($T$138,Output!O82,O147)</f>
        <v>0.16400442842762394</v>
      </c>
      <c r="P147" s="290">
        <f ca="1">IF($T$138,Output!P82,P147)</f>
        <v>0.16400442842762386</v>
      </c>
      <c r="Q147" s="290">
        <f ca="1">IF($T$138,Output!Q82,Q147)</f>
        <v>0.16400442842762386</v>
      </c>
      <c r="R147" s="290">
        <f ca="1">IF($T$138,Output!R82,R147)</f>
        <v>0.16400442842762397</v>
      </c>
    </row>
    <row r="148" spans="1:20" s="248" customFormat="1" x14ac:dyDescent="0.3">
      <c r="A148" s="246"/>
      <c r="H148" s="230"/>
    </row>
    <row r="149" spans="1:20" s="248" customFormat="1" x14ac:dyDescent="0.3">
      <c r="A149" s="246"/>
      <c r="B149" s="248" t="s">
        <v>528</v>
      </c>
      <c r="F149" s="248">
        <f ca="1">IF($T$138,Output!F84,F149)</f>
        <v>124.10899999999999</v>
      </c>
      <c r="G149" s="248">
        <f ca="1">IF($T$138,Output!G84,G149)</f>
        <v>135.398</v>
      </c>
      <c r="H149" s="230">
        <f ca="1">IF($T$138,Output!H84,H149)</f>
        <v>154.35499999999999</v>
      </c>
      <c r="I149" s="248">
        <f ca="1">IF($T$138,Output!I84,I149)</f>
        <v>282.14125714526199</v>
      </c>
      <c r="J149" s="248">
        <f ca="1">IF($T$138,Output!J84,J149)</f>
        <v>287.17140000240494</v>
      </c>
      <c r="K149" s="248">
        <f ca="1">IF($T$138,Output!K84,K149)</f>
        <v>300.03497143097621</v>
      </c>
      <c r="L149" s="248">
        <f ca="1">IF($T$138,Output!L84,L149)</f>
        <v>326.13197143097631</v>
      </c>
      <c r="M149" s="248">
        <f ca="1">IF($T$138,Output!M84,M149)</f>
        <v>340.2099714309764</v>
      </c>
      <c r="N149" s="248">
        <f ca="1">IF($T$138,Output!N84,N149)</f>
        <v>359.73376287078264</v>
      </c>
      <c r="O149" s="248">
        <f ca="1">IF($T$138,Output!O84,O149)</f>
        <v>381.67282793195437</v>
      </c>
      <c r="P149" s="248">
        <f ca="1">IF($T$138,Output!P84,P149)</f>
        <v>406.36653631520232</v>
      </c>
      <c r="Q149" s="248">
        <f ca="1">IF($T$138,Output!Q84,Q149)</f>
        <v>434.20794343109543</v>
      </c>
      <c r="R149" s="248">
        <f ca="1">IF($T$138,Output!R84,R149)</f>
        <v>465.65304063110733</v>
      </c>
    </row>
    <row r="150" spans="1:20" s="248" customFormat="1" x14ac:dyDescent="0.3">
      <c r="A150" s="246"/>
      <c r="B150" s="248" t="s">
        <v>112</v>
      </c>
      <c r="F150" s="248">
        <f ca="1">IF($T$138,Output!F85,F150)</f>
        <v>275.94299999999976</v>
      </c>
      <c r="G150" s="248">
        <f ca="1">IF($T$138,Output!G85,G150)</f>
        <v>258.70199999999988</v>
      </c>
      <c r="H150" s="230">
        <f ca="1">IF($T$138,Output!H85,H150)</f>
        <v>248.83500000000018</v>
      </c>
      <c r="I150" s="248">
        <f ca="1">IF($T$138,Output!I85,I150)</f>
        <v>158.75874285473799</v>
      </c>
      <c r="J150" s="248">
        <f ca="1">IF($T$138,Output!J85,J150)</f>
        <v>202.22859999759555</v>
      </c>
      <c r="K150" s="248">
        <f ca="1">IF($T$138,Output!K85,K150)</f>
        <v>261.06502856902438</v>
      </c>
      <c r="L150" s="248">
        <f ca="1">IF($T$138,Output!L85,L150)</f>
        <v>305.46802856902406</v>
      </c>
      <c r="M150" s="248">
        <f ca="1">IF($T$138,Output!M85,M150)</f>
        <v>351.89002856902431</v>
      </c>
      <c r="N150" s="248">
        <f ca="1">IF($T$138,Output!N85,N150)</f>
        <v>393.6601004719256</v>
      </c>
      <c r="O150" s="248">
        <f ca="1">IF($T$138,Output!O85,O150)</f>
        <v>440.59751669627497</v>
      </c>
      <c r="P150" s="248">
        <f ca="1">IF($T$138,Output!P85,P150)</f>
        <v>493.42833994582759</v>
      </c>
      <c r="Q150" s="248">
        <f ca="1">IF($T$138,Output!Q85,Q150)</f>
        <v>552.99349053116623</v>
      </c>
      <c r="R150" s="248">
        <f ca="1">IF($T$138,Output!R85,R150)</f>
        <v>620.26853672738127</v>
      </c>
    </row>
    <row r="151" spans="1:20" s="236" customFormat="1" x14ac:dyDescent="0.3">
      <c r="A151" s="283"/>
      <c r="B151" s="284" t="s">
        <v>140</v>
      </c>
      <c r="G151" s="290">
        <f ca="1">IF($T$138,Output!G86,G151)</f>
        <v>-6.2480294843499928E-2</v>
      </c>
      <c r="H151" s="434">
        <f ca="1">IF($T$138,Output!H86,H151)</f>
        <v>-3.8140408655517599E-2</v>
      </c>
      <c r="I151" s="290">
        <f ca="1">IF($T$138,Output!I86,I151)</f>
        <v>-0.3619919108857762</v>
      </c>
      <c r="J151" s="290">
        <f ca="1">IF($T$138,Output!J86,J151)</f>
        <v>0.27381079215669946</v>
      </c>
      <c r="K151" s="290">
        <f ca="1">IF($T$138,Output!K86,K151)</f>
        <v>0.29094019625378587</v>
      </c>
      <c r="L151" s="290">
        <f ca="1">IF($T$138,Output!L86,L151)</f>
        <v>0.17008406006498</v>
      </c>
      <c r="M151" s="290">
        <f ca="1">IF($T$138,Output!M86,M151)</f>
        <v>0.15197007758051062</v>
      </c>
      <c r="N151" s="290">
        <f ca="1">IF($T$138,Output!N86,N151)</f>
        <v>0.11870206175708087</v>
      </c>
      <c r="O151" s="290">
        <f ca="1">IF($T$138,Output!O86,O151)</f>
        <v>0.11923335935767954</v>
      </c>
      <c r="P151" s="290">
        <f ca="1">IF($T$138,Output!P86,P151)</f>
        <v>0.11990721973581042</v>
      </c>
      <c r="Q151" s="290">
        <f ca="1">IF($T$138,Output!Q86,Q151)</f>
        <v>0.12071692232326625</v>
      </c>
      <c r="R151" s="290">
        <f ca="1">IF($T$138,Output!R86,R151)</f>
        <v>0.12165612678658366</v>
      </c>
    </row>
    <row r="152" spans="1:20" s="236" customFormat="1" x14ac:dyDescent="0.3">
      <c r="A152" s="283"/>
      <c r="B152" s="284" t="s">
        <v>365</v>
      </c>
      <c r="F152" s="290">
        <f ca="1">IF($T$138,Output!F87,F152)</f>
        <v>0.10910309406747987</v>
      </c>
      <c r="G152" s="290">
        <f ca="1">IF($T$138,Output!G87,G152)</f>
        <v>9.6473720716890754E-2</v>
      </c>
      <c r="H152" s="434">
        <f ca="1">IF($T$138,Output!H87,H152)</f>
        <v>8.9016997780254153E-2</v>
      </c>
      <c r="I152" s="290">
        <f ca="1">IF($T$138,Output!I87,I152)</f>
        <v>5.5780846174970582E-2</v>
      </c>
      <c r="J152" s="290">
        <f ca="1">IF($T$138,Output!J87,J152)</f>
        <v>6.5591672619533387E-2</v>
      </c>
      <c r="K152" s="290">
        <f ca="1">IF($T$138,Output!K87,K152)</f>
        <v>7.7365896530077541E-2</v>
      </c>
      <c r="L152" s="290">
        <f ca="1">IF($T$138,Output!L87,L152)</f>
        <v>7.8589296321667862E-2</v>
      </c>
      <c r="M152" s="290">
        <f ca="1">IF($T$138,Output!M87,M152)</f>
        <v>8.3386104616158113E-2</v>
      </c>
      <c r="N152" s="290">
        <f ca="1">IF($T$138,Output!N87,N152)</f>
        <v>8.569488406264178E-2</v>
      </c>
      <c r="O152" s="290">
        <f ca="1">IF($T$138,Output!O87,O152)</f>
        <v>8.7878572253598367E-2</v>
      </c>
      <c r="P152" s="290">
        <f ca="1">IF($T$138,Output!P87,P152)</f>
        <v>8.9936534423352962E-2</v>
      </c>
      <c r="Q152" s="290">
        <f ca="1">IF($T$138,Output!Q87,Q152)</f>
        <v>9.1869175042372908E-2</v>
      </c>
      <c r="R152" s="290">
        <f ca="1">IF($T$138,Output!R87,R152)</f>
        <v>9.3677839135551527E-2</v>
      </c>
    </row>
    <row r="153" spans="1:20" s="248" customFormat="1" x14ac:dyDescent="0.3">
      <c r="A153" s="246"/>
      <c r="H153" s="230"/>
    </row>
    <row r="154" spans="1:20" s="248" customFormat="1" x14ac:dyDescent="0.3">
      <c r="A154" s="246"/>
      <c r="B154" s="248" t="s">
        <v>276</v>
      </c>
      <c r="F154" s="248">
        <f ca="1">IF($T$138,Output!F89,F154)</f>
        <v>224.21700000000001</v>
      </c>
      <c r="G154" s="248">
        <f ca="1">IF($T$138,Output!G89,G154)</f>
        <v>223.93199999999999</v>
      </c>
      <c r="H154" s="230">
        <f ca="1">IF($T$138,Output!H89,H154)</f>
        <v>200.06299999999999</v>
      </c>
      <c r="I154" s="248">
        <f ca="1">IF($T$138,Output!I89,I154)</f>
        <v>210.89375000000007</v>
      </c>
      <c r="J154" s="248">
        <f ca="1">IF($T$138,Output!J89,J154)</f>
        <v>199.77150000000009</v>
      </c>
      <c r="K154" s="248">
        <f ca="1">IF($T$138,Output!K89,K154)</f>
        <v>195.88400000000007</v>
      </c>
      <c r="L154" s="248">
        <f ca="1">IF($T$138,Output!L89,L154)</f>
        <v>196.36400000000006</v>
      </c>
      <c r="M154" s="248">
        <f ca="1">IF($T$138,Output!M89,M154)</f>
        <v>192.70400000000009</v>
      </c>
      <c r="N154" s="248">
        <f ca="1">IF($T$138,Output!N89,N154)</f>
        <v>215.59113045806779</v>
      </c>
      <c r="O154" s="248">
        <f ca="1">IF($T$138,Output!O89,O154)</f>
        <v>241.65382067709243</v>
      </c>
      <c r="P154" s="248">
        <f ca="1">IF($T$138,Output!P89,P154)</f>
        <v>271.38917195612709</v>
      </c>
      <c r="Q154" s="248">
        <f ca="1">IF($T$138,Output!Q89,Q154)</f>
        <v>305.37934937383739</v>
      </c>
      <c r="R154" s="248">
        <f ca="1">IF($T$138,Output!R89,R154)</f>
        <v>344.3073005041507</v>
      </c>
    </row>
    <row r="155" spans="1:20" s="236" customFormat="1" ht="13.5" thickBot="1" x14ac:dyDescent="0.35">
      <c r="A155" s="283"/>
      <c r="B155" s="415" t="s">
        <v>365</v>
      </c>
      <c r="C155" s="416"/>
      <c r="D155" s="416"/>
      <c r="E155" s="416"/>
      <c r="F155" s="417">
        <f ca="1">IF($T$138,Output!F90,F155)</f>
        <v>8.8651527462295321E-2</v>
      </c>
      <c r="G155" s="417">
        <f ca="1">IF($T$138,Output!G90,G155)</f>
        <v>8.3507484393529188E-2</v>
      </c>
      <c r="H155" s="435">
        <f ca="1">IF($T$138,Output!H90,H155)</f>
        <v>7.1569544585411912E-2</v>
      </c>
      <c r="I155" s="417">
        <f ca="1">IF($T$138,Output!I90,I155)</f>
        <v>7.409879680627382E-2</v>
      </c>
      <c r="J155" s="417">
        <f ca="1">IF($T$138,Output!J90,J155)</f>
        <v>6.4794726496988628E-2</v>
      </c>
      <c r="K155" s="417">
        <f ca="1">IF($T$138,Output!K90,K155)</f>
        <v>5.804967964865073E-2</v>
      </c>
      <c r="L155" s="417">
        <f ca="1">IF($T$138,Output!L90,L155)</f>
        <v>5.0519554060044387E-2</v>
      </c>
      <c r="M155" s="417">
        <f ca="1">IF($T$138,Output!M90,M155)</f>
        <v>4.566436840878027E-2</v>
      </c>
      <c r="N155" s="417">
        <f ca="1">IF($T$138,Output!N90,N155)</f>
        <v>4.6931494727024216E-2</v>
      </c>
      <c r="O155" s="417">
        <f ca="1">IF($T$138,Output!O90,O155)</f>
        <v>4.8198621045268161E-2</v>
      </c>
      <c r="P155" s="417">
        <f ca="1">IF($T$138,Output!P90,P155)</f>
        <v>4.9465747363512114E-2</v>
      </c>
      <c r="Q155" s="417">
        <f ca="1">IF($T$138,Output!Q90,Q155)</f>
        <v>5.0732873681756052E-2</v>
      </c>
      <c r="R155" s="417">
        <f ca="1">IF($T$138,Output!R90,R155)</f>
        <v>5.2000000000000005E-2</v>
      </c>
    </row>
    <row r="156" spans="1:20" s="248" customFormat="1" x14ac:dyDescent="0.3">
      <c r="A156" s="246"/>
    </row>
    <row r="157" spans="1:20" s="276" customFormat="1" x14ac:dyDescent="0.3">
      <c r="A157" s="418" t="s">
        <v>31</v>
      </c>
      <c r="B157" s="630" t="str">
        <f ca="1">IF(T161,"Summary Financial Results ("&amp;'LBO Model'!$E$4&amp;")",B157)</f>
        <v>Summary Financial Results (Upside Case)</v>
      </c>
      <c r="C157" s="630"/>
      <c r="D157" s="630"/>
      <c r="E157" s="630"/>
      <c r="F157" s="630"/>
      <c r="G157" s="630"/>
      <c r="H157" s="630"/>
      <c r="I157" s="630"/>
      <c r="J157" s="630"/>
      <c r="K157" s="630"/>
      <c r="L157" s="630"/>
      <c r="M157" s="630"/>
      <c r="N157" s="630"/>
      <c r="O157" s="630"/>
      <c r="P157" s="630"/>
      <c r="Q157" s="630"/>
      <c r="R157" s="630"/>
      <c r="S157" s="248"/>
    </row>
    <row r="158" spans="1:20" s="276" customFormat="1" ht="5.15" customHeight="1" thickBot="1" x14ac:dyDescent="0.35">
      <c r="A158" s="418"/>
      <c r="B158" s="630"/>
      <c r="C158" s="630"/>
      <c r="D158" s="630"/>
      <c r="E158" s="630"/>
      <c r="F158" s="630"/>
      <c r="G158" s="630"/>
      <c r="H158" s="630"/>
      <c r="I158" s="630"/>
      <c r="J158" s="630"/>
      <c r="K158" s="630"/>
      <c r="L158" s="630"/>
      <c r="M158" s="630"/>
      <c r="N158" s="630"/>
      <c r="O158" s="630"/>
      <c r="P158" s="630"/>
      <c r="Q158" s="630"/>
      <c r="R158" s="630"/>
      <c r="S158" s="248"/>
    </row>
    <row r="159" spans="1:20" s="248" customFormat="1" x14ac:dyDescent="0.3">
      <c r="A159" s="246"/>
      <c r="B159" s="596" t="str">
        <f>"For the FYE Ending "&amp;TEXT(I160, "MMM DD")</f>
        <v>For the FYE Ending dic 27</v>
      </c>
      <c r="C159" s="596"/>
      <c r="D159" s="596"/>
      <c r="E159" s="596"/>
      <c r="F159" s="597" t="s">
        <v>109</v>
      </c>
      <c r="G159" s="597"/>
      <c r="H159" s="277"/>
      <c r="I159" s="597" t="s">
        <v>364</v>
      </c>
      <c r="J159" s="597"/>
      <c r="K159" s="597"/>
      <c r="L159" s="597"/>
      <c r="M159" s="597"/>
      <c r="N159" s="597"/>
      <c r="O159" s="597"/>
      <c r="P159" s="598"/>
      <c r="Q159" s="598"/>
      <c r="R159" s="598"/>
    </row>
    <row r="160" spans="1:20" s="248" customFormat="1" x14ac:dyDescent="0.3">
      <c r="A160" s="246"/>
      <c r="B160" s="414" t="str">
        <f>'LBO Model'!$B$12</f>
        <v>($ in millions)</v>
      </c>
      <c r="C160" s="258"/>
      <c r="D160" s="258"/>
      <c r="E160" s="258"/>
      <c r="F160" s="231">
        <f>'LBO Model'!F143</f>
        <v>42003</v>
      </c>
      <c r="G160" s="231">
        <f>'LBO Model'!G143</f>
        <v>42367</v>
      </c>
      <c r="H160" s="232">
        <f>'LBO Model'!H143</f>
        <v>42731</v>
      </c>
      <c r="I160" s="231">
        <f>'LBO Model'!I143</f>
        <v>43096</v>
      </c>
      <c r="J160" s="231">
        <f>'LBO Model'!J143</f>
        <v>43461</v>
      </c>
      <c r="K160" s="231">
        <f>'LBO Model'!K143</f>
        <v>43826</v>
      </c>
      <c r="L160" s="231">
        <f>'LBO Model'!L143</f>
        <v>44192</v>
      </c>
      <c r="M160" s="231">
        <f>'LBO Model'!M143</f>
        <v>44557</v>
      </c>
      <c r="N160" s="231">
        <f>'LBO Model'!N143</f>
        <v>44922</v>
      </c>
      <c r="O160" s="231">
        <f>'LBO Model'!O143</f>
        <v>45287</v>
      </c>
      <c r="P160" s="231">
        <f>'LBO Model'!P143</f>
        <v>45653</v>
      </c>
      <c r="Q160" s="231">
        <f>'LBO Model'!Q143</f>
        <v>46018</v>
      </c>
      <c r="R160" s="231">
        <f>'LBO Model'!R143</f>
        <v>46383</v>
      </c>
      <c r="T160" s="248" t="s">
        <v>772</v>
      </c>
    </row>
    <row r="161" spans="1:20" s="248" customFormat="1" x14ac:dyDescent="0.3">
      <c r="A161" s="246"/>
      <c r="B161" s="248" t="s">
        <v>107</v>
      </c>
      <c r="F161" s="286">
        <f ca="1">IF($T$161,Output!F73,F161)</f>
        <v>2529.1950000000002</v>
      </c>
      <c r="G161" s="286">
        <f ca="1">IF($T$161,Output!G73,G161)</f>
        <v>2681.58</v>
      </c>
      <c r="H161" s="433">
        <f ca="1">IF($T$161,Output!H73,H161)</f>
        <v>2795.3650000000002</v>
      </c>
      <c r="I161" s="286">
        <f ca="1">IF($T$161,Output!I73,I161)</f>
        <v>2987.0000000000005</v>
      </c>
      <c r="J161" s="286">
        <f ca="1">IF($T$161,Output!J73,J161)</f>
        <v>3296.0000000000005</v>
      </c>
      <c r="K161" s="286">
        <f ca="1">IF($T$161,Output!K73,K161)</f>
        <v>3667.0000000000005</v>
      </c>
      <c r="L161" s="286">
        <f ca="1">IF($T$161,Output!L73,L161)</f>
        <v>4062.0000000000005</v>
      </c>
      <c r="M161" s="286">
        <f ca="1">IF($T$161,Output!M73,M161)</f>
        <v>4504</v>
      </c>
      <c r="N161" s="286">
        <f ca="1">IF($T$161,Output!N73,N161)</f>
        <v>4986.1564155588385</v>
      </c>
      <c r="O161" s="286">
        <f ca="1">IF($T$161,Output!O73,O161)</f>
        <v>5511.1390290020199</v>
      </c>
      <c r="P161" s="286">
        <f ca="1">IF($T$161,Output!P73,P161)</f>
        <v>6081.6816642742824</v>
      </c>
      <c r="Q161" s="286">
        <f ca="1">IF($T$161,Output!Q73,Q161)</f>
        <v>6700.5698801148583</v>
      </c>
      <c r="R161" s="286">
        <f ca="1">IF($T$161,Output!R73,R161)</f>
        <v>7370.6268681263446</v>
      </c>
      <c r="T161" s="562" t="b">
        <f>AND(Unlock,UpsideCase,KLGHighBid)</f>
        <v>0</v>
      </c>
    </row>
    <row r="162" spans="1:20" s="236" customFormat="1" x14ac:dyDescent="0.3">
      <c r="A162" s="283"/>
      <c r="B162" s="284" t="s">
        <v>140</v>
      </c>
      <c r="G162" s="290">
        <f ca="1">IF($T$161,Output!G74,G162)</f>
        <v>6.0250395876948915E-2</v>
      </c>
      <c r="H162" s="434">
        <f ca="1">IF($T$161,Output!H74,H162)</f>
        <v>4.2432073628234201E-2</v>
      </c>
      <c r="I162" s="290">
        <f ca="1">IF($T$161,Output!I74,I162)</f>
        <v>6.8554553698711995E-2</v>
      </c>
      <c r="J162" s="290">
        <f ca="1">IF($T$161,Output!J74,J162)</f>
        <v>0.10344827586206895</v>
      </c>
      <c r="K162" s="290">
        <f ca="1">IF($T$161,Output!K74,K162)</f>
        <v>0.1125606796116505</v>
      </c>
      <c r="L162" s="290">
        <f ca="1">IF($T$161,Output!L74,L162)</f>
        <v>0.10771748022907013</v>
      </c>
      <c r="M162" s="290">
        <f ca="1">IF($T$161,Output!M74,M162)</f>
        <v>0.10881339241752808</v>
      </c>
      <c r="N162" s="290">
        <f ca="1">IF($T$161,Output!N74,N162)</f>
        <v>0.10705071393402266</v>
      </c>
      <c r="O162" s="290">
        <f ca="1">IF($T$161,Output!O74,O162)</f>
        <v>0.10528803545051701</v>
      </c>
      <c r="P162" s="290">
        <f ca="1">IF($T$161,Output!P74,P162)</f>
        <v>0.10352535696701137</v>
      </c>
      <c r="Q162" s="290">
        <f ca="1">IF($T$161,Output!Q74,Q162)</f>
        <v>0.10176267848350573</v>
      </c>
      <c r="R162" s="290">
        <f ca="1">IF($T$161,Output!R74,R162)</f>
        <v>0.10000000000000009</v>
      </c>
    </row>
    <row r="163" spans="1:20" s="248" customFormat="1" x14ac:dyDescent="0.3">
      <c r="A163" s="246"/>
      <c r="H163" s="230"/>
    </row>
    <row r="164" spans="1:20" s="248" customFormat="1" x14ac:dyDescent="0.3">
      <c r="A164" s="246"/>
      <c r="B164" s="248" t="s">
        <v>527</v>
      </c>
      <c r="F164" s="248">
        <f ca="1">IF($T$161,Output!F76,F164)</f>
        <v>2129.1430000000005</v>
      </c>
      <c r="G164" s="248">
        <f ca="1">IF($T$161,Output!G76,G164)</f>
        <v>2287.48</v>
      </c>
      <c r="H164" s="230">
        <f ca="1">IF($T$161,Output!H76,H164)</f>
        <v>2392.1750000000002</v>
      </c>
      <c r="I164" s="248">
        <f ca="1">IF($T$161,Output!I76,I164)</f>
        <v>2529</v>
      </c>
      <c r="J164" s="248">
        <f ca="1">IF($T$161,Output!J76,J164)</f>
        <v>2763.0000000000005</v>
      </c>
      <c r="K164" s="248">
        <f ca="1">IF($T$161,Output!K76,K164)</f>
        <v>3043.0000000000005</v>
      </c>
      <c r="L164" s="248">
        <f ca="1">IF($T$161,Output!L76,L164)</f>
        <v>3340.0000000000005</v>
      </c>
      <c r="M164" s="248">
        <f ca="1">IF($T$161,Output!M76,M164)</f>
        <v>3683</v>
      </c>
      <c r="N164" s="248">
        <f ca="1">IF($T$161,Output!N76,N164)</f>
        <v>4076.7691637774496</v>
      </c>
      <c r="O164" s="248">
        <f ca="1">IF($T$161,Output!O76,O164)</f>
        <v>4505.4530661139243</v>
      </c>
      <c r="P164" s="248">
        <f ca="1">IF($T$161,Output!P76,P164)</f>
        <v>4971.2735349150562</v>
      </c>
      <c r="Q164" s="248">
        <f ca="1">IF($T$161,Output!Q76,Q164)</f>
        <v>5476.493588314167</v>
      </c>
      <c r="R164" s="248">
        <f ca="1">IF($T$161,Output!R76,R164)</f>
        <v>6023.4058844587717</v>
      </c>
    </row>
    <row r="165" spans="1:20" s="236" customFormat="1" x14ac:dyDescent="0.3">
      <c r="A165" s="283"/>
      <c r="B165" s="284" t="s">
        <v>140</v>
      </c>
      <c r="F165" s="290">
        <f ca="1">IF($T$161,Output!F77,F165)</f>
        <v>0</v>
      </c>
      <c r="G165" s="290">
        <f ca="1">IF($T$161,Output!G77,G165)</f>
        <v>7.4366540904016176E-2</v>
      </c>
      <c r="H165" s="434">
        <f ca="1">IF($T$161,Output!H77,H165)</f>
        <v>4.5768706174480256E-2</v>
      </c>
      <c r="I165" s="290">
        <f ca="1">IF($T$161,Output!I77,I165)</f>
        <v>5.7196902400534988E-2</v>
      </c>
      <c r="J165" s="290">
        <f ca="1">IF($T$161,Output!J77,J165)</f>
        <v>9.2526690391459221E-2</v>
      </c>
      <c r="K165" s="290">
        <f ca="1">IF($T$161,Output!K77,K165)</f>
        <v>0.10133912414042712</v>
      </c>
      <c r="L165" s="290">
        <f ca="1">IF($T$161,Output!L77,L165)</f>
        <v>9.760105159382193E-2</v>
      </c>
      <c r="M165" s="290">
        <f ca="1">IF($T$161,Output!M77,M165)</f>
        <v>0.102694610778443</v>
      </c>
      <c r="N165" s="290">
        <f ca="1">IF($T$161,Output!N77,N165)</f>
        <v>0.1069153309197528</v>
      </c>
      <c r="O165" s="290">
        <f ca="1">IF($T$161,Output!O77,O165)</f>
        <v>0.10515285146516984</v>
      </c>
      <c r="P165" s="290">
        <f ca="1">IF($T$161,Output!P77,P165)</f>
        <v>0.1033903720592777</v>
      </c>
      <c r="Q165" s="290">
        <f ca="1">IF($T$161,Output!Q77,Q165)</f>
        <v>0.10162789270209482</v>
      </c>
      <c r="R165" s="290">
        <f ca="1">IF($T$161,Output!R77,R165)</f>
        <v>9.9865413393638525E-2</v>
      </c>
    </row>
    <row r="166" spans="1:20" s="236" customFormat="1" x14ac:dyDescent="0.3">
      <c r="A166" s="283"/>
      <c r="B166" s="284" t="s">
        <v>365</v>
      </c>
      <c r="F166" s="290">
        <f ca="1">IF($T$161,Output!F78,F166)</f>
        <v>0.84182635186294463</v>
      </c>
      <c r="G166" s="290">
        <f ca="1">IF($T$161,Output!G78,G166)</f>
        <v>0.85303440508953676</v>
      </c>
      <c r="H166" s="434">
        <f ca="1">IF($T$161,Output!H78,H166)</f>
        <v>0.8557648106776754</v>
      </c>
      <c r="I166" s="290">
        <f ca="1">IF($T$161,Output!I78,I166)</f>
        <v>0.84666889856042837</v>
      </c>
      <c r="J166" s="290">
        <f ca="1">IF($T$161,Output!J78,J166)</f>
        <v>0.83828883495145634</v>
      </c>
      <c r="K166" s="290">
        <f ca="1">IF($T$161,Output!K78,K166)</f>
        <v>0.82983365148622856</v>
      </c>
      <c r="L166" s="290">
        <f ca="1">IF($T$161,Output!L78,L166)</f>
        <v>0.82225504677498773</v>
      </c>
      <c r="M166" s="290">
        <f ca="1">IF($T$161,Output!M78,M166)</f>
        <v>0.81771758436944941</v>
      </c>
      <c r="N166" s="290">
        <f ca="1">IF($T$161,Output!N78,N166)</f>
        <v>0.81761758436944931</v>
      </c>
      <c r="O166" s="290">
        <f ca="1">IF($T$161,Output!O78,O166)</f>
        <v>0.81751758436944943</v>
      </c>
      <c r="P166" s="290">
        <f ca="1">IF($T$161,Output!P78,P166)</f>
        <v>0.81741758436944933</v>
      </c>
      <c r="Q166" s="290">
        <f ca="1">IF($T$161,Output!Q78,Q166)</f>
        <v>0.81731758436944935</v>
      </c>
      <c r="R166" s="290">
        <f ca="1">IF($T$161,Output!R78,R166)</f>
        <v>0.81721758436944936</v>
      </c>
    </row>
    <row r="167" spans="1:20" s="248" customFormat="1" x14ac:dyDescent="0.3">
      <c r="A167" s="246"/>
      <c r="H167" s="230"/>
    </row>
    <row r="168" spans="1:20" s="248" customFormat="1" x14ac:dyDescent="0.3">
      <c r="A168" s="246"/>
      <c r="B168" s="248" t="s">
        <v>111</v>
      </c>
      <c r="F168" s="248">
        <f ca="1">IF($T$161,Output!F80,F168)</f>
        <v>400.05199999999974</v>
      </c>
      <c r="G168" s="248">
        <f ca="1">IF($T$161,Output!G80,G168)</f>
        <v>394.09999999999985</v>
      </c>
      <c r="H168" s="230">
        <f ca="1">IF($T$161,Output!H80,H168)</f>
        <v>403.19000000000017</v>
      </c>
      <c r="I168" s="248">
        <f ca="1">IF($T$161,Output!I80,I168)</f>
        <v>458.0000000000004</v>
      </c>
      <c r="J168" s="248">
        <f ca="1">IF($T$161,Output!J80,J168)</f>
        <v>533</v>
      </c>
      <c r="K168" s="248">
        <f ca="1">IF($T$161,Output!K80,K168)</f>
        <v>624.00000000000011</v>
      </c>
      <c r="L168" s="248">
        <f ca="1">IF($T$161,Output!L80,L168)</f>
        <v>722.00000000000011</v>
      </c>
      <c r="M168" s="248">
        <f ca="1">IF($T$161,Output!M80,M168)</f>
        <v>821</v>
      </c>
      <c r="N168" s="248">
        <f ca="1">IF($T$161,Output!N80,N168)</f>
        <v>909.38725178138873</v>
      </c>
      <c r="O168" s="248">
        <f ca="1">IF($T$161,Output!O80,O168)</f>
        <v>1005.685962888096</v>
      </c>
      <c r="P168" s="248">
        <f ca="1">IF($T$161,Output!P80,P168)</f>
        <v>1110.4081293592262</v>
      </c>
      <c r="Q168" s="248">
        <f ca="1">IF($T$161,Output!Q80,Q168)</f>
        <v>1224.0762918006908</v>
      </c>
      <c r="R168" s="248">
        <f ca="1">IF($T$161,Output!R80,R168)</f>
        <v>1347.2209836675729</v>
      </c>
    </row>
    <row r="169" spans="1:20" s="236" customFormat="1" x14ac:dyDescent="0.3">
      <c r="A169" s="283"/>
      <c r="B169" s="284" t="s">
        <v>140</v>
      </c>
      <c r="F169" s="290"/>
      <c r="G169" s="290">
        <f ca="1">IF($T$161,Output!G81,G169)</f>
        <v>-1.4878065851439026E-2</v>
      </c>
      <c r="H169" s="434">
        <f ca="1">IF($T$161,Output!H81,H169)</f>
        <v>2.3065211875159308E-2</v>
      </c>
      <c r="I169" s="290">
        <f ca="1">IF($T$161,Output!I81,I169)</f>
        <v>0.13594087154939416</v>
      </c>
      <c r="J169" s="290">
        <f ca="1">IF($T$161,Output!J81,J169)</f>
        <v>0.16375545851528273</v>
      </c>
      <c r="K169" s="290">
        <f ca="1">IF($T$161,Output!K81,K169)</f>
        <v>0.17073170731707332</v>
      </c>
      <c r="L169" s="290">
        <f ca="1">IF($T$161,Output!L81,L169)</f>
        <v>0.15705128205128194</v>
      </c>
      <c r="M169" s="290">
        <f ca="1">IF($T$161,Output!M81,M169)</f>
        <v>0.13711911357340711</v>
      </c>
      <c r="N169" s="290">
        <f ca="1">IF($T$161,Output!N81,N169)</f>
        <v>0.1076580411466368</v>
      </c>
      <c r="O169" s="290">
        <f ca="1">IF($T$161,Output!O81,O169)</f>
        <v>0.1058940631926264</v>
      </c>
      <c r="P169" s="290">
        <f ca="1">IF($T$161,Output!P81,P169)</f>
        <v>0.10413008666283119</v>
      </c>
      <c r="Q169" s="290">
        <f ca="1">IF($T$161,Output!Q81,Q169)</f>
        <v>0.10236611155490927</v>
      </c>
      <c r="R169" s="290">
        <f ca="1">IF($T$161,Output!R81,R169)</f>
        <v>0.1006021378665285</v>
      </c>
    </row>
    <row r="170" spans="1:20" s="236" customFormat="1" x14ac:dyDescent="0.3">
      <c r="A170" s="283"/>
      <c r="B170" s="284" t="s">
        <v>365</v>
      </c>
      <c r="F170" s="290">
        <f ca="1">IF($T$161,Output!F82,F170)</f>
        <v>0.15817364813705534</v>
      </c>
      <c r="G170" s="290">
        <f ca="1">IF($T$161,Output!G82,G170)</f>
        <v>0.14696559491046318</v>
      </c>
      <c r="H170" s="434">
        <f ca="1">IF($T$161,Output!H82,H170)</f>
        <v>0.14423518932232468</v>
      </c>
      <c r="I170" s="290">
        <f ca="1">IF($T$161,Output!I82,I170)</f>
        <v>0.1533311014395716</v>
      </c>
      <c r="J170" s="290">
        <f ca="1">IF($T$161,Output!J82,J170)</f>
        <v>0.16171116504854366</v>
      </c>
      <c r="K170" s="290">
        <f ca="1">IF($T$161,Output!K82,K170)</f>
        <v>0.17016634851377149</v>
      </c>
      <c r="L170" s="290">
        <f ca="1">IF($T$161,Output!L82,L170)</f>
        <v>0.17774495322501233</v>
      </c>
      <c r="M170" s="290">
        <f ca="1">IF($T$161,Output!M82,M170)</f>
        <v>0.18228241563055061</v>
      </c>
      <c r="N170" s="290">
        <f ca="1">IF($T$161,Output!N82,N170)</f>
        <v>0.18238241563055066</v>
      </c>
      <c r="O170" s="290">
        <f ca="1">IF($T$161,Output!O82,O170)</f>
        <v>0.18248241563055068</v>
      </c>
      <c r="P170" s="290">
        <f ca="1">IF($T$161,Output!P82,P170)</f>
        <v>0.18258241563055069</v>
      </c>
      <c r="Q170" s="290">
        <f ca="1">IF($T$161,Output!Q82,Q170)</f>
        <v>0.18268241563055054</v>
      </c>
      <c r="R170" s="290">
        <f ca="1">IF($T$161,Output!R82,R170)</f>
        <v>0.18278241563055059</v>
      </c>
    </row>
    <row r="171" spans="1:20" s="248" customFormat="1" x14ac:dyDescent="0.3">
      <c r="A171" s="246"/>
      <c r="H171" s="230"/>
    </row>
    <row r="172" spans="1:20" s="248" customFormat="1" x14ac:dyDescent="0.3">
      <c r="A172" s="246"/>
      <c r="B172" s="248" t="s">
        <v>528</v>
      </c>
      <c r="F172" s="248">
        <f ca="1">IF($T$161,Output!F84,F172)</f>
        <v>124.10899999999999</v>
      </c>
      <c r="G172" s="248">
        <f ca="1">IF($T$161,Output!G84,G172)</f>
        <v>135.398</v>
      </c>
      <c r="H172" s="230">
        <f ca="1">IF($T$161,Output!H84,H172)</f>
        <v>154.35499999999999</v>
      </c>
      <c r="I172" s="248">
        <f ca="1">IF($T$161,Output!I84,I172)</f>
        <v>290.75697143097631</v>
      </c>
      <c r="J172" s="248">
        <f ca="1">IF($T$161,Output!J84,J172)</f>
        <v>306.75697143097631</v>
      </c>
      <c r="K172" s="248">
        <f ca="1">IF($T$161,Output!K84,K172)</f>
        <v>331.75697143097631</v>
      </c>
      <c r="L172" s="248">
        <f ca="1">IF($T$161,Output!L84,L172)</f>
        <v>355.75697143097631</v>
      </c>
      <c r="M172" s="248">
        <f ca="1">IF($T$161,Output!M84,M172)</f>
        <v>378.75697143097625</v>
      </c>
      <c r="N172" s="248">
        <f ca="1">IF($T$161,Output!N84,N172)</f>
        <v>406.48310633988814</v>
      </c>
      <c r="O172" s="248">
        <f ca="1">IF($T$161,Output!O84,O172)</f>
        <v>436.67193779676739</v>
      </c>
      <c r="P172" s="248">
        <f ca="1">IF($T$161,Output!P84,P172)</f>
        <v>469.48067281797432</v>
      </c>
      <c r="Q172" s="248">
        <f ca="1">IF($T$161,Output!Q84,Q172)</f>
        <v>505.06949340028098</v>
      </c>
      <c r="R172" s="248">
        <f ca="1">IF($T$161,Output!R84,R172)</f>
        <v>543.60074559721147</v>
      </c>
    </row>
    <row r="173" spans="1:20" s="248" customFormat="1" x14ac:dyDescent="0.3">
      <c r="A173" s="246"/>
      <c r="B173" s="248" t="s">
        <v>112</v>
      </c>
      <c r="F173" s="248">
        <f ca="1">IF($T$161,Output!F85,F173)</f>
        <v>275.94299999999976</v>
      </c>
      <c r="G173" s="248">
        <f ca="1">IF($T$161,Output!G85,G173)</f>
        <v>258.70199999999988</v>
      </c>
      <c r="H173" s="230">
        <f ca="1">IF($T$161,Output!H85,H173)</f>
        <v>248.83500000000018</v>
      </c>
      <c r="I173" s="248">
        <f ca="1">IF($T$161,Output!I85,I173)</f>
        <v>167.24302856902409</v>
      </c>
      <c r="J173" s="248">
        <f ca="1">IF($T$161,Output!J85,J173)</f>
        <v>226.24302856902375</v>
      </c>
      <c r="K173" s="248">
        <f ca="1">IF($T$161,Output!K85,K173)</f>
        <v>292.24302856902386</v>
      </c>
      <c r="L173" s="248">
        <f ca="1">IF($T$161,Output!L85,L173)</f>
        <v>366.24302856902386</v>
      </c>
      <c r="M173" s="248">
        <f ca="1">IF($T$161,Output!M85,M173)</f>
        <v>442.24302856902375</v>
      </c>
      <c r="N173" s="248">
        <f ca="1">IF($T$161,Output!N85,N173)</f>
        <v>502.90414544150065</v>
      </c>
      <c r="O173" s="248">
        <f ca="1">IF($T$161,Output!O85,O173)</f>
        <v>569.01402509132856</v>
      </c>
      <c r="P173" s="248">
        <f ca="1">IF($T$161,Output!P85,P173)</f>
        <v>640.9274565412519</v>
      </c>
      <c r="Q173" s="248">
        <f ca="1">IF($T$161,Output!Q85,Q173)</f>
        <v>719.00679840040982</v>
      </c>
      <c r="R173" s="248">
        <f ca="1">IF($T$161,Output!R85,R173)</f>
        <v>803.62023807036144</v>
      </c>
    </row>
    <row r="174" spans="1:20" s="236" customFormat="1" x14ac:dyDescent="0.3">
      <c r="A174" s="283"/>
      <c r="B174" s="284" t="s">
        <v>140</v>
      </c>
      <c r="G174" s="290">
        <f ca="1">IF($T$161,Output!G86,G174)</f>
        <v>-6.2480294843499928E-2</v>
      </c>
      <c r="H174" s="434">
        <f ca="1">IF($T$161,Output!H86,H174)</f>
        <v>-3.8140408655517599E-2</v>
      </c>
      <c r="I174" s="290">
        <f ca="1">IF($T$161,Output!I86,I174)</f>
        <v>-0.32789588052716068</v>
      </c>
      <c r="J174" s="290">
        <f ca="1">IF($T$161,Output!J86,J174)</f>
        <v>0.35278002619791904</v>
      </c>
      <c r="K174" s="290">
        <f ca="1">IF($T$161,Output!K86,K174)</f>
        <v>0.29172169598969266</v>
      </c>
      <c r="L174" s="290">
        <f ca="1">IF($T$161,Output!L86,L174)</f>
        <v>0.2532139102251405</v>
      </c>
      <c r="M174" s="290">
        <f ca="1">IF($T$161,Output!M86,M174)</f>
        <v>0.20751248234524855</v>
      </c>
      <c r="N174" s="290">
        <f ca="1">IF($T$161,Output!N86,N174)</f>
        <v>0.13716692622325666</v>
      </c>
      <c r="O174" s="290">
        <f ca="1">IF($T$161,Output!O86,O174)</f>
        <v>0.13145622331625417</v>
      </c>
      <c r="P174" s="290">
        <f ca="1">IF($T$161,Output!P86,P174)</f>
        <v>0.12638252886364443</v>
      </c>
      <c r="Q174" s="290">
        <f ca="1">IF($T$161,Output!Q86,Q174)</f>
        <v>0.12182243257374403</v>
      </c>
      <c r="R174" s="290">
        <f ca="1">IF($T$161,Output!R86,R174)</f>
        <v>0.11768100087258282</v>
      </c>
    </row>
    <row r="175" spans="1:20" s="236" customFormat="1" x14ac:dyDescent="0.3">
      <c r="A175" s="283"/>
      <c r="B175" s="284" t="s">
        <v>365</v>
      </c>
      <c r="F175" s="290">
        <f ca="1">IF($T$161,Output!F87,F175)</f>
        <v>0.10910309406747987</v>
      </c>
      <c r="G175" s="290">
        <f ca="1">IF($T$161,Output!G87,G175)</f>
        <v>9.6473720716890754E-2</v>
      </c>
      <c r="H175" s="434">
        <f ca="1">IF($T$161,Output!H87,H175)</f>
        <v>8.9016997780254153E-2</v>
      </c>
      <c r="I175" s="290">
        <f ca="1">IF($T$161,Output!I87,I175)</f>
        <v>5.5990300826589914E-2</v>
      </c>
      <c r="J175" s="290">
        <f ca="1">IF($T$161,Output!J87,J175)</f>
        <v>6.8641695560990201E-2</v>
      </c>
      <c r="K175" s="290">
        <f ca="1">IF($T$161,Output!K87,K175)</f>
        <v>7.9695399118904775E-2</v>
      </c>
      <c r="L175" s="290">
        <f ca="1">IF($T$161,Output!L87,L175)</f>
        <v>9.0163227121867015E-2</v>
      </c>
      <c r="M175" s="290">
        <f ca="1">IF($T$161,Output!M87,M175)</f>
        <v>9.8188949504667791E-2</v>
      </c>
      <c r="N175" s="290">
        <f ca="1">IF($T$161,Output!N87,N175)</f>
        <v>0.10086008210096156</v>
      </c>
      <c r="O175" s="290">
        <f ca="1">IF($T$161,Output!O87,O175)</f>
        <v>0.10324798958925338</v>
      </c>
      <c r="P175" s="290">
        <f ca="1">IF($T$161,Output!P87,P175)</f>
        <v>0.10538655127351733</v>
      </c>
      <c r="Q175" s="290">
        <f ca="1">IF($T$161,Output!Q87,Q175)</f>
        <v>0.10730532048239529</v>
      </c>
      <c r="R175" s="290">
        <f ca="1">IF($T$161,Output!R87,R175)</f>
        <v>0.10903010726883347</v>
      </c>
    </row>
    <row r="176" spans="1:20" s="248" customFormat="1" x14ac:dyDescent="0.3">
      <c r="A176" s="246"/>
      <c r="H176" s="230"/>
    </row>
    <row r="177" spans="1:20" s="248" customFormat="1" x14ac:dyDescent="0.3">
      <c r="A177" s="246"/>
      <c r="B177" s="248" t="s">
        <v>276</v>
      </c>
      <c r="F177" s="248">
        <f ca="1">IF($T$161,Output!F89,F177)</f>
        <v>224.21700000000001</v>
      </c>
      <c r="G177" s="248">
        <f ca="1">IF($T$161,Output!G89,G177)</f>
        <v>223.93199999999999</v>
      </c>
      <c r="H177" s="230">
        <f ca="1">IF($T$161,Output!H89,H177)</f>
        <v>200.06299999999999</v>
      </c>
      <c r="I177" s="248">
        <f ca="1">IF($T$161,Output!I89,I177)</f>
        <v>187.00000000000003</v>
      </c>
      <c r="J177" s="248">
        <f ca="1">IF($T$161,Output!J89,J177)</f>
        <v>200.00000000000003</v>
      </c>
      <c r="K177" s="248">
        <f ca="1">IF($T$161,Output!K89,K177)</f>
        <v>240.00000000000003</v>
      </c>
      <c r="L177" s="248">
        <f ca="1">IF($T$161,Output!L89,L177)</f>
        <v>255.00000000000006</v>
      </c>
      <c r="M177" s="248">
        <f ca="1">IF($T$161,Output!M89,M177)</f>
        <v>258</v>
      </c>
      <c r="N177" s="248">
        <f ca="1">IF($T$161,Output!N89,N177)</f>
        <v>285.61908419497786</v>
      </c>
      <c r="O177" s="248">
        <f ca="1">IF($T$161,Output!O89,O177)</f>
        <v>315.6913564570429</v>
      </c>
      <c r="P177" s="248">
        <f ca="1">IF($T$161,Output!P89,P177)</f>
        <v>348.3734168256583</v>
      </c>
      <c r="Q177" s="248">
        <f ca="1">IF($T$161,Output!Q89,Q177)</f>
        <v>383.82482883428804</v>
      </c>
      <c r="R177" s="248">
        <f ca="1">IF($T$161,Output!R89,R177)</f>
        <v>422.20731171771689</v>
      </c>
    </row>
    <row r="178" spans="1:20" s="236" customFormat="1" ht="13.5" thickBot="1" x14ac:dyDescent="0.35">
      <c r="A178" s="283"/>
      <c r="B178" s="415" t="s">
        <v>365</v>
      </c>
      <c r="C178" s="416"/>
      <c r="D178" s="416"/>
      <c r="E178" s="416"/>
      <c r="F178" s="417">
        <f ca="1">IF($T$161,Output!F90,F178)</f>
        <v>8.8651527462295321E-2</v>
      </c>
      <c r="G178" s="417">
        <f ca="1">IF($T$161,Output!G90,G178)</f>
        <v>8.3507484393529188E-2</v>
      </c>
      <c r="H178" s="435">
        <f ca="1">IF($T$161,Output!H90,H178)</f>
        <v>7.1569544585411912E-2</v>
      </c>
      <c r="I178" s="417">
        <f ca="1">IF($T$161,Output!I90,I178)</f>
        <v>6.2604620020087043E-2</v>
      </c>
      <c r="J178" s="417">
        <f ca="1">IF($T$161,Output!J90,J178)</f>
        <v>6.0679611650485438E-2</v>
      </c>
      <c r="K178" s="417">
        <f ca="1">IF($T$161,Output!K90,K178)</f>
        <v>6.5448595582219798E-2</v>
      </c>
      <c r="L178" s="417">
        <f ca="1">IF($T$161,Output!L90,L178)</f>
        <v>6.2776957163958647E-2</v>
      </c>
      <c r="M178" s="417">
        <f ca="1">IF($T$161,Output!M90,M178)</f>
        <v>5.7282415630550622E-2</v>
      </c>
      <c r="N178" s="417">
        <f ca="1">IF($T$161,Output!N90,N178)</f>
        <v>5.7282415630550622E-2</v>
      </c>
      <c r="O178" s="417">
        <f ca="1">IF($T$161,Output!O90,O178)</f>
        <v>5.7282415630550622E-2</v>
      </c>
      <c r="P178" s="417">
        <f ca="1">IF($T$161,Output!P90,P178)</f>
        <v>5.7282415630550629E-2</v>
      </c>
      <c r="Q178" s="417">
        <f ca="1">IF($T$161,Output!Q90,Q178)</f>
        <v>5.7282415630550622E-2</v>
      </c>
      <c r="R178" s="417">
        <f ca="1">IF($T$161,Output!R90,R178)</f>
        <v>5.7282415630550622E-2</v>
      </c>
    </row>
    <row r="179" spans="1:20" s="236" customFormat="1" x14ac:dyDescent="0.3">
      <c r="A179" s="283"/>
      <c r="B179" s="556"/>
      <c r="C179" s="557"/>
      <c r="D179" s="557"/>
      <c r="E179" s="557"/>
      <c r="F179" s="548"/>
      <c r="G179" s="548"/>
      <c r="H179" s="548"/>
      <c r="I179" s="548"/>
      <c r="J179" s="548"/>
      <c r="K179" s="548"/>
      <c r="L179" s="548"/>
      <c r="M179" s="548"/>
      <c r="N179" s="548"/>
      <c r="O179" s="548"/>
      <c r="P179" s="548"/>
      <c r="Q179" s="548"/>
      <c r="R179" s="548"/>
    </row>
    <row r="180" spans="1:20" s="276" customFormat="1" x14ac:dyDescent="0.3">
      <c r="A180" s="418" t="s">
        <v>31</v>
      </c>
      <c r="B180" s="630" t="str">
        <f ca="1">IF(T184,"Summary Financial Results ("&amp;'LBO Model'!$E$4&amp;")",B180)</f>
        <v>Summary Financial Results (Downside Case)</v>
      </c>
      <c r="C180" s="630"/>
      <c r="D180" s="630"/>
      <c r="E180" s="630"/>
      <c r="F180" s="630"/>
      <c r="G180" s="630"/>
      <c r="H180" s="630"/>
      <c r="I180" s="630"/>
      <c r="J180" s="630"/>
      <c r="K180" s="630"/>
      <c r="L180" s="630"/>
      <c r="M180" s="630"/>
      <c r="N180" s="630"/>
      <c r="O180" s="630"/>
      <c r="P180" s="630"/>
      <c r="Q180" s="630"/>
      <c r="R180" s="630"/>
      <c r="S180" s="248"/>
    </row>
    <row r="181" spans="1:20" s="276" customFormat="1" ht="5.15" customHeight="1" thickBot="1" x14ac:dyDescent="0.35">
      <c r="A181" s="418"/>
      <c r="B181" s="630"/>
      <c r="C181" s="630"/>
      <c r="D181" s="630"/>
      <c r="E181" s="630"/>
      <c r="F181" s="630"/>
      <c r="G181" s="630"/>
      <c r="H181" s="630"/>
      <c r="I181" s="630"/>
      <c r="J181" s="630"/>
      <c r="K181" s="630"/>
      <c r="L181" s="630"/>
      <c r="M181" s="630"/>
      <c r="N181" s="630"/>
      <c r="O181" s="630"/>
      <c r="P181" s="630"/>
      <c r="Q181" s="630"/>
      <c r="R181" s="630"/>
      <c r="S181" s="248"/>
    </row>
    <row r="182" spans="1:20" s="248" customFormat="1" x14ac:dyDescent="0.3">
      <c r="A182" s="246"/>
      <c r="B182" s="596" t="str">
        <f>"For the FYE Ending "&amp;TEXT(I183, "MMM DD")</f>
        <v>For the FYE Ending dic 27</v>
      </c>
      <c r="C182" s="596"/>
      <c r="D182" s="596"/>
      <c r="E182" s="596"/>
      <c r="F182" s="597" t="s">
        <v>109</v>
      </c>
      <c r="G182" s="597"/>
      <c r="H182" s="277"/>
      <c r="I182" s="597" t="s">
        <v>364</v>
      </c>
      <c r="J182" s="597"/>
      <c r="K182" s="597"/>
      <c r="L182" s="597"/>
      <c r="M182" s="597"/>
      <c r="N182" s="597"/>
      <c r="O182" s="597"/>
      <c r="P182" s="598"/>
      <c r="Q182" s="598"/>
      <c r="R182" s="598"/>
    </row>
    <row r="183" spans="1:20" s="248" customFormat="1" x14ac:dyDescent="0.3">
      <c r="A183" s="246"/>
      <c r="B183" s="414" t="str">
        <f>'LBO Model'!$B$12</f>
        <v>($ in millions)</v>
      </c>
      <c r="C183" s="258"/>
      <c r="D183" s="258"/>
      <c r="E183" s="258"/>
      <c r="F183" s="231">
        <f>'LBO Model'!F143</f>
        <v>42003</v>
      </c>
      <c r="G183" s="231">
        <f>'LBO Model'!G143</f>
        <v>42367</v>
      </c>
      <c r="H183" s="232">
        <f>'LBO Model'!H143</f>
        <v>42731</v>
      </c>
      <c r="I183" s="231">
        <f>'LBO Model'!I143</f>
        <v>43096</v>
      </c>
      <c r="J183" s="231">
        <f>'LBO Model'!J143</f>
        <v>43461</v>
      </c>
      <c r="K183" s="231">
        <f>'LBO Model'!K143</f>
        <v>43826</v>
      </c>
      <c r="L183" s="231">
        <f>'LBO Model'!L143</f>
        <v>44192</v>
      </c>
      <c r="M183" s="231">
        <f>'LBO Model'!M143</f>
        <v>44557</v>
      </c>
      <c r="N183" s="231">
        <f>'LBO Model'!N143</f>
        <v>44922</v>
      </c>
      <c r="O183" s="231">
        <f>'LBO Model'!O143</f>
        <v>45287</v>
      </c>
      <c r="P183" s="231">
        <f>'LBO Model'!P143</f>
        <v>45653</v>
      </c>
      <c r="Q183" s="231">
        <f>'LBO Model'!Q143</f>
        <v>46018</v>
      </c>
      <c r="R183" s="231">
        <f>'LBO Model'!R143</f>
        <v>46383</v>
      </c>
      <c r="T183" s="248" t="s">
        <v>772</v>
      </c>
    </row>
    <row r="184" spans="1:20" s="248" customFormat="1" x14ac:dyDescent="0.3">
      <c r="A184" s="246"/>
      <c r="B184" s="248" t="s">
        <v>107</v>
      </c>
      <c r="F184" s="286">
        <f ca="1">IF($T$184,Output!F73,F184)</f>
        <v>2529.1950000000002</v>
      </c>
      <c r="G184" s="286">
        <f ca="1">IF($T$184,Output!G73,G184)</f>
        <v>2681.58</v>
      </c>
      <c r="H184" s="433">
        <f ca="1">IF($T$184,Output!H73,H184)</f>
        <v>2795.3650000000002</v>
      </c>
      <c r="I184" s="286">
        <f ca="1">IF($T$184,Output!I73,I184)</f>
        <v>2846.1157142857151</v>
      </c>
      <c r="J184" s="286">
        <f ca="1">IF($T$184,Output!J73,J184)</f>
        <v>3083.1444285714297</v>
      </c>
      <c r="K184" s="286">
        <f ca="1">IF($T$184,Output!K73,K184)</f>
        <v>3374.4200000000014</v>
      </c>
      <c r="L184" s="286">
        <f ca="1">IF($T$184,Output!L73,L184)</f>
        <v>3666.9538909032362</v>
      </c>
      <c r="M184" s="286">
        <f ca="1">IF($T$184,Output!M73,M184)</f>
        <v>3956.3120200674111</v>
      </c>
      <c r="N184" s="286">
        <f ca="1">IF($T$184,Output!N73,N184)</f>
        <v>4237.7155436344583</v>
      </c>
      <c r="O184" s="286">
        <f ca="1">IF($T$184,Output!O73,O184)</f>
        <v>4506.1570387522188</v>
      </c>
      <c r="P184" s="286">
        <f ca="1">IF($T$184,Output!P73,P184)</f>
        <v>4756.5365574392499</v>
      </c>
      <c r="Q184" s="286">
        <f ca="1">IF($T$184,Output!Q73,Q184)</f>
        <v>4983.813075300196</v>
      </c>
      <c r="R184" s="286">
        <f ca="1">IF($T$184,Output!R73,R184)</f>
        <v>5183.1655983122037</v>
      </c>
      <c r="T184" s="562" t="b">
        <f>AND(Unlock,DownsideCase,KLGHighBid)</f>
        <v>0</v>
      </c>
    </row>
    <row r="185" spans="1:20" s="236" customFormat="1" x14ac:dyDescent="0.3">
      <c r="A185" s="283"/>
      <c r="B185" s="284" t="s">
        <v>140</v>
      </c>
      <c r="G185" s="290">
        <f ca="1">IF($T$184,Output!G74,G185)</f>
        <v>6.0250395876948915E-2</v>
      </c>
      <c r="H185" s="434">
        <f ca="1">IF($T$184,Output!H74,H185)</f>
        <v>4.2432073628234201E-2</v>
      </c>
      <c r="I185" s="290">
        <f ca="1">IF($T$184,Output!I74,I185)</f>
        <v>1.8155308621848887E-2</v>
      </c>
      <c r="J185" s="290">
        <f ca="1">IF($T$184,Output!J74,J185)</f>
        <v>8.3281474852192172E-2</v>
      </c>
      <c r="K185" s="290">
        <f ca="1">IF($T$184,Output!K74,K185)</f>
        <v>9.4473540950377632E-2</v>
      </c>
      <c r="L185" s="290">
        <f ca="1">IF($T$184,Output!L74,L185)</f>
        <v>8.6691606528895182E-2</v>
      </c>
      <c r="M185" s="290">
        <f ca="1">IF($T$184,Output!M74,M185)</f>
        <v>7.890967210741251E-2</v>
      </c>
      <c r="N185" s="290">
        <f ca="1">IF($T$184,Output!N74,N185)</f>
        <v>7.1127737685930059E-2</v>
      </c>
      <c r="O185" s="290">
        <f ca="1">IF($T$184,Output!O74,O185)</f>
        <v>6.3345803264447609E-2</v>
      </c>
      <c r="P185" s="290">
        <f ca="1">IF($T$184,Output!P74,P185)</f>
        <v>5.5563868842964936E-2</v>
      </c>
      <c r="Q185" s="290">
        <f ca="1">IF($T$184,Output!Q74,Q185)</f>
        <v>4.7781934421482486E-2</v>
      </c>
      <c r="R185" s="290">
        <f ca="1">IF($T$184,Output!R74,R185)</f>
        <v>4.0000000000000036E-2</v>
      </c>
    </row>
    <row r="186" spans="1:20" s="248" customFormat="1" x14ac:dyDescent="0.3">
      <c r="A186" s="246"/>
      <c r="H186" s="230"/>
    </row>
    <row r="187" spans="1:20" s="248" customFormat="1" x14ac:dyDescent="0.3">
      <c r="A187" s="246"/>
      <c r="B187" s="248" t="s">
        <v>527</v>
      </c>
      <c r="F187" s="248">
        <f ca="1">IF($T$184,Output!F76,F187)</f>
        <v>2129.1430000000005</v>
      </c>
      <c r="G187" s="248">
        <f ca="1">IF($T$184,Output!G76,G187)</f>
        <v>2287.48</v>
      </c>
      <c r="H187" s="230">
        <f ca="1">IF($T$184,Output!H76,H187)</f>
        <v>2392.1750000000002</v>
      </c>
      <c r="I187" s="248">
        <f ca="1">IF($T$184,Output!I76,I187)</f>
        <v>2405.2157142857154</v>
      </c>
      <c r="J187" s="248">
        <f ca="1">IF($T$184,Output!J76,J187)</f>
        <v>2605.5256263090978</v>
      </c>
      <c r="K187" s="248">
        <f ca="1">IF($T$184,Output!K76,K187)</f>
        <v>2851.678858263469</v>
      </c>
      <c r="L187" s="248">
        <f ca="1">IF($T$184,Output!L76,L187)</f>
        <v>3098.895479790815</v>
      </c>
      <c r="M187" s="248">
        <f ca="1">IF($T$184,Output!M76,M187)</f>
        <v>3343.4283059962509</v>
      </c>
      <c r="N187" s="248">
        <f ca="1">IF($T$184,Output!N76,N187)</f>
        <v>3581.2387975168663</v>
      </c>
      <c r="O187" s="248">
        <f ca="1">IF($T$184,Output!O76,O187)</f>
        <v>3808.0952458273769</v>
      </c>
      <c r="P187" s="248">
        <f ca="1">IF($T$184,Output!P76,P187)</f>
        <v>4019.6877506080468</v>
      </c>
      <c r="Q187" s="248">
        <f ca="1">IF($T$184,Output!Q76,Q187)</f>
        <v>4211.7562071024367</v>
      </c>
      <c r="R187" s="248">
        <f ca="1">IF($T$184,Output!R76,R187)</f>
        <v>4380.2264553865343</v>
      </c>
    </row>
    <row r="188" spans="1:20" s="236" customFormat="1" x14ac:dyDescent="0.3">
      <c r="A188" s="283"/>
      <c r="B188" s="284" t="s">
        <v>140</v>
      </c>
      <c r="F188" s="290"/>
      <c r="G188" s="290">
        <f ca="1">IF($T$184,Output!G77,G188)</f>
        <v>7.4366540904016176E-2</v>
      </c>
      <c r="H188" s="434">
        <f ca="1">IF($T$184,Output!H77,H188)</f>
        <v>4.5768706174480256E-2</v>
      </c>
      <c r="I188" s="290">
        <f ca="1">IF($T$184,Output!I77,I188)</f>
        <v>5.4514048034592921E-3</v>
      </c>
      <c r="J188" s="290">
        <f ca="1">IF($T$184,Output!J77,J188)</f>
        <v>8.3281474852191728E-2</v>
      </c>
      <c r="K188" s="290">
        <f ca="1">IF($T$184,Output!K77,K188)</f>
        <v>9.4473540950377854E-2</v>
      </c>
      <c r="L188" s="290">
        <f ca="1">IF($T$184,Output!L77,L188)</f>
        <v>8.6691606528895182E-2</v>
      </c>
      <c r="M188" s="290">
        <f ca="1">IF($T$184,Output!M77,M188)</f>
        <v>7.890967210741251E-2</v>
      </c>
      <c r="N188" s="290">
        <f ca="1">IF($T$184,Output!N77,N188)</f>
        <v>7.1127737685930281E-2</v>
      </c>
      <c r="O188" s="290">
        <f ca="1">IF($T$184,Output!O77,O188)</f>
        <v>6.3345803264447609E-2</v>
      </c>
      <c r="P188" s="290">
        <f ca="1">IF($T$184,Output!P77,P188)</f>
        <v>5.5563868842964714E-2</v>
      </c>
      <c r="Q188" s="290">
        <f ca="1">IF($T$184,Output!Q77,Q188)</f>
        <v>4.7781934421482486E-2</v>
      </c>
      <c r="R188" s="290">
        <f ca="1">IF($T$184,Output!R77,R188)</f>
        <v>4.0000000000000036E-2</v>
      </c>
    </row>
    <row r="189" spans="1:20" s="236" customFormat="1" x14ac:dyDescent="0.3">
      <c r="A189" s="283"/>
      <c r="B189" s="284" t="s">
        <v>365</v>
      </c>
      <c r="F189" s="290">
        <f ca="1">IF($T$184,Output!F78,F189)</f>
        <v>0.84182635186294463</v>
      </c>
      <c r="G189" s="290">
        <f ca="1">IF($T$184,Output!G78,G189)</f>
        <v>0.85303440508953676</v>
      </c>
      <c r="H189" s="434">
        <f ca="1">IF($T$184,Output!H78,H189)</f>
        <v>0.8557648106776754</v>
      </c>
      <c r="I189" s="290">
        <f ca="1">IF($T$184,Output!I78,I189)</f>
        <v>0.8450871137153847</v>
      </c>
      <c r="J189" s="290">
        <f ca="1">IF($T$184,Output!J78,J189)</f>
        <v>0.84508711371538447</v>
      </c>
      <c r="K189" s="290">
        <f ca="1">IF($T$184,Output!K78,K189)</f>
        <v>0.84508711371538447</v>
      </c>
      <c r="L189" s="290">
        <f ca="1">IF($T$184,Output!L78,L189)</f>
        <v>0.84508711371538459</v>
      </c>
      <c r="M189" s="290">
        <f ca="1">IF($T$184,Output!M78,M189)</f>
        <v>0.84508711371538447</v>
      </c>
      <c r="N189" s="290">
        <f ca="1">IF($T$184,Output!N78,N189)</f>
        <v>0.84508711371538459</v>
      </c>
      <c r="O189" s="290">
        <f ca="1">IF($T$184,Output!O78,O189)</f>
        <v>0.84508711371538459</v>
      </c>
      <c r="P189" s="290">
        <f ca="1">IF($T$184,Output!P78,P189)</f>
        <v>0.84508711371538447</v>
      </c>
      <c r="Q189" s="290">
        <f ca="1">IF($T$184,Output!Q78,Q189)</f>
        <v>0.84508711371538447</v>
      </c>
      <c r="R189" s="290">
        <f ca="1">IF($T$184,Output!R78,R189)</f>
        <v>0.84508711371538447</v>
      </c>
    </row>
    <row r="190" spans="1:20" s="248" customFormat="1" x14ac:dyDescent="0.3">
      <c r="A190" s="246"/>
      <c r="H190" s="230"/>
    </row>
    <row r="191" spans="1:20" s="248" customFormat="1" x14ac:dyDescent="0.3">
      <c r="A191" s="246"/>
      <c r="B191" s="248" t="s">
        <v>111</v>
      </c>
      <c r="F191" s="248">
        <f ca="1">IF($T$184,Output!F80,F191)</f>
        <v>400.05199999999974</v>
      </c>
      <c r="G191" s="248">
        <f ca="1">IF($T$184,Output!G80,G191)</f>
        <v>394.09999999999985</v>
      </c>
      <c r="H191" s="230">
        <f ca="1">IF($T$184,Output!H80,H191)</f>
        <v>403.19000000000017</v>
      </c>
      <c r="I191" s="248">
        <f ca="1">IF($T$184,Output!I80,I191)</f>
        <v>440.89999999999992</v>
      </c>
      <c r="J191" s="248">
        <f ca="1">IF($T$184,Output!J80,J191)</f>
        <v>477.61880226233177</v>
      </c>
      <c r="K191" s="248">
        <f ca="1">IF($T$184,Output!K80,K191)</f>
        <v>522.74114173653265</v>
      </c>
      <c r="L191" s="248">
        <f ca="1">IF($T$184,Output!L80,L191)</f>
        <v>568.05841111242114</v>
      </c>
      <c r="M191" s="248">
        <f ca="1">IF($T$184,Output!M80,M191)</f>
        <v>612.8837140711604</v>
      </c>
      <c r="N191" s="248">
        <f ca="1">IF($T$184,Output!N80,N191)</f>
        <v>656.47674611759214</v>
      </c>
      <c r="O191" s="248">
        <f ca="1">IF($T$184,Output!O80,O191)</f>
        <v>698.06179292484205</v>
      </c>
      <c r="P191" s="248">
        <f ca="1">IF($T$184,Output!P80,P191)</f>
        <v>736.84880683120275</v>
      </c>
      <c r="Q191" s="248">
        <f ca="1">IF($T$184,Output!Q80,Q191)</f>
        <v>772.05686819775917</v>
      </c>
      <c r="R191" s="248">
        <f ca="1">IF($T$184,Output!R80,R191)</f>
        <v>802.93914292566944</v>
      </c>
    </row>
    <row r="192" spans="1:20" s="236" customFormat="1" x14ac:dyDescent="0.3">
      <c r="A192" s="283"/>
      <c r="B192" s="284" t="s">
        <v>140</v>
      </c>
      <c r="F192" s="290"/>
      <c r="G192" s="290">
        <f ca="1">IF($T$184,Output!G81,G192)</f>
        <v>-1.4878065851439026E-2</v>
      </c>
      <c r="H192" s="434">
        <f ca="1">IF($T$184,Output!H81,H192)</f>
        <v>2.3065211875159308E-2</v>
      </c>
      <c r="I192" s="290">
        <f ca="1">IF($T$184,Output!I81,I192)</f>
        <v>9.3529105384557498E-2</v>
      </c>
      <c r="J192" s="290">
        <f ca="1">IF($T$184,Output!J81,J192)</f>
        <v>8.3281474852192838E-2</v>
      </c>
      <c r="K192" s="290">
        <f ca="1">IF($T$184,Output!K81,K192)</f>
        <v>9.4473540950378077E-2</v>
      </c>
      <c r="L192" s="290">
        <f ca="1">IF($T$184,Output!L81,L192)</f>
        <v>8.6691606528894294E-2</v>
      </c>
      <c r="M192" s="290">
        <f ca="1">IF($T$184,Output!M81,M192)</f>
        <v>7.8909672107413176E-2</v>
      </c>
      <c r="N192" s="290">
        <f ca="1">IF($T$184,Output!N81,N192)</f>
        <v>7.1127737685929615E-2</v>
      </c>
      <c r="O192" s="290">
        <f ca="1">IF($T$184,Output!O81,O192)</f>
        <v>6.3345803264447831E-2</v>
      </c>
      <c r="P192" s="290">
        <f ca="1">IF($T$184,Output!P81,P192)</f>
        <v>5.5563868842964714E-2</v>
      </c>
      <c r="Q192" s="290">
        <f ca="1">IF($T$184,Output!Q81,Q192)</f>
        <v>4.778193442148293E-2</v>
      </c>
      <c r="R192" s="290">
        <f ca="1">IF($T$184,Output!R81,R192)</f>
        <v>3.9999999999999813E-2</v>
      </c>
    </row>
    <row r="193" spans="1:20" s="236" customFormat="1" x14ac:dyDescent="0.3">
      <c r="A193" s="283"/>
      <c r="B193" s="284" t="s">
        <v>365</v>
      </c>
      <c r="F193" s="290">
        <f ca="1">IF($T$184,Output!F82,F193)</f>
        <v>0.15817364813705534</v>
      </c>
      <c r="G193" s="290">
        <f ca="1">IF($T$184,Output!G82,G193)</f>
        <v>0.14696559491046318</v>
      </c>
      <c r="H193" s="434">
        <f ca="1">IF($T$184,Output!H82,H193)</f>
        <v>0.14423518932232468</v>
      </c>
      <c r="I193" s="290">
        <f ca="1">IF($T$184,Output!I82,I193)</f>
        <v>0.15491288628461541</v>
      </c>
      <c r="J193" s="290">
        <f ca="1">IF($T$184,Output!J82,J193)</f>
        <v>0.15491288628461553</v>
      </c>
      <c r="K193" s="290">
        <f ca="1">IF($T$184,Output!K82,K193)</f>
        <v>0.15491288628461555</v>
      </c>
      <c r="L193" s="290">
        <f ca="1">IF($T$184,Output!L82,L193)</f>
        <v>0.15491288628461544</v>
      </c>
      <c r="M193" s="290">
        <f ca="1">IF($T$184,Output!M82,M193)</f>
        <v>0.15491288628461553</v>
      </c>
      <c r="N193" s="290">
        <f ca="1">IF($T$184,Output!N82,N193)</f>
        <v>0.15491288628461544</v>
      </c>
      <c r="O193" s="290">
        <f ca="1">IF($T$184,Output!O82,O193)</f>
        <v>0.15491288628461547</v>
      </c>
      <c r="P193" s="290">
        <f ca="1">IF($T$184,Output!P82,P193)</f>
        <v>0.15491288628461544</v>
      </c>
      <c r="Q193" s="290">
        <f ca="1">IF($T$184,Output!Q82,Q193)</f>
        <v>0.1549128862846155</v>
      </c>
      <c r="R193" s="290">
        <f ca="1">IF($T$184,Output!R82,R193)</f>
        <v>0.1549128862846155</v>
      </c>
    </row>
    <row r="194" spans="1:20" s="248" customFormat="1" x14ac:dyDescent="0.3">
      <c r="A194" s="246"/>
      <c r="H194" s="230"/>
    </row>
    <row r="195" spans="1:20" s="248" customFormat="1" x14ac:dyDescent="0.3">
      <c r="A195" s="246"/>
      <c r="B195" s="248" t="s">
        <v>528</v>
      </c>
      <c r="F195" s="248">
        <f ca="1">IF($T$184,Output!F84,F195)</f>
        <v>124.10899999999999</v>
      </c>
      <c r="G195" s="248">
        <f ca="1">IF($T$184,Output!G84,G195)</f>
        <v>135.398</v>
      </c>
      <c r="H195" s="230">
        <f ca="1">IF($T$184,Output!H84,H195)</f>
        <v>154.35499999999999</v>
      </c>
      <c r="I195" s="248">
        <f ca="1">IF($T$184,Output!I84,I195)</f>
        <v>282.14125714526199</v>
      </c>
      <c r="J195" s="248">
        <f ca="1">IF($T$184,Output!J84,J195)</f>
        <v>287.17140000240494</v>
      </c>
      <c r="K195" s="248">
        <f ca="1">IF($T$184,Output!K84,K195)</f>
        <v>300.03497143097621</v>
      </c>
      <c r="L195" s="248">
        <f ca="1">IF($T$184,Output!L84,L195)</f>
        <v>314.45438106637778</v>
      </c>
      <c r="M195" s="248">
        <f ca="1">IF($T$184,Output!M84,M195)</f>
        <v>326.43450705648246</v>
      </c>
      <c r="N195" s="248">
        <f ca="1">IF($T$184,Output!N84,N195)</f>
        <v>341.13501259602793</v>
      </c>
      <c r="O195" s="248">
        <f ca="1">IF($T$184,Output!O84,O195)</f>
        <v>355.15838243873816</v>
      </c>
      <c r="P195" s="248">
        <f ca="1">IF($T$184,Output!P84,P195)</f>
        <v>368.23819556542225</v>
      </c>
      <c r="Q195" s="248">
        <f ca="1">IF($T$184,Output!Q84,Q195)</f>
        <v>380.11110912198404</v>
      </c>
      <c r="R195" s="248">
        <f ca="1">IF($T$184,Output!R84,R195)</f>
        <v>390.52527462962433</v>
      </c>
    </row>
    <row r="196" spans="1:20" s="248" customFormat="1" x14ac:dyDescent="0.3">
      <c r="A196" s="246"/>
      <c r="B196" s="248" t="s">
        <v>112</v>
      </c>
      <c r="F196" s="248">
        <f ca="1">IF($T$184,Output!F85,F196)</f>
        <v>275.94299999999976</v>
      </c>
      <c r="G196" s="248">
        <f ca="1">IF($T$184,Output!G85,G196)</f>
        <v>258.70199999999988</v>
      </c>
      <c r="H196" s="230">
        <f ca="1">IF($T$184,Output!H85,H196)</f>
        <v>248.83500000000018</v>
      </c>
      <c r="I196" s="248">
        <f ca="1">IF($T$184,Output!I85,I196)</f>
        <v>158.75874285473799</v>
      </c>
      <c r="J196" s="248">
        <f ca="1">IF($T$184,Output!J85,J196)</f>
        <v>190.44740225992689</v>
      </c>
      <c r="K196" s="248">
        <f ca="1">IF($T$184,Output!K85,K196)</f>
        <v>222.70617030555644</v>
      </c>
      <c r="L196" s="248">
        <f ca="1">IF($T$184,Output!L85,L196)</f>
        <v>253.60403004604336</v>
      </c>
      <c r="M196" s="248">
        <f ca="1">IF($T$184,Output!M85,M196)</f>
        <v>286.44920701467794</v>
      </c>
      <c r="N196" s="248">
        <f ca="1">IF($T$184,Output!N85,N196)</f>
        <v>315.34173352156421</v>
      </c>
      <c r="O196" s="248">
        <f ca="1">IF($T$184,Output!O85,O196)</f>
        <v>342.90341048610389</v>
      </c>
      <c r="P196" s="248">
        <f ca="1">IF($T$184,Output!P85,P196)</f>
        <v>368.61061126578051</v>
      </c>
      <c r="Q196" s="248">
        <f ca="1">IF($T$184,Output!Q85,Q196)</f>
        <v>391.94575907577513</v>
      </c>
      <c r="R196" s="248">
        <f ca="1">IF($T$184,Output!R85,R196)</f>
        <v>412.41386829604505</v>
      </c>
    </row>
    <row r="197" spans="1:20" s="236" customFormat="1" x14ac:dyDescent="0.3">
      <c r="A197" s="283"/>
      <c r="B197" s="284" t="s">
        <v>140</v>
      </c>
      <c r="G197" s="290"/>
      <c r="H197" s="434"/>
      <c r="I197" s="290"/>
      <c r="J197" s="290"/>
      <c r="K197" s="290"/>
      <c r="L197" s="290"/>
      <c r="M197" s="290"/>
      <c r="N197" s="290"/>
      <c r="O197" s="290"/>
      <c r="P197" s="290"/>
      <c r="Q197" s="290"/>
      <c r="R197" s="290"/>
    </row>
    <row r="198" spans="1:20" s="236" customFormat="1" x14ac:dyDescent="0.3">
      <c r="A198" s="283"/>
      <c r="B198" s="284" t="s">
        <v>365</v>
      </c>
      <c r="F198" s="290">
        <f ca="1">IF($T$184,Output!F87,F198)</f>
        <v>0.10910309406747987</v>
      </c>
      <c r="G198" s="290">
        <f ca="1">IF($T$184,Output!G87,G198)</f>
        <v>9.6473720716890754E-2</v>
      </c>
      <c r="H198" s="434">
        <f ca="1">IF($T$184,Output!H87,H198)</f>
        <v>8.9016997780254153E-2</v>
      </c>
      <c r="I198" s="290">
        <f ca="1">IF($T$184,Output!I87,I198)</f>
        <v>5.5780846174970582E-2</v>
      </c>
      <c r="J198" s="290">
        <f ca="1">IF($T$184,Output!J87,J198)</f>
        <v>6.177050951459008E-2</v>
      </c>
      <c r="K198" s="290">
        <f ca="1">IF($T$184,Output!K87,K198)</f>
        <v>6.599835536345694E-2</v>
      </c>
      <c r="L198" s="290">
        <f ca="1">IF($T$184,Output!L87,L198)</f>
        <v>6.9159317949202839E-2</v>
      </c>
      <c r="M198" s="290">
        <f ca="1">IF($T$184,Output!M87,M198)</f>
        <v>7.2403087916659614E-2</v>
      </c>
      <c r="N198" s="290">
        <f ca="1">IF($T$184,Output!N87,N198)</f>
        <v>7.4413143184007283E-2</v>
      </c>
      <c r="O198" s="290">
        <f ca="1">IF($T$184,Output!O87,O198)</f>
        <v>7.609664011644296E-2</v>
      </c>
      <c r="P198" s="290">
        <f ca="1">IF($T$184,Output!P87,P198)</f>
        <v>7.7495590923036525E-2</v>
      </c>
      <c r="Q198" s="290">
        <f ca="1">IF($T$184,Output!Q87,Q198)</f>
        <v>7.86437519132209E-2</v>
      </c>
      <c r="R198" s="290">
        <f ca="1">IF($T$184,Output!R87,R198)</f>
        <v>7.9567951375186532E-2</v>
      </c>
    </row>
    <row r="199" spans="1:20" s="248" customFormat="1" x14ac:dyDescent="0.3">
      <c r="A199" s="246"/>
      <c r="H199" s="230"/>
    </row>
    <row r="200" spans="1:20" s="248" customFormat="1" x14ac:dyDescent="0.3">
      <c r="A200" s="246"/>
      <c r="B200" s="248" t="s">
        <v>276</v>
      </c>
      <c r="F200" s="248">
        <f ca="1">IF($T$184,Output!F89,F200)</f>
        <v>224.21700000000001</v>
      </c>
      <c r="G200" s="248">
        <f ca="1">IF($T$184,Output!G89,G200)</f>
        <v>223.93199999999999</v>
      </c>
      <c r="H200" s="230">
        <f ca="1">IF($T$184,Output!H89,H200)</f>
        <v>200.06299999999999</v>
      </c>
      <c r="I200" s="248">
        <f ca="1">IF($T$184,Output!I89,I200)</f>
        <v>210.89375000000007</v>
      </c>
      <c r="J200" s="248">
        <f ca="1">IF($T$184,Output!J89,J200)</f>
        <v>199.77150000000009</v>
      </c>
      <c r="K200" s="248">
        <f ca="1">IF($T$184,Output!K89,K200)</f>
        <v>195.88400000000007</v>
      </c>
      <c r="L200" s="248">
        <f ca="1">IF($T$184,Output!L89,L200)</f>
        <v>185.25287532717616</v>
      </c>
      <c r="M200" s="248">
        <f ca="1">IF($T$184,Output!M89,M200)</f>
        <v>180.66248962444394</v>
      </c>
      <c r="N200" s="248">
        <f ca="1">IF($T$184,Output!N89,N200)</f>
        <v>198.88232469070914</v>
      </c>
      <c r="O200" s="248">
        <f ca="1">IF($T$184,Output!O89,O200)</f>
        <v>217.19055548128594</v>
      </c>
      <c r="P200" s="248">
        <f ca="1">IF($T$184,Output!P89,P200)</f>
        <v>235.28563567559954</v>
      </c>
      <c r="Q200" s="248">
        <f ca="1">IF($T$184,Output!Q89,Q200)</f>
        <v>252.84315920268901</v>
      </c>
      <c r="R200" s="248">
        <f ca="1">IF($T$184,Output!R89,R200)</f>
        <v>269.5246111122346</v>
      </c>
    </row>
    <row r="201" spans="1:20" s="236" customFormat="1" ht="13.5" thickBot="1" x14ac:dyDescent="0.35">
      <c r="A201" s="283"/>
      <c r="B201" s="415" t="s">
        <v>365</v>
      </c>
      <c r="C201" s="416"/>
      <c r="D201" s="416"/>
      <c r="E201" s="416"/>
      <c r="F201" s="417">
        <f ca="1">IF($T$184,Output!F90,F201)</f>
        <v>8.8651527462295321E-2</v>
      </c>
      <c r="G201" s="417">
        <f ca="1">IF($T$184,Output!G90,G201)</f>
        <v>8.3507484393529188E-2</v>
      </c>
      <c r="H201" s="435">
        <f ca="1">IF($T$184,Output!H90,H201)</f>
        <v>7.1569544585411912E-2</v>
      </c>
      <c r="I201" s="417">
        <f ca="1">IF($T$184,Output!I90,I201)</f>
        <v>7.409879680627382E-2</v>
      </c>
      <c r="J201" s="417">
        <f ca="1">IF($T$184,Output!J90,J201)</f>
        <v>6.4794726496988628E-2</v>
      </c>
      <c r="K201" s="417">
        <f ca="1">IF($T$184,Output!K90,K201)</f>
        <v>5.804967964865073E-2</v>
      </c>
      <c r="L201" s="417">
        <f ca="1">IF($T$184,Output!L90,L201)</f>
        <v>5.0519554060044387E-2</v>
      </c>
      <c r="M201" s="417">
        <f ca="1">IF($T$184,Output!M90,M201)</f>
        <v>4.566436840878027E-2</v>
      </c>
      <c r="N201" s="417">
        <f ca="1">IF($T$184,Output!N90,N201)</f>
        <v>4.6931494727024216E-2</v>
      </c>
      <c r="O201" s="417">
        <f ca="1">IF($T$184,Output!O90,O201)</f>
        <v>4.8198621045268161E-2</v>
      </c>
      <c r="P201" s="417">
        <f ca="1">IF($T$184,Output!P90,P201)</f>
        <v>4.9465747363512107E-2</v>
      </c>
      <c r="Q201" s="417">
        <f ca="1">IF($T$184,Output!Q90,Q201)</f>
        <v>5.0732873681756052E-2</v>
      </c>
      <c r="R201" s="417">
        <f ca="1">IF($T$184,Output!R90,R201)</f>
        <v>5.1999999999999998E-2</v>
      </c>
    </row>
    <row r="202" spans="1:20" s="557" customFormat="1" x14ac:dyDescent="0.3">
      <c r="A202" s="640"/>
      <c r="B202" s="556"/>
      <c r="F202" s="548"/>
      <c r="G202" s="548"/>
      <c r="H202" s="548"/>
      <c r="I202" s="548"/>
      <c r="J202" s="548"/>
      <c r="K202" s="548"/>
      <c r="L202" s="548"/>
      <c r="M202" s="548"/>
      <c r="N202" s="548"/>
      <c r="O202" s="548"/>
      <c r="P202" s="548"/>
      <c r="Q202" s="548"/>
      <c r="R202" s="548"/>
    </row>
    <row r="203" spans="1:20" s="256" customFormat="1" ht="13.5" thickBot="1" x14ac:dyDescent="0.35">
      <c r="A203" s="246" t="s">
        <v>31</v>
      </c>
      <c r="B203" s="413" t="str">
        <f ca="1">IF(T206,"Returns Summary ("&amp;'LBO Model'!$E$4&amp;")",B203)</f>
        <v>Returns Summary (Base Case)</v>
      </c>
      <c r="C203" s="274"/>
      <c r="D203" s="274"/>
      <c r="E203" s="274"/>
      <c r="F203" s="274"/>
      <c r="G203" s="274"/>
      <c r="H203" s="274"/>
      <c r="I203" s="274"/>
      <c r="J203" s="274"/>
      <c r="K203" s="274"/>
    </row>
    <row r="204" spans="1:20" s="248" customFormat="1" x14ac:dyDescent="0.3">
      <c r="A204" s="246"/>
      <c r="B204" s="236"/>
      <c r="E204" s="249" t="s">
        <v>109</v>
      </c>
      <c r="F204" s="268" t="s">
        <v>364</v>
      </c>
      <c r="G204" s="268"/>
      <c r="H204" s="268"/>
      <c r="I204" s="268"/>
      <c r="J204" s="268"/>
      <c r="K204" s="249" t="s">
        <v>145</v>
      </c>
    </row>
    <row r="205" spans="1:20" s="248" customFormat="1" ht="14.5" x14ac:dyDescent="0.45">
      <c r="A205" s="246"/>
      <c r="E205" s="404">
        <f>'LBO Model'!K39</f>
        <v>42731</v>
      </c>
      <c r="F205" s="405">
        <f>'LBO Model'!L39</f>
        <v>43096</v>
      </c>
      <c r="G205" s="405">
        <f>'LBO Model'!M39</f>
        <v>43461</v>
      </c>
      <c r="H205" s="405">
        <f>'LBO Model'!N39</f>
        <v>43826</v>
      </c>
      <c r="I205" s="405">
        <f>'LBO Model'!O39</f>
        <v>44192</v>
      </c>
      <c r="J205" s="405">
        <f>'LBO Model'!P39</f>
        <v>44557</v>
      </c>
      <c r="K205" s="406" t="s">
        <v>729</v>
      </c>
      <c r="T205" s="248" t="s">
        <v>772</v>
      </c>
    </row>
    <row r="206" spans="1:20" s="248" customFormat="1" x14ac:dyDescent="0.3">
      <c r="A206" s="246"/>
      <c r="B206" s="248" t="s">
        <v>111</v>
      </c>
      <c r="E206" s="286">
        <f ca="1">IF($T$206,Output!E95,E206)</f>
        <v>403.19000000000017</v>
      </c>
      <c r="F206" s="286">
        <f ca="1">IF($T$206,Output!F95,F206)</f>
        <v>440.89999999999992</v>
      </c>
      <c r="G206" s="286">
        <f ca="1">IF($T$206,Output!G95,G206)</f>
        <v>489.40000000000043</v>
      </c>
      <c r="H206" s="286">
        <f ca="1">IF($T$206,Output!H95,H206)</f>
        <v>561.10000000000059</v>
      </c>
      <c r="I206" s="286">
        <f ca="1">IF($T$206,Output!I95,I206)</f>
        <v>631.60000000000036</v>
      </c>
      <c r="J206" s="286">
        <f ca="1">IF($T$206,Output!J95,J206)</f>
        <v>692.1000000000007</v>
      </c>
      <c r="K206" s="229">
        <f ca="1">IF($T$206,Output!K95,K206)</f>
        <v>0.11411961247036118</v>
      </c>
      <c r="T206" s="562" t="b">
        <f>AND(Unlock,BaseCase,KLGHighBid)</f>
        <v>0</v>
      </c>
    </row>
    <row r="207" spans="1:20" s="248" customFormat="1" x14ac:dyDescent="0.3">
      <c r="A207" s="246"/>
      <c r="B207" s="279" t="s">
        <v>140</v>
      </c>
      <c r="E207" s="233">
        <f ca="1">IF($T$206,Output!E96,E207)</f>
        <v>4.2432073628234201E-2</v>
      </c>
      <c r="F207" s="233">
        <f ca="1">IF($T$206,Output!F96,F207)</f>
        <v>1.8155308621848887E-2</v>
      </c>
      <c r="G207" s="233">
        <f ca="1">IF($T$206,Output!G96,G207)</f>
        <v>8.3281474852192172E-2</v>
      </c>
      <c r="H207" s="233">
        <f ca="1">IF($T$206,Output!H96,H207)</f>
        <v>9.4473540950377632E-2</v>
      </c>
      <c r="I207" s="233">
        <f ca="1">IF($T$206,Output!I96,I207)</f>
        <v>0.15186935828972081</v>
      </c>
      <c r="J207" s="233">
        <f ca="1">IF($T$206,Output!J96,J207)</f>
        <v>8.5702686285774377E-2</v>
      </c>
      <c r="K207" s="233"/>
    </row>
    <row r="208" spans="1:20" s="248" customFormat="1" x14ac:dyDescent="0.3">
      <c r="A208" s="246"/>
      <c r="B208" s="279" t="s">
        <v>365</v>
      </c>
      <c r="E208" s="233">
        <f ca="1">IF($T$206,Output!E97,E208)</f>
        <v>0.14423518932232468</v>
      </c>
      <c r="F208" s="233">
        <f ca="1">IF($T$206,Output!F97,F208)</f>
        <v>0.15491288628461541</v>
      </c>
      <c r="G208" s="233">
        <f ca="1">IF($T$206,Output!G97,G208)</f>
        <v>0.15873404938955882</v>
      </c>
      <c r="H208" s="233">
        <f ca="1">IF($T$206,Output!H97,H208)</f>
        <v>0.16628042745123617</v>
      </c>
      <c r="I208" s="233">
        <f ca="1">IF($T$206,Output!I97,I208)</f>
        <v>0.16249490917033693</v>
      </c>
      <c r="J208" s="233">
        <f ca="1">IF($T$206,Output!J97,J208)</f>
        <v>0.16400442842762394</v>
      </c>
      <c r="K208" s="233"/>
    </row>
    <row r="209" spans="1:11" s="248" customFormat="1" x14ac:dyDescent="0.3">
      <c r="A209" s="246"/>
    </row>
    <row r="210" spans="1:11" s="248" customFormat="1" x14ac:dyDescent="0.3">
      <c r="A210" s="246"/>
      <c r="B210" s="248" t="s">
        <v>276</v>
      </c>
      <c r="E210" s="248">
        <f ca="1">IF($T$206,Output!E99,E210)</f>
        <v>200.06299999999999</v>
      </c>
      <c r="F210" s="248">
        <f ca="1">IF($T$206,Output!F99,F210)</f>
        <v>210.89375000000007</v>
      </c>
      <c r="G210" s="248">
        <f ca="1">IF($T$206,Output!G99,G210)</f>
        <v>199.77150000000009</v>
      </c>
      <c r="H210" s="248">
        <f ca="1">IF($T$206,Output!H99,H210)</f>
        <v>195.88400000000007</v>
      </c>
      <c r="I210" s="248">
        <f ca="1">IF($T$206,Output!I99,I210)</f>
        <v>196.36400000000006</v>
      </c>
      <c r="J210" s="248">
        <f ca="1">IF($T$206,Output!J99,J210)</f>
        <v>192.70400000000009</v>
      </c>
    </row>
    <row r="211" spans="1:11" s="248" customFormat="1" x14ac:dyDescent="0.3">
      <c r="A211" s="246"/>
    </row>
    <row r="212" spans="1:11" s="248" customFormat="1" x14ac:dyDescent="0.3">
      <c r="A212" s="246"/>
      <c r="B212" s="248" t="s">
        <v>419</v>
      </c>
      <c r="E212" s="248">
        <f ca="1">IF($T$206,Output!E101,E212)</f>
        <v>8.8840000000000003</v>
      </c>
      <c r="F212" s="248">
        <f ca="1">IF($T$206,Output!F101,F212)</f>
        <v>174.06460534200494</v>
      </c>
      <c r="G212" s="248">
        <f ca="1">IF($T$206,Output!G101,G212)</f>
        <v>170.84970004039425</v>
      </c>
      <c r="H212" s="248">
        <f ca="1">IF($T$206,Output!H101,H212)</f>
        <v>164.76301900825962</v>
      </c>
      <c r="I212" s="248">
        <f ca="1">IF($T$206,Output!I101,I212)</f>
        <v>156.23662794298684</v>
      </c>
      <c r="J212" s="248">
        <f ca="1">IF($T$206,Output!J101,J212)</f>
        <v>142.92832921186397</v>
      </c>
    </row>
    <row r="213" spans="1:11" s="248" customFormat="1" x14ac:dyDescent="0.3">
      <c r="A213" s="246"/>
    </row>
    <row r="214" spans="1:11" s="248" customFormat="1" x14ac:dyDescent="0.3">
      <c r="A214" s="246"/>
      <c r="B214" s="248" t="s">
        <v>314</v>
      </c>
      <c r="E214" s="563">
        <f ca="1">IF($T$206,Output!E103,E214)</f>
        <v>2999.9999900805929</v>
      </c>
      <c r="F214" s="563">
        <f ca="1">IF($T$206,Output!F103,F214)</f>
        <v>2965.8684047281213</v>
      </c>
      <c r="G214" s="563">
        <f ca="1">IF($T$206,Output!G103,G214)</f>
        <v>2826.5447956221642</v>
      </c>
      <c r="H214" s="563">
        <f ca="1">IF($T$206,Output!H103,H214)</f>
        <v>2637.4710359113164</v>
      </c>
      <c r="I214" s="563">
        <f ca="1">IF($T$206,Output!I103,I214)</f>
        <v>2366.5166823565523</v>
      </c>
      <c r="J214" s="563">
        <f ca="1">IF($T$206,Output!J103,J214)</f>
        <v>2055.5010504330194</v>
      </c>
    </row>
    <row r="215" spans="1:11" s="248" customFormat="1" x14ac:dyDescent="0.3">
      <c r="A215" s="246"/>
      <c r="B215" s="410" t="s">
        <v>384</v>
      </c>
      <c r="C215" s="410"/>
      <c r="D215" s="410"/>
      <c r="E215" s="410">
        <f ca="1">IF($T$206,Output!E104,E215)</f>
        <v>21.341549999999998</v>
      </c>
      <c r="F215" s="410">
        <f ca="1">IF($T$206,Output!F104,F215)</f>
        <v>21.341550000000002</v>
      </c>
      <c r="G215" s="410">
        <f ca="1">IF($T$206,Output!G104,G215)</f>
        <v>21.341550000000002</v>
      </c>
      <c r="H215" s="410">
        <f ca="1">IF($T$206,Output!H104,H215)</f>
        <v>21.341550000000002</v>
      </c>
      <c r="I215" s="410">
        <f ca="1">IF($T$206,Output!I104,I215)</f>
        <v>21.341550000000002</v>
      </c>
      <c r="J215" s="410">
        <f ca="1">IF($T$206,Output!J104,J215)</f>
        <v>21.341550000000002</v>
      </c>
      <c r="K215" s="410"/>
    </row>
    <row r="216" spans="1:11" s="248" customFormat="1" x14ac:dyDescent="0.3">
      <c r="A216" s="246"/>
      <c r="B216" s="248" t="s">
        <v>316</v>
      </c>
      <c r="E216" s="286">
        <f ca="1">IF($T$206,Output!E105,E216)</f>
        <v>2978.6584400805928</v>
      </c>
      <c r="F216" s="286">
        <f ca="1">IF($T$206,Output!F105,F216)</f>
        <v>2944.5268547281212</v>
      </c>
      <c r="G216" s="286">
        <f ca="1">IF($T$206,Output!G105,G216)</f>
        <v>2805.2032456221641</v>
      </c>
      <c r="H216" s="286">
        <f ca="1">IF($T$206,Output!H105,H216)</f>
        <v>2616.1294859113164</v>
      </c>
      <c r="I216" s="286">
        <f ca="1">IF($T$206,Output!I105,I216)</f>
        <v>2345.1751323565522</v>
      </c>
      <c r="J216" s="286">
        <f ca="1">IF($T$206,Output!J105,J216)</f>
        <v>2034.1595004330193</v>
      </c>
    </row>
    <row r="217" spans="1:11" s="248" customFormat="1" x14ac:dyDescent="0.3">
      <c r="A217" s="246"/>
    </row>
    <row r="218" spans="1:11" s="248" customFormat="1" x14ac:dyDescent="0.3">
      <c r="A218" s="246"/>
      <c r="B218" s="248" t="s">
        <v>331</v>
      </c>
      <c r="E218" s="234">
        <f ca="1">IF($T$206,Output!E107,E218)</f>
        <v>7.4406607060672174</v>
      </c>
      <c r="F218" s="234">
        <f ca="1">IF($T$206,Output!F107,F218)</f>
        <v>6.7268505437092454</v>
      </c>
      <c r="G218" s="234">
        <f ca="1">IF($T$206,Output!G107,G218)</f>
        <v>5.7755308451677108</v>
      </c>
      <c r="H218" s="234">
        <f ca="1">IF($T$206,Output!H107,H218)</f>
        <v>4.7005365102751968</v>
      </c>
      <c r="I218" s="234">
        <f ca="1">IF($T$206,Output!I107,I218)</f>
        <v>3.7468598517449254</v>
      </c>
      <c r="J218" s="234">
        <f ca="1">IF($T$206,Output!J107,J218)</f>
        <v>2.9699480572838666</v>
      </c>
      <c r="K218" s="234"/>
    </row>
    <row r="219" spans="1:11" s="248" customFormat="1" x14ac:dyDescent="0.3">
      <c r="A219" s="246"/>
      <c r="B219" s="248" t="s">
        <v>332</v>
      </c>
      <c r="E219" s="234">
        <f ca="1">IF($T$206,Output!E108,E219)</f>
        <v>7.3877289617283202</v>
      </c>
      <c r="F219" s="234">
        <f ca="1">IF($T$206,Output!F108,F219)</f>
        <v>6.6784460302141211</v>
      </c>
      <c r="G219" s="234">
        <f ca="1">IF($T$206,Output!G108,G219)</f>
        <v>5.7319232644566354</v>
      </c>
      <c r="H219" s="234">
        <f ca="1">IF($T$206,Output!H108,H219)</f>
        <v>4.6625013115583904</v>
      </c>
      <c r="I219" s="234">
        <f ca="1">IF($T$206,Output!I108,I219)</f>
        <v>3.7130701905669645</v>
      </c>
      <c r="J219" s="234">
        <f ca="1">IF($T$206,Output!J108,J219)</f>
        <v>2.939112123170299</v>
      </c>
      <c r="K219" s="234"/>
    </row>
    <row r="220" spans="1:11" s="248" customFormat="1" x14ac:dyDescent="0.3">
      <c r="A220" s="246"/>
      <c r="B220" s="248" t="s">
        <v>429</v>
      </c>
      <c r="F220" s="234">
        <f ca="1">IF($T$206,Output!F109,F220)</f>
        <v>2.6101246213279592</v>
      </c>
      <c r="G220" s="234">
        <f ca="1">IF($T$206,Output!G109,G220)</f>
        <v>2.9534550402447519</v>
      </c>
      <c r="H220" s="234">
        <f ca="1">IF($T$206,Output!H109,H220)</f>
        <v>3.5152775846637292</v>
      </c>
      <c r="I220" s="234">
        <f ca="1">IF($T$206,Output!I109,I220)</f>
        <v>4.1802577944410206</v>
      </c>
      <c r="J220" s="234">
        <f ca="1">IF($T$206,Output!J109,J220)</f>
        <v>5.0231211105534843</v>
      </c>
      <c r="K220" s="234"/>
    </row>
    <row r="221" spans="1:11" s="248" customFormat="1" ht="13.5" thickBot="1" x14ac:dyDescent="0.35">
      <c r="A221" s="246"/>
      <c r="B221" s="267" t="s">
        <v>430</v>
      </c>
      <c r="C221" s="267"/>
      <c r="D221" s="267"/>
      <c r="E221" s="267"/>
      <c r="F221" s="289">
        <f ca="1">IF($T$206,Output!F110,F221)</f>
        <v>1.3616352374332357</v>
      </c>
      <c r="G221" s="289">
        <f ca="1">IF($T$206,Output!G110,G221)</f>
        <v>1.7478642278780701</v>
      </c>
      <c r="H221" s="289">
        <f ca="1">IF($T$206,Output!H110,H221)</f>
        <v>2.2880691826065744</v>
      </c>
      <c r="I221" s="289">
        <f ca="1">IF($T$206,Output!I110,I221)</f>
        <v>2.8806185582984996</v>
      </c>
      <c r="J221" s="289">
        <f ca="1">IF($T$206,Output!J110,J221)</f>
        <v>3.6245146512439943</v>
      </c>
      <c r="K221" s="289"/>
    </row>
    <row r="222" spans="1:11" s="248" customFormat="1" x14ac:dyDescent="0.3">
      <c r="A222" s="246"/>
    </row>
    <row r="223" spans="1:11" s="256" customFormat="1" x14ac:dyDescent="0.3">
      <c r="A223" s="249" t="s">
        <v>31</v>
      </c>
      <c r="B223" s="276" t="str">
        <f ca="1">IF(T228,"Returns ("&amp;'LBO Model'!$E$4&amp;")",B223)</f>
        <v>Returns (Base Case)</v>
      </c>
    </row>
    <row r="224" spans="1:11" s="248" customFormat="1" x14ac:dyDescent="0.3">
      <c r="A224" s="246"/>
      <c r="B224" s="248" t="s">
        <v>829</v>
      </c>
    </row>
    <row r="225" spans="1:20" s="248" customFormat="1" x14ac:dyDescent="0.3">
      <c r="A225" s="246"/>
    </row>
    <row r="226" spans="1:20" s="246" customFormat="1" x14ac:dyDescent="0.3">
      <c r="B226" s="249" t="s">
        <v>111</v>
      </c>
      <c r="C226" s="249"/>
      <c r="D226" s="249"/>
      <c r="E226" s="249"/>
      <c r="F226" s="249"/>
      <c r="G226" s="249"/>
      <c r="H226" s="249" t="s">
        <v>368</v>
      </c>
      <c r="I226" s="249"/>
      <c r="J226" s="249" t="s">
        <v>475</v>
      </c>
    </row>
    <row r="227" spans="1:20" s="246" customFormat="1" ht="13.5" thickBot="1" x14ac:dyDescent="0.35">
      <c r="B227" s="308" t="s">
        <v>401</v>
      </c>
      <c r="C227" s="308"/>
      <c r="D227" s="308" t="s">
        <v>368</v>
      </c>
      <c r="E227" s="308"/>
      <c r="F227" s="308" t="s">
        <v>475</v>
      </c>
      <c r="G227" s="308"/>
      <c r="H227" s="308" t="s">
        <v>474</v>
      </c>
      <c r="I227" s="308"/>
      <c r="J227" s="308" t="s">
        <v>474</v>
      </c>
      <c r="T227" s="248" t="s">
        <v>772</v>
      </c>
    </row>
    <row r="228" spans="1:20" s="248" customFormat="1" x14ac:dyDescent="0.3">
      <c r="A228" s="246"/>
      <c r="B228" s="234">
        <f ca="1">IF($T$228,Output!B117,B228)</f>
        <v>15.053721437454225</v>
      </c>
      <c r="D228" s="233">
        <f ca="1">IF($T$228,Output!D117,D228)</f>
        <v>0.16273570225143419</v>
      </c>
      <c r="F228" s="286">
        <f ca="1">IF($T$228,Output!F117,F228)</f>
        <v>4439.2829654087363</v>
      </c>
      <c r="H228" s="233">
        <f ca="1">IF($T$228,Output!H117,H228)</f>
        <v>0.16388308478129837</v>
      </c>
      <c r="J228" s="286">
        <f ca="1">IF($T$228,Output!J117,J228)</f>
        <v>4458.6911908978382</v>
      </c>
      <c r="T228" s="562" t="b">
        <f>AND(Unlock,BaseCase,KLGHighBid)</f>
        <v>0</v>
      </c>
    </row>
    <row r="229" spans="1:20" s="248" customFormat="1" x14ac:dyDescent="0.3">
      <c r="A229" s="246"/>
      <c r="B229" s="234">
        <f ca="1">IF($T$228,Output!B118,B229)</f>
        <v>15.720388104120891</v>
      </c>
      <c r="D229" s="233">
        <f ca="1">IF($T$228,Output!D118,D229)</f>
        <v>0.17526003397080794</v>
      </c>
      <c r="F229" s="286">
        <f ca="1">IF($T$228,Output!F118,F229)</f>
        <v>4900.6829654088615</v>
      </c>
      <c r="H229" s="233">
        <f ca="1">IF($T$228,Output!H118,H229)</f>
        <v>0.17641977545679177</v>
      </c>
      <c r="J229" s="286">
        <f ca="1">IF($T$228,Output!J118,J229)</f>
        <v>4920.0911908979633</v>
      </c>
    </row>
    <row r="230" spans="1:20" s="248" customFormat="1" x14ac:dyDescent="0.3">
      <c r="A230" s="246"/>
      <c r="B230" s="234">
        <f ca="1">IF($T$228,Output!B119,B230)</f>
        <v>16.387054770787557</v>
      </c>
      <c r="D230" s="233">
        <f ca="1">IF($T$228,Output!D119,D230)</f>
        <v>0.18727218901302795</v>
      </c>
      <c r="F230" s="286">
        <f ca="1">IF($T$228,Output!F119,F230)</f>
        <v>5362.0829654089866</v>
      </c>
      <c r="H230" s="233">
        <f ca="1">IF($T$228,Output!H119,H230)</f>
        <v>0.18844378404132225</v>
      </c>
      <c r="J230" s="286">
        <f ca="1">IF($T$228,Output!J119,J230)</f>
        <v>5381.4911908980885</v>
      </c>
    </row>
    <row r="231" spans="1:20" s="248" customFormat="1" x14ac:dyDescent="0.3">
      <c r="A231" s="246"/>
      <c r="B231" s="420">
        <f ca="1">IF($T$228,Output!B120,B231)</f>
        <v>17.053721437454225</v>
      </c>
      <c r="C231" s="376"/>
      <c r="D231" s="377">
        <f ca="1">IF($T$228,Output!D120,D231)</f>
        <v>0.19881701286031475</v>
      </c>
      <c r="E231" s="376"/>
      <c r="F231" s="378">
        <f ca="1">IF($T$228,Output!F120,F231)</f>
        <v>5823.4829654091118</v>
      </c>
      <c r="G231" s="376"/>
      <c r="H231" s="377">
        <f ca="1">IF($T$228,Output!H120,H231)</f>
        <v>0.20000000027053041</v>
      </c>
      <c r="I231" s="376"/>
      <c r="J231" s="379">
        <f ca="1">IF($T$228,Output!J120,J231)</f>
        <v>5842.8911908982136</v>
      </c>
    </row>
    <row r="232" spans="1:20" s="248" customFormat="1" x14ac:dyDescent="0.3">
      <c r="A232" s="246"/>
      <c r="B232" s="234">
        <f ca="1">IF($T$228,Output!B121,B232)</f>
        <v>17.720388104120893</v>
      </c>
      <c r="D232" s="233">
        <f ca="1">IF($T$228,Output!D121,D232)</f>
        <v>0.20993352502064777</v>
      </c>
      <c r="F232" s="286">
        <f ca="1">IF($T$228,Output!F121,F232)</f>
        <v>6284.8829654092387</v>
      </c>
      <c r="H232" s="233">
        <f ca="1">IF($T$228,Output!H121,H232)</f>
        <v>0.2111274821566764</v>
      </c>
      <c r="J232" s="286">
        <f ca="1">IF($T$228,Output!J121,J232)</f>
        <v>6304.2911908983406</v>
      </c>
    </row>
    <row r="233" spans="1:20" s="248" customFormat="1" x14ac:dyDescent="0.3">
      <c r="A233" s="246"/>
      <c r="B233" s="234">
        <f ca="1">IF($T$228,Output!B122,B233)</f>
        <v>18.387054770787561</v>
      </c>
      <c r="D233" s="233">
        <f ca="1">IF($T$228,Output!D122,D233)</f>
        <v>0.22065590084974057</v>
      </c>
      <c r="F233" s="286">
        <f ca="1">IF($T$228,Output!F122,F233)</f>
        <v>6746.2829654093639</v>
      </c>
      <c r="H233" s="233">
        <f ca="1">IF($T$228,Output!H122,H233)</f>
        <v>0.22186043877956471</v>
      </c>
      <c r="J233" s="286">
        <f ca="1">IF($T$228,Output!J122,J233)</f>
        <v>6765.6911908984657</v>
      </c>
    </row>
    <row r="234" spans="1:20" s="248" customFormat="1" ht="13.5" thickBot="1" x14ac:dyDescent="0.35">
      <c r="A234" s="246"/>
      <c r="B234" s="289">
        <f ca="1">IF($T$228,Output!B123,B234)</f>
        <v>19.053721437454229</v>
      </c>
      <c r="C234" s="267"/>
      <c r="D234" s="238">
        <f ca="1">IF($T$228,Output!D123,D234)</f>
        <v>0.23101425320823435</v>
      </c>
      <c r="E234" s="267"/>
      <c r="F234" s="427">
        <f ca="1">IF($T$228,Output!F123,F234)</f>
        <v>7207.6829654094909</v>
      </c>
      <c r="G234" s="267"/>
      <c r="H234" s="238">
        <f ca="1">IF($T$228,Output!H123,H234)</f>
        <v>0.23222901271507126</v>
      </c>
      <c r="I234" s="267"/>
      <c r="J234" s="427">
        <f ca="1">IF($T$228,Output!J123,J234)</f>
        <v>7227.0911908985927</v>
      </c>
    </row>
    <row r="235" spans="1:20" s="248" customFormat="1" x14ac:dyDescent="0.3">
      <c r="A235" s="246"/>
      <c r="B235" s="234"/>
      <c r="D235" s="233"/>
      <c r="F235" s="286"/>
      <c r="H235" s="233"/>
      <c r="J235" s="286"/>
    </row>
    <row r="236" spans="1:20" s="256" customFormat="1" ht="13.5" thickBot="1" x14ac:dyDescent="0.35">
      <c r="A236" s="246" t="s">
        <v>31</v>
      </c>
      <c r="B236" s="413" t="str">
        <f ca="1">IF(T239,"Returns Summary ("&amp;'LBO Model'!$E$4&amp;")",B236)</f>
        <v>Returns Summary (Upside Case)</v>
      </c>
      <c r="C236" s="274"/>
      <c r="D236" s="274"/>
      <c r="E236" s="274"/>
      <c r="F236" s="274"/>
      <c r="G236" s="274"/>
      <c r="H236" s="274"/>
      <c r="I236" s="274"/>
      <c r="J236" s="274"/>
      <c r="K236" s="274"/>
    </row>
    <row r="237" spans="1:20" s="248" customFormat="1" x14ac:dyDescent="0.3">
      <c r="A237" s="246"/>
      <c r="B237" s="236"/>
      <c r="E237" s="249" t="s">
        <v>109</v>
      </c>
      <c r="F237" s="268" t="s">
        <v>364</v>
      </c>
      <c r="G237" s="268"/>
      <c r="H237" s="268"/>
      <c r="I237" s="268"/>
      <c r="J237" s="268"/>
      <c r="K237" s="249" t="s">
        <v>145</v>
      </c>
    </row>
    <row r="238" spans="1:20" s="248" customFormat="1" ht="14.5" x14ac:dyDescent="0.45">
      <c r="A238" s="246"/>
      <c r="E238" s="404">
        <f>'LBO Model'!K39</f>
        <v>42731</v>
      </c>
      <c r="F238" s="405">
        <f>'LBO Model'!L39</f>
        <v>43096</v>
      </c>
      <c r="G238" s="405">
        <f>'LBO Model'!M39</f>
        <v>43461</v>
      </c>
      <c r="H238" s="405">
        <f>'LBO Model'!N39</f>
        <v>43826</v>
      </c>
      <c r="I238" s="405">
        <f>'LBO Model'!O39</f>
        <v>44192</v>
      </c>
      <c r="J238" s="405">
        <f>'LBO Model'!P39</f>
        <v>44557</v>
      </c>
      <c r="K238" s="406" t="s">
        <v>729</v>
      </c>
      <c r="T238" s="248" t="s">
        <v>772</v>
      </c>
    </row>
    <row r="239" spans="1:20" s="248" customFormat="1" x14ac:dyDescent="0.3">
      <c r="A239" s="246"/>
      <c r="B239" s="248" t="s">
        <v>111</v>
      </c>
      <c r="E239" s="286">
        <f ca="1">IF($T$239,Output!E95,E239)</f>
        <v>403.19000000000017</v>
      </c>
      <c r="F239" s="286">
        <f ca="1">IF($T$239,Output!F95,F239)</f>
        <v>458.0000000000004</v>
      </c>
      <c r="G239" s="286">
        <f ca="1">IF($T$239,Output!G95,G239)</f>
        <v>533</v>
      </c>
      <c r="H239" s="286">
        <f ca="1">IF($T$239,Output!H95,H239)</f>
        <v>624.00000000000011</v>
      </c>
      <c r="I239" s="286">
        <f ca="1">IF($T$239,Output!I95,I239)</f>
        <v>722.00000000000011</v>
      </c>
      <c r="J239" s="286">
        <f ca="1">IF($T$239,Output!J95,J239)</f>
        <v>821</v>
      </c>
      <c r="K239" s="229">
        <f ca="1">IF($T$239,Output!K95,K239)</f>
        <v>0.15283374665601523</v>
      </c>
      <c r="T239" s="562" t="b">
        <f>AND(Unlock,UpsideCase,KLGHighBid)</f>
        <v>0</v>
      </c>
    </row>
    <row r="240" spans="1:20" s="248" customFormat="1" x14ac:dyDescent="0.3">
      <c r="A240" s="246"/>
      <c r="B240" s="279" t="s">
        <v>140</v>
      </c>
      <c r="E240" s="233"/>
      <c r="F240" s="233">
        <f ca="1">IF($T$239,Output!F96,F240)</f>
        <v>6.8554553698711995E-2</v>
      </c>
      <c r="G240" s="233">
        <f ca="1">IF($T$239,Output!G96,G240)</f>
        <v>0.10344827586206895</v>
      </c>
      <c r="H240" s="233">
        <f ca="1">IF($T$239,Output!H96,H240)</f>
        <v>0.1125606796116505</v>
      </c>
      <c r="I240" s="233">
        <f ca="1">IF($T$239,Output!I96,I240)</f>
        <v>0.10771748022907013</v>
      </c>
      <c r="J240" s="233">
        <f ca="1">IF($T$239,Output!J96,J240)</f>
        <v>0.1088133924175283</v>
      </c>
      <c r="K240" s="233"/>
    </row>
    <row r="241" spans="1:11" s="248" customFormat="1" x14ac:dyDescent="0.3">
      <c r="A241" s="246"/>
      <c r="B241" s="279" t="s">
        <v>365</v>
      </c>
      <c r="E241" s="233">
        <f ca="1">IF($T$239,Output!E97,E241)</f>
        <v>0.14423518932232468</v>
      </c>
      <c r="F241" s="233">
        <f ca="1">IF($T$239,Output!F97,F241)</f>
        <v>0.1533311014395716</v>
      </c>
      <c r="G241" s="233">
        <f ca="1">IF($T$239,Output!G97,G241)</f>
        <v>0.16171116504854366</v>
      </c>
      <c r="H241" s="233">
        <f ca="1">IF($T$239,Output!H97,H241)</f>
        <v>0.17016634851377149</v>
      </c>
      <c r="I241" s="233">
        <f ca="1">IF($T$239,Output!I97,I241)</f>
        <v>0.17774495322501233</v>
      </c>
      <c r="J241" s="233">
        <f ca="1">IF($T$239,Output!J97,J241)</f>
        <v>0.18228241563055061</v>
      </c>
      <c r="K241" s="233"/>
    </row>
    <row r="242" spans="1:11" s="248" customFormat="1" x14ac:dyDescent="0.3">
      <c r="A242" s="246"/>
    </row>
    <row r="243" spans="1:11" s="248" customFormat="1" x14ac:dyDescent="0.3">
      <c r="A243" s="246"/>
      <c r="B243" s="248" t="s">
        <v>276</v>
      </c>
      <c r="E243" s="248">
        <f ca="1">IF($T$239,Output!E99,E243)</f>
        <v>200.06299999999999</v>
      </c>
      <c r="F243" s="248">
        <f ca="1">IF($T$239,Output!F99,F243)</f>
        <v>187.00000000000003</v>
      </c>
      <c r="G243" s="248">
        <f ca="1">IF($T$239,Output!G99,G243)</f>
        <v>200.00000000000003</v>
      </c>
      <c r="H243" s="248">
        <f ca="1">IF($T$239,Output!H99,H243)</f>
        <v>240.00000000000003</v>
      </c>
      <c r="I243" s="248">
        <f ca="1">IF($T$239,Output!I99,I243)</f>
        <v>255.00000000000006</v>
      </c>
      <c r="J243" s="248">
        <f ca="1">IF($T$239,Output!J99,J243)</f>
        <v>258</v>
      </c>
    </row>
    <row r="244" spans="1:11" s="248" customFormat="1" x14ac:dyDescent="0.3">
      <c r="A244" s="246"/>
    </row>
    <row r="245" spans="1:11" s="248" customFormat="1" x14ac:dyDescent="0.3">
      <c r="A245" s="246"/>
      <c r="B245" s="248" t="s">
        <v>419</v>
      </c>
      <c r="E245" s="248">
        <f ca="1">IF($T$239,Output!E101,E245)</f>
        <v>8.8840000000000003</v>
      </c>
      <c r="F245" s="248">
        <f ca="1">IF($T$239,Output!F101,F245)</f>
        <v>232.14171744960814</v>
      </c>
      <c r="G245" s="248">
        <f ca="1">IF($T$239,Output!G101,G245)</f>
        <v>229.39313188354407</v>
      </c>
      <c r="H245" s="248">
        <f ca="1">IF($T$239,Output!H101,H245)</f>
        <v>222.82812092606059</v>
      </c>
      <c r="I245" s="248">
        <f ca="1">IF($T$239,Output!I101,I245)</f>
        <v>214.34379949388887</v>
      </c>
      <c r="J245" s="248">
        <f ca="1">IF($T$239,Output!J101,J245)</f>
        <v>204.0426576370543</v>
      </c>
    </row>
    <row r="246" spans="1:11" s="248" customFormat="1" x14ac:dyDescent="0.3">
      <c r="A246" s="246"/>
    </row>
    <row r="247" spans="1:11" s="248" customFormat="1" x14ac:dyDescent="0.3">
      <c r="A247" s="246"/>
      <c r="B247" s="248" t="s">
        <v>314</v>
      </c>
      <c r="E247" s="563">
        <f ca="1">IF($T$239,Output!E103,E247)</f>
        <v>4426.385057812111</v>
      </c>
      <c r="F247" s="563">
        <f ca="1">IF($T$239,Output!F103,F247)</f>
        <v>4412.1550186816075</v>
      </c>
      <c r="G247" s="563">
        <f ca="1">IF($T$239,Output!G103,G247)</f>
        <v>4278.0894119227651</v>
      </c>
      <c r="H247" s="563">
        <f ca="1">IF($T$239,Output!H103,H247)</f>
        <v>4057.950185388775</v>
      </c>
      <c r="I247" s="563">
        <f ca="1">IF($T$239,Output!I103,I247)</f>
        <v>3820.3311842331973</v>
      </c>
      <c r="J247" s="563">
        <f ca="1">IF($T$239,Output!J103,J247)</f>
        <v>3502.1681692999318</v>
      </c>
    </row>
    <row r="248" spans="1:11" s="248" customFormat="1" x14ac:dyDescent="0.3">
      <c r="A248" s="246"/>
      <c r="B248" s="410" t="s">
        <v>384</v>
      </c>
      <c r="C248" s="410"/>
      <c r="D248" s="410"/>
      <c r="E248" s="410"/>
      <c r="F248" s="410"/>
      <c r="G248" s="410"/>
      <c r="H248" s="410"/>
      <c r="I248" s="410"/>
      <c r="J248" s="410"/>
      <c r="K248" s="410"/>
    </row>
    <row r="249" spans="1:11" s="248" customFormat="1" x14ac:dyDescent="0.3">
      <c r="A249" s="246"/>
      <c r="B249" s="248" t="s">
        <v>316</v>
      </c>
      <c r="E249" s="286">
        <f ca="1">IF($T$239,Output!E105,E249)</f>
        <v>4405.0435078121109</v>
      </c>
      <c r="F249" s="286">
        <f ca="1">IF($T$239,Output!F105,F249)</f>
        <v>4390.8134686816074</v>
      </c>
      <c r="G249" s="286">
        <f ca="1">IF($T$239,Output!G105,G249)</f>
        <v>4256.747861922765</v>
      </c>
      <c r="H249" s="286">
        <f ca="1">IF($T$239,Output!H105,H249)</f>
        <v>4036.6086353887749</v>
      </c>
      <c r="I249" s="286">
        <f ca="1">IF($T$239,Output!I105,I249)</f>
        <v>3798.9896342331972</v>
      </c>
      <c r="J249" s="286">
        <f ca="1">IF($T$239,Output!J105,J249)</f>
        <v>3480.8266192999317</v>
      </c>
    </row>
    <row r="250" spans="1:11" s="248" customFormat="1" x14ac:dyDescent="0.3">
      <c r="A250" s="246"/>
    </row>
    <row r="251" spans="1:11" s="248" customFormat="1" x14ac:dyDescent="0.3">
      <c r="A251" s="246"/>
      <c r="B251" s="248" t="s">
        <v>331</v>
      </c>
      <c r="E251" s="234">
        <f ca="1">IF($T$239,Output!E107,E251)</f>
        <v>10.978409831447836</v>
      </c>
      <c r="F251" s="234">
        <f ca="1">IF($T$239,Output!F107,F251)</f>
        <v>9.6335262502717622</v>
      </c>
      <c r="G251" s="234">
        <f ca="1">IF($T$239,Output!G107,G251)</f>
        <v>8.0264341810741993</v>
      </c>
      <c r="H251" s="234">
        <f ca="1">IF($T$239,Output!H107,H251)</f>
        <v>6.503125175897698</v>
      </c>
      <c r="I251" s="234">
        <f ca="1">IF($T$239,Output!I107,I251)</f>
        <v>5.2913173221585286</v>
      </c>
      <c r="J251" s="234">
        <f ca="1">IF($T$239,Output!J107,J251)</f>
        <v>4.2657345790191101</v>
      </c>
      <c r="K251" s="234"/>
    </row>
    <row r="252" spans="1:11" s="248" customFormat="1" x14ac:dyDescent="0.3">
      <c r="A252" s="246"/>
      <c r="B252" s="248" t="s">
        <v>332</v>
      </c>
      <c r="E252" s="234">
        <f ca="1">IF($T$239,Output!E108,E252)</f>
        <v>10.925478087108937</v>
      </c>
      <c r="F252" s="234">
        <f ca="1">IF($T$239,Output!F108,F252)</f>
        <v>9.5869289795294037</v>
      </c>
      <c r="G252" s="234">
        <f ca="1">IF($T$239,Output!G108,G252)</f>
        <v>7.986393749554499</v>
      </c>
      <c r="H252" s="234">
        <f ca="1">IF($T$239,Output!H108,H252)</f>
        <v>6.4689239739746212</v>
      </c>
      <c r="I252" s="234">
        <f ca="1">IF($T$239,Output!I108,I252)</f>
        <v>5.2617583886405228</v>
      </c>
      <c r="J252" s="234">
        <f ca="1">IF($T$239,Output!J108,J252)</f>
        <v>4.2397399992383553</v>
      </c>
      <c r="K252" s="234"/>
    </row>
    <row r="253" spans="1:11" s="248" customFormat="1" x14ac:dyDescent="0.3">
      <c r="A253" s="246"/>
      <c r="B253" s="248" t="s">
        <v>429</v>
      </c>
      <c r="F253" s="234">
        <f ca="1">IF($T$239,Output!F109,F253)</f>
        <v>2.0590835522895827</v>
      </c>
      <c r="G253" s="234">
        <f ca="1">IF($T$239,Output!G109,G253)</f>
        <v>2.4262512349272631</v>
      </c>
      <c r="H253" s="234">
        <f ca="1">IF($T$239,Output!H109,H253)</f>
        <v>2.9279903805890068</v>
      </c>
      <c r="I253" s="234">
        <f ca="1">IF($T$239,Output!I109,I253)</f>
        <v>3.5282998733207358</v>
      </c>
      <c r="J253" s="234">
        <f ca="1">IF($T$239,Output!J109,J253)</f>
        <v>4.2247724910517945</v>
      </c>
      <c r="K253" s="234"/>
    </row>
    <row r="254" spans="1:11" s="248" customFormat="1" ht="13.5" thickBot="1" x14ac:dyDescent="0.35">
      <c r="A254" s="246"/>
      <c r="B254" s="267" t="s">
        <v>430</v>
      </c>
      <c r="C254" s="267"/>
      <c r="D254" s="267"/>
      <c r="E254" s="267"/>
      <c r="F254" s="289">
        <f ca="1">IF($T$239,Output!F110,F254)</f>
        <v>1.2183660320316094</v>
      </c>
      <c r="G254" s="289">
        <f ca="1">IF($T$239,Output!G110,G254)</f>
        <v>1.5158380135661889</v>
      </c>
      <c r="H254" s="289">
        <f ca="1">IF($T$239,Output!H110,H254)</f>
        <v>1.8018402342086199</v>
      </c>
      <c r="I254" s="289">
        <f ca="1">IF($T$239,Output!I110,I254)</f>
        <v>2.2821551812199217</v>
      </c>
      <c r="J254" s="289">
        <f ca="1">IF($T$239,Output!J110,J254)</f>
        <v>2.8971338763241903</v>
      </c>
      <c r="K254" s="289"/>
    </row>
    <row r="255" spans="1:11" s="248" customFormat="1" x14ac:dyDescent="0.3">
      <c r="A255" s="246"/>
    </row>
    <row r="256" spans="1:11" s="256" customFormat="1" x14ac:dyDescent="0.3">
      <c r="A256" s="249" t="s">
        <v>31</v>
      </c>
      <c r="B256" s="276" t="str">
        <f ca="1">IF(T261,"Returns ("&amp;'LBO Model'!$E$4&amp;")",B256)</f>
        <v>Returns (Upside Case)</v>
      </c>
    </row>
    <row r="257" spans="1:20" s="248" customFormat="1" x14ac:dyDescent="0.3">
      <c r="A257" s="246"/>
      <c r="B257" s="248" t="s">
        <v>829</v>
      </c>
    </row>
    <row r="258" spans="1:20" s="248" customFormat="1" x14ac:dyDescent="0.3">
      <c r="A258" s="246"/>
    </row>
    <row r="259" spans="1:20" s="246" customFormat="1" x14ac:dyDescent="0.3">
      <c r="B259" s="249" t="s">
        <v>111</v>
      </c>
      <c r="C259" s="249"/>
      <c r="D259" s="249"/>
      <c r="E259" s="249"/>
      <c r="F259" s="249"/>
      <c r="G259" s="249"/>
      <c r="H259" s="249" t="s">
        <v>368</v>
      </c>
      <c r="I259" s="249"/>
      <c r="J259" s="249" t="s">
        <v>475</v>
      </c>
    </row>
    <row r="260" spans="1:20" s="246" customFormat="1" ht="13.5" thickBot="1" x14ac:dyDescent="0.35">
      <c r="B260" s="308" t="s">
        <v>401</v>
      </c>
      <c r="C260" s="308"/>
      <c r="D260" s="308" t="s">
        <v>368</v>
      </c>
      <c r="E260" s="308"/>
      <c r="F260" s="308" t="s">
        <v>475</v>
      </c>
      <c r="G260" s="308"/>
      <c r="H260" s="308" t="s">
        <v>474</v>
      </c>
      <c r="I260" s="308"/>
      <c r="J260" s="308" t="s">
        <v>474</v>
      </c>
      <c r="T260" s="248" t="s">
        <v>772</v>
      </c>
    </row>
    <row r="261" spans="1:20" s="248" customFormat="1" x14ac:dyDescent="0.3">
      <c r="A261" s="246"/>
      <c r="B261" s="234">
        <f ca="1">IF($T$261,Output!B117,B261)</f>
        <v>15.053721437454225</v>
      </c>
      <c r="D261" s="233">
        <f ca="1">IF($T$261,Output!D117,D261)</f>
        <v>0.28329196891936514</v>
      </c>
      <c r="F261" s="286">
        <f ca="1">IF($T$261,Output!F117,F261)</f>
        <v>6327.3319395707713</v>
      </c>
      <c r="H261" s="233">
        <f ca="1">IF($T$261,Output!H117,H261)</f>
        <v>0.2852536527321054</v>
      </c>
      <c r="J261" s="286">
        <f ca="1">IF($T$261,Output!J117,J261)</f>
        <v>6346.7401650598731</v>
      </c>
      <c r="T261" s="562" t="b">
        <f>AND(Unlock,UpsideCase,KLGHighBid)</f>
        <v>0</v>
      </c>
    </row>
    <row r="262" spans="1:20" s="248" customFormat="1" x14ac:dyDescent="0.3">
      <c r="A262" s="246"/>
      <c r="B262" s="234">
        <f ca="1">IF($T$261,Output!B118,B262)</f>
        <v>15.720388104120891</v>
      </c>
      <c r="D262" s="233">
        <f ca="1">IF($T$261,Output!D118,D262)</f>
        <v>0.29873825644384305</v>
      </c>
      <c r="F262" s="286">
        <f ca="1">IF($T$261,Output!F118,F262)</f>
        <v>6874.6652727066685</v>
      </c>
      <c r="H262" s="233">
        <f ca="1">IF($T$261,Output!H118,H262)</f>
        <v>0.30072355197779554</v>
      </c>
      <c r="J262" s="286">
        <f ca="1">IF($T$261,Output!J118,J262)</f>
        <v>6894.0734981957703</v>
      </c>
    </row>
    <row r="263" spans="1:20" s="248" customFormat="1" x14ac:dyDescent="0.3">
      <c r="A263" s="246"/>
      <c r="B263" s="234">
        <f ca="1">IF($T$261,Output!B119,B263)</f>
        <v>16.387054770787557</v>
      </c>
      <c r="D263" s="233">
        <f ca="1">IF($T$261,Output!D119,D263)</f>
        <v>0.31348285898453793</v>
      </c>
      <c r="F263" s="286">
        <f ca="1">IF($T$261,Output!F119,F263)</f>
        <v>7421.9986058425657</v>
      </c>
      <c r="H263" s="233">
        <f ca="1">IF($T$261,Output!H119,H263)</f>
        <v>0.3154906936201376</v>
      </c>
      <c r="J263" s="286">
        <f ca="1">IF($T$261,Output!J119,J263)</f>
        <v>7441.4068313316675</v>
      </c>
    </row>
    <row r="264" spans="1:20" s="248" customFormat="1" x14ac:dyDescent="0.3">
      <c r="A264" s="246"/>
      <c r="B264" s="420">
        <f ca="1">IF($T$261,Output!B120,B264)</f>
        <v>17.053721437454225</v>
      </c>
      <c r="C264" s="376"/>
      <c r="D264" s="377">
        <f ca="1">IF($T$261,Output!D120,D264)</f>
        <v>0.32759366278397745</v>
      </c>
      <c r="E264" s="376"/>
      <c r="F264" s="378">
        <f ca="1">IF($T$261,Output!F120,F264)</f>
        <v>7969.3319389784665</v>
      </c>
      <c r="G264" s="376"/>
      <c r="H264" s="377">
        <f ca="1">IF($T$261,Output!H120,H264)</f>
        <v>0.32962306767488797</v>
      </c>
      <c r="I264" s="376"/>
      <c r="J264" s="379">
        <f ca="1">IF($T$261,Output!J120,J264)</f>
        <v>7988.7401644675683</v>
      </c>
    </row>
    <row r="265" spans="1:20" s="248" customFormat="1" x14ac:dyDescent="0.3">
      <c r="A265" s="246"/>
      <c r="B265" s="234">
        <f ca="1">IF($T$261,Output!B121,B265)</f>
        <v>17.720388104120893</v>
      </c>
      <c r="D265" s="233">
        <f ca="1">IF($T$261,Output!D121,D265)</f>
        <v>0.34112885607243548</v>
      </c>
      <c r="F265" s="286">
        <f ca="1">IF($T$261,Output!F121,F265)</f>
        <v>8516.6652721143637</v>
      </c>
      <c r="H265" s="233">
        <f ca="1">IF($T$261,Output!H121,H265)</f>
        <v>0.34317895132086002</v>
      </c>
      <c r="J265" s="286">
        <f ca="1">IF($T$261,Output!J121,J265)</f>
        <v>8536.0734976034655</v>
      </c>
    </row>
    <row r="266" spans="1:20" s="248" customFormat="1" x14ac:dyDescent="0.3">
      <c r="A266" s="246"/>
      <c r="B266" s="234">
        <f ca="1">IF($T$261,Output!B122,B266)</f>
        <v>18.387054770787561</v>
      </c>
      <c r="D266" s="233">
        <f ca="1">IF($T$261,Output!D122,D266)</f>
        <v>0.35413871843868894</v>
      </c>
      <c r="F266" s="286">
        <f ca="1">IF($T$261,Output!F122,F266)</f>
        <v>9063.9986052502645</v>
      </c>
      <c r="H266" s="233">
        <f ca="1">IF($T$261,Output!H122,H266)</f>
        <v>0.35620870100605262</v>
      </c>
      <c r="J266" s="286">
        <f ca="1">IF($T$261,Output!J122,J266)</f>
        <v>9083.4068307393663</v>
      </c>
    </row>
    <row r="267" spans="1:20" s="248" customFormat="1" ht="13.5" thickBot="1" x14ac:dyDescent="0.35">
      <c r="A267" s="246"/>
      <c r="B267" s="289">
        <f ca="1">IF($T$261,Output!B123,B267)</f>
        <v>19.053721437454229</v>
      </c>
      <c r="C267" s="267"/>
      <c r="D267" s="238">
        <f ca="1">IF($T$261,Output!D123,D267)</f>
        <v>0.36666701238622534</v>
      </c>
      <c r="E267" s="267"/>
      <c r="F267" s="427">
        <f ca="1">IF($T$261,Output!F123,F267)</f>
        <v>9611.3319383861653</v>
      </c>
      <c r="G267" s="267"/>
      <c r="H267" s="238">
        <f ca="1">IF($T$261,Output!H123,H267)</f>
        <v>0.36875614613017127</v>
      </c>
      <c r="I267" s="267"/>
      <c r="J267" s="427">
        <f ca="1">IF($T$261,Output!J123,J267)</f>
        <v>9630.7401638752672</v>
      </c>
    </row>
    <row r="268" spans="1:20" s="248" customFormat="1" x14ac:dyDescent="0.3">
      <c r="A268" s="246"/>
      <c r="B268" s="234"/>
      <c r="D268" s="233"/>
      <c r="F268" s="286"/>
      <c r="H268" s="233"/>
      <c r="J268" s="286"/>
    </row>
    <row r="269" spans="1:20" s="256" customFormat="1" ht="13.5" thickBot="1" x14ac:dyDescent="0.35">
      <c r="A269" s="246" t="s">
        <v>31</v>
      </c>
      <c r="B269" s="413" t="str">
        <f ca="1">IF(T272,"Returns Summary ("&amp;'LBO Model'!$E$4&amp;")",B269)</f>
        <v>Returns Summary (Downside Case)</v>
      </c>
      <c r="C269" s="274"/>
      <c r="D269" s="274"/>
      <c r="E269" s="274"/>
      <c r="F269" s="274"/>
      <c r="G269" s="274"/>
      <c r="H269" s="274"/>
      <c r="I269" s="274"/>
      <c r="J269" s="274"/>
      <c r="K269" s="274"/>
    </row>
    <row r="270" spans="1:20" s="248" customFormat="1" x14ac:dyDescent="0.3">
      <c r="A270" s="246"/>
      <c r="B270" s="236"/>
      <c r="E270" s="249" t="s">
        <v>109</v>
      </c>
      <c r="F270" s="268" t="s">
        <v>364</v>
      </c>
      <c r="G270" s="268"/>
      <c r="H270" s="268"/>
      <c r="I270" s="268"/>
      <c r="J270" s="268"/>
      <c r="K270" s="249" t="s">
        <v>145</v>
      </c>
    </row>
    <row r="271" spans="1:20" s="248" customFormat="1" ht="14.5" x14ac:dyDescent="0.45">
      <c r="A271" s="246"/>
      <c r="E271" s="404">
        <f>'LBO Model'!K39</f>
        <v>42731</v>
      </c>
      <c r="F271" s="405">
        <f>'LBO Model'!L39</f>
        <v>43096</v>
      </c>
      <c r="G271" s="405">
        <f>'LBO Model'!M39</f>
        <v>43461</v>
      </c>
      <c r="H271" s="405">
        <f>'LBO Model'!N39</f>
        <v>43826</v>
      </c>
      <c r="I271" s="405">
        <f>'LBO Model'!O39</f>
        <v>44192</v>
      </c>
      <c r="J271" s="405">
        <f>'LBO Model'!P39</f>
        <v>44557</v>
      </c>
      <c r="K271" s="406" t="s">
        <v>729</v>
      </c>
      <c r="T271" s="248" t="s">
        <v>772</v>
      </c>
    </row>
    <row r="272" spans="1:20" s="248" customFormat="1" x14ac:dyDescent="0.3">
      <c r="A272" s="246"/>
      <c r="B272" s="248" t="s">
        <v>111</v>
      </c>
      <c r="E272" s="286">
        <f ca="1">IF($T$272,Output!E95,E272)</f>
        <v>403.19000000000017</v>
      </c>
      <c r="F272" s="286">
        <f ca="1">IF($T$272,Output!F95,F272)</f>
        <v>440.89999999999992</v>
      </c>
      <c r="G272" s="286">
        <f ca="1">IF($T$272,Output!G95,G272)</f>
        <v>477.61880226233177</v>
      </c>
      <c r="H272" s="286">
        <f ca="1">IF($T$272,Output!H95,H272)</f>
        <v>522.74114173653265</v>
      </c>
      <c r="I272" s="286">
        <f ca="1">IF($T$272,Output!I95,I272)</f>
        <v>568.05841111242114</v>
      </c>
      <c r="J272" s="286">
        <f ca="1">IF($T$272,Output!J95,J272)</f>
        <v>612.8837140711604</v>
      </c>
      <c r="K272" s="229">
        <f ca="1">IF($T$272,Output!K95,K272)</f>
        <v>8.7360783562987265E-2</v>
      </c>
      <c r="T272" s="562" t="b">
        <f>AND(Unlock,DownsideCase,KLGHighBid)</f>
        <v>0</v>
      </c>
    </row>
    <row r="273" spans="1:11" s="248" customFormat="1" x14ac:dyDescent="0.3">
      <c r="A273" s="246"/>
      <c r="B273" s="279" t="s">
        <v>140</v>
      </c>
      <c r="E273" s="233"/>
      <c r="F273" s="233">
        <f ca="1">IF($T$272,Output!F96,F273)</f>
        <v>1.8155308621848887E-2</v>
      </c>
      <c r="G273" s="233">
        <f ca="1">IF($T$272,Output!G96,G273)</f>
        <v>8.3281474852192172E-2</v>
      </c>
      <c r="H273" s="233">
        <f ca="1">IF($T$272,Output!H96,H273)</f>
        <v>9.4473540950377632E-2</v>
      </c>
      <c r="I273" s="233">
        <f ca="1">IF($T$272,Output!I96,I273)</f>
        <v>8.6691606528895113E-2</v>
      </c>
      <c r="J273" s="233">
        <f ca="1">IF($T$272,Output!J96,J273)</f>
        <v>7.8909672107412593E-2</v>
      </c>
      <c r="K273" s="233"/>
    </row>
    <row r="274" spans="1:11" s="248" customFormat="1" x14ac:dyDescent="0.3">
      <c r="A274" s="246"/>
      <c r="B274" s="279" t="s">
        <v>365</v>
      </c>
      <c r="E274" s="233">
        <f ca="1">IF($T$272,Output!E97,E274)</f>
        <v>0.14423518932232468</v>
      </c>
      <c r="F274" s="233">
        <f ca="1">IF($T$272,Output!F97,F274)</f>
        <v>0.15491288628461541</v>
      </c>
      <c r="G274" s="233">
        <f ca="1">IF($T$272,Output!G97,G274)</f>
        <v>0.15491288628461553</v>
      </c>
      <c r="H274" s="233">
        <f ca="1">IF($T$272,Output!H97,H274)</f>
        <v>0.15491288628461555</v>
      </c>
      <c r="I274" s="233">
        <f ca="1">IF($T$272,Output!I97,I274)</f>
        <v>0.15491288628461544</v>
      </c>
      <c r="J274" s="233">
        <f ca="1">IF($T$272,Output!J97,J274)</f>
        <v>0.15491288628461553</v>
      </c>
      <c r="K274" s="233"/>
    </row>
    <row r="275" spans="1:11" s="248" customFormat="1" x14ac:dyDescent="0.3">
      <c r="A275" s="246"/>
    </row>
    <row r="276" spans="1:11" s="248" customFormat="1" x14ac:dyDescent="0.3">
      <c r="A276" s="246"/>
      <c r="B276" s="248" t="s">
        <v>276</v>
      </c>
      <c r="E276" s="248">
        <f ca="1">IF($T$272,Output!E99,E276)</f>
        <v>200.06299999999999</v>
      </c>
      <c r="F276" s="248">
        <f ca="1">IF($T$272,Output!F99,F276)</f>
        <v>210.89375000000007</v>
      </c>
      <c r="G276" s="248">
        <f ca="1">IF($T$272,Output!G99,G276)</f>
        <v>199.77150000000009</v>
      </c>
      <c r="H276" s="248">
        <f ca="1">IF($T$272,Output!H99,H276)</f>
        <v>195.88400000000007</v>
      </c>
      <c r="I276" s="248">
        <f ca="1">IF($T$272,Output!I99,I276)</f>
        <v>185.25287532717616</v>
      </c>
      <c r="J276" s="248">
        <f ca="1">IF($T$272,Output!J99,J276)</f>
        <v>180.66248962444394</v>
      </c>
    </row>
    <row r="277" spans="1:11" s="248" customFormat="1" x14ac:dyDescent="0.3">
      <c r="A277" s="246"/>
    </row>
    <row r="278" spans="1:11" s="248" customFormat="1" x14ac:dyDescent="0.3">
      <c r="A278" s="246"/>
      <c r="B278" s="248" t="s">
        <v>419</v>
      </c>
      <c r="E278" s="248">
        <f ca="1">IF($T$272,Output!E101,E278)</f>
        <v>8.8840000000000003</v>
      </c>
      <c r="F278" s="248">
        <f ca="1">IF($T$272,Output!F101,F278)</f>
        <v>174.06460534459052</v>
      </c>
      <c r="G278" s="248">
        <f ca="1">IF($T$272,Output!G101,G278)</f>
        <v>170.95818216184563</v>
      </c>
      <c r="H278" s="248">
        <f ca="1">IF($T$272,Output!H101,H278)</f>
        <v>165.37102188100195</v>
      </c>
      <c r="I278" s="248">
        <f ca="1">IF($T$272,Output!I101,I278)</f>
        <v>158.21217694654828</v>
      </c>
      <c r="J278" s="248">
        <f ca="1">IF($T$272,Output!J101,J278)</f>
        <v>148.47389101280788</v>
      </c>
    </row>
    <row r="279" spans="1:11" s="248" customFormat="1" x14ac:dyDescent="0.3">
      <c r="A279" s="246"/>
    </row>
    <row r="280" spans="1:11" s="248" customFormat="1" x14ac:dyDescent="0.3">
      <c r="A280" s="246"/>
      <c r="B280" s="248" t="s">
        <v>314</v>
      </c>
      <c r="E280" s="563">
        <f ca="1">IF($T$272,Output!E103,E280)</f>
        <v>2999.9999900881085</v>
      </c>
      <c r="F280" s="563">
        <f ca="1">IF($T$272,Output!F103,F280)</f>
        <v>2965.8684047406796</v>
      </c>
      <c r="G280" s="563">
        <f ca="1">IF($T$272,Output!G103,G280)</f>
        <v>2832.3977790498029</v>
      </c>
      <c r="H280" s="563">
        <f ca="1">IF($T$272,Output!H103,H280)</f>
        <v>2664.421898045835</v>
      </c>
      <c r="I280" s="563">
        <f ca="1">IF($T$272,Output!I103,I280)</f>
        <v>2446.1534814212851</v>
      </c>
      <c r="J280" s="563">
        <f ca="1">IF($T$272,Output!J103,J280)</f>
        <v>2184.6925919146884</v>
      </c>
    </row>
    <row r="281" spans="1:11" s="248" customFormat="1" x14ac:dyDescent="0.3">
      <c r="A281" s="246"/>
      <c r="B281" s="410" t="s">
        <v>384</v>
      </c>
      <c r="C281" s="410"/>
      <c r="D281" s="410"/>
      <c r="E281" s="410">
        <f ca="1">IF($T$272,Output!E104,E281)</f>
        <v>21.341549999999998</v>
      </c>
      <c r="F281" s="410">
        <f ca="1">IF($T$272,Output!F104,F281)</f>
        <v>21.341550000000002</v>
      </c>
      <c r="G281" s="410">
        <f ca="1">IF($T$272,Output!G104,G281)</f>
        <v>21.341550000000002</v>
      </c>
      <c r="H281" s="410">
        <f ca="1">IF($T$272,Output!H104,H281)</f>
        <v>21.341550000000002</v>
      </c>
      <c r="I281" s="410">
        <f ca="1">IF($T$272,Output!I104,I281)</f>
        <v>21.341550000000002</v>
      </c>
      <c r="J281" s="410">
        <f ca="1">IF($T$272,Output!J104,J281)</f>
        <v>21.341550000000002</v>
      </c>
      <c r="K281" s="410"/>
    </row>
    <row r="282" spans="1:11" s="248" customFormat="1" x14ac:dyDescent="0.3">
      <c r="A282" s="246"/>
      <c r="B282" s="248" t="s">
        <v>316</v>
      </c>
      <c r="E282" s="286">
        <f ca="1">IF($T$272,Output!E105,E282)</f>
        <v>2978.6584400881084</v>
      </c>
      <c r="F282" s="286">
        <f ca="1">IF($T$272,Output!F105,F282)</f>
        <v>2944.5268547406795</v>
      </c>
      <c r="G282" s="286">
        <f ca="1">IF($T$272,Output!G105,G282)</f>
        <v>2811.0562290498028</v>
      </c>
      <c r="H282" s="286">
        <f ca="1">IF($T$272,Output!H105,H282)</f>
        <v>2643.0803480458349</v>
      </c>
      <c r="I282" s="286">
        <f ca="1">IF($T$272,Output!I105,I282)</f>
        <v>2424.811931421285</v>
      </c>
      <c r="J282" s="286">
        <f ca="1">IF($T$272,Output!J105,J282)</f>
        <v>2163.3510419146883</v>
      </c>
    </row>
    <row r="283" spans="1:11" s="248" customFormat="1" x14ac:dyDescent="0.3">
      <c r="A283" s="246"/>
    </row>
    <row r="284" spans="1:11" s="248" customFormat="1" x14ac:dyDescent="0.3">
      <c r="A284" s="246"/>
      <c r="B284" s="248" t="s">
        <v>331</v>
      </c>
      <c r="E284" s="234">
        <f ca="1">IF($T$272,Output!E107,E284)</f>
        <v>7.4406607061631487</v>
      </c>
      <c r="F284" s="234">
        <f ca="1">IF($T$272,Output!F107,F284)</f>
        <v>6.7268505438485775</v>
      </c>
      <c r="G284" s="234">
        <f ca="1">IF($T$272,Output!G107,G284)</f>
        <v>5.9302476484211715</v>
      </c>
      <c r="H284" s="234">
        <f ca="1">IF($T$272,Output!H107,H284)</f>
        <v>5.0970197009968095</v>
      </c>
      <c r="I284" s="234">
        <f ca="1">IF($T$272,Output!I107,I284)</f>
        <v>4.3061654109407819</v>
      </c>
      <c r="J284" s="234">
        <f ca="1">IF($T$272,Output!J107,J284)</f>
        <v>3.5646119184495224</v>
      </c>
      <c r="K284" s="234"/>
    </row>
    <row r="285" spans="1:11" s="248" customFormat="1" x14ac:dyDescent="0.3">
      <c r="A285" s="246"/>
      <c r="B285" s="248" t="s">
        <v>332</v>
      </c>
      <c r="E285" s="234">
        <f ca="1">IF($T$272,Output!E108,E285)</f>
        <v>7.3877289618242514</v>
      </c>
      <c r="F285" s="234">
        <f ca="1">IF($T$272,Output!F108,F285)</f>
        <v>6.6784460303534541</v>
      </c>
      <c r="G285" s="234">
        <f ca="1">IF($T$272,Output!G108,G285)</f>
        <v>5.8855644200831918</v>
      </c>
      <c r="H285" s="234">
        <f ca="1">IF($T$272,Output!H108,H285)</f>
        <v>5.0561934711555852</v>
      </c>
      <c r="I285" s="234">
        <f ca="1">IF($T$272,Output!I108,I285)</f>
        <v>4.2685961230251124</v>
      </c>
      <c r="J285" s="234">
        <f ca="1">IF($T$272,Output!J108,J285)</f>
        <v>3.5297903862240436</v>
      </c>
      <c r="K285" s="234"/>
    </row>
    <row r="286" spans="1:11" s="248" customFormat="1" x14ac:dyDescent="0.3">
      <c r="A286" s="246"/>
      <c r="B286" s="248" t="s">
        <v>429</v>
      </c>
      <c r="F286" s="234">
        <f ca="1">IF($T$272,Output!F109,F286)</f>
        <v>2.6101246212882518</v>
      </c>
      <c r="G286" s="234">
        <f ca="1">IF($T$272,Output!G109,G286)</f>
        <v>2.8804715247760462</v>
      </c>
      <c r="H286" s="234">
        <f ca="1">IF($T$272,Output!H109,H286)</f>
        <v>3.2625329001025385</v>
      </c>
      <c r="I286" s="234">
        <f ca="1">IF($T$272,Output!I109,I286)</f>
        <v>3.711181968662483</v>
      </c>
      <c r="J286" s="234">
        <f ca="1">IF($T$272,Output!J109,J286)</f>
        <v>4.2760793720368095</v>
      </c>
      <c r="K286" s="234"/>
    </row>
    <row r="287" spans="1:11" s="248" customFormat="1" ht="13.5" thickBot="1" x14ac:dyDescent="0.35">
      <c r="A287" s="246"/>
      <c r="B287" s="267" t="s">
        <v>430</v>
      </c>
      <c r="C287" s="267"/>
      <c r="D287" s="267"/>
      <c r="E287" s="267"/>
      <c r="F287" s="289">
        <f ca="1">IF($T$272,Output!F110,F287)</f>
        <v>1.3616352374125213</v>
      </c>
      <c r="G287" s="289">
        <f ca="1">IF($T$272,Output!G110,G287)</f>
        <v>1.675669464040296</v>
      </c>
      <c r="H287" s="289">
        <f ca="1">IF($T$272,Output!H110,H287)</f>
        <v>2.0399813471853809</v>
      </c>
      <c r="I287" s="289">
        <f ca="1">IF($T$272,Output!I110,I287)</f>
        <v>2.500906551367351</v>
      </c>
      <c r="J287" s="289">
        <f ca="1">IF($T$272,Output!J110,J287)</f>
        <v>3.0156002184102824</v>
      </c>
      <c r="K287" s="289"/>
    </row>
    <row r="288" spans="1:11" s="248" customFormat="1" x14ac:dyDescent="0.3">
      <c r="A288" s="246"/>
    </row>
    <row r="289" spans="1:20" s="256" customFormat="1" x14ac:dyDescent="0.3">
      <c r="A289" s="249" t="s">
        <v>31</v>
      </c>
      <c r="B289" s="276" t="str">
        <f ca="1">IF(T294,"Returns ("&amp;'LBO Model'!$E$4&amp;")",B289)</f>
        <v>Returns (Downside Case)</v>
      </c>
    </row>
    <row r="290" spans="1:20" s="248" customFormat="1" x14ac:dyDescent="0.3">
      <c r="A290" s="246"/>
      <c r="B290" s="248" t="s">
        <v>829</v>
      </c>
    </row>
    <row r="291" spans="1:20" s="248" customFormat="1" x14ac:dyDescent="0.3">
      <c r="A291" s="246"/>
    </row>
    <row r="292" spans="1:20" s="246" customFormat="1" x14ac:dyDescent="0.3">
      <c r="B292" s="249" t="s">
        <v>111</v>
      </c>
      <c r="C292" s="249"/>
      <c r="D292" s="249"/>
      <c r="E292" s="249"/>
      <c r="F292" s="249"/>
      <c r="G292" s="249"/>
      <c r="H292" s="249" t="s">
        <v>368</v>
      </c>
      <c r="I292" s="249"/>
      <c r="J292" s="249" t="s">
        <v>475</v>
      </c>
    </row>
    <row r="293" spans="1:20" s="246" customFormat="1" ht="13.5" thickBot="1" x14ac:dyDescent="0.35">
      <c r="B293" s="308" t="s">
        <v>401</v>
      </c>
      <c r="C293" s="308"/>
      <c r="D293" s="308" t="s">
        <v>368</v>
      </c>
      <c r="E293" s="308"/>
      <c r="F293" s="308" t="s">
        <v>475</v>
      </c>
      <c r="G293" s="308"/>
      <c r="H293" s="308" t="s">
        <v>474</v>
      </c>
      <c r="I293" s="308"/>
      <c r="J293" s="308" t="s">
        <v>474</v>
      </c>
      <c r="T293" s="248" t="s">
        <v>772</v>
      </c>
    </row>
    <row r="294" spans="1:20" s="248" customFormat="1" x14ac:dyDescent="0.3">
      <c r="A294" s="246"/>
      <c r="B294" s="234">
        <f ca="1">IF($T$294,Output!B117,B294)</f>
        <v>15.053721437454225</v>
      </c>
      <c r="D294" s="233">
        <f ca="1">IF($T$294,Output!D117,D294)</f>
        <v>0.12352076076077441</v>
      </c>
      <c r="F294" s="286">
        <f ca="1">IF($T$294,Output!F117,F294)</f>
        <v>3117.5915221644964</v>
      </c>
      <c r="H294" s="233">
        <f ca="1">IF($T$294,Output!H117,H294)</f>
        <v>0.12462944615715682</v>
      </c>
      <c r="J294" s="286">
        <f ca="1">IF($T$294,Output!J117,J294)</f>
        <v>3136.9997476535978</v>
      </c>
      <c r="T294" s="562" t="b">
        <f>AND(Unlock,DownsideCase,KLGHighBid)</f>
        <v>0</v>
      </c>
    </row>
    <row r="295" spans="1:20" s="248" customFormat="1" x14ac:dyDescent="0.3">
      <c r="A295" s="246"/>
      <c r="B295" s="234">
        <f ca="1">IF($T$294,Output!B118,B295)</f>
        <v>15.720388104120891</v>
      </c>
      <c r="D295" s="233">
        <f ca="1">IF($T$294,Output!D118,D295)</f>
        <v>0.13622926695852822</v>
      </c>
      <c r="F295" s="286">
        <f ca="1">IF($T$294,Output!F118,F295)</f>
        <v>3526.1806648745951</v>
      </c>
      <c r="H295" s="233">
        <f ca="1">IF($T$294,Output!H118,H295)</f>
        <v>0.13735049305351038</v>
      </c>
      <c r="J295" s="286">
        <f ca="1">IF($T$294,Output!J118,J295)</f>
        <v>3545.5888903636965</v>
      </c>
    </row>
    <row r="296" spans="1:20" s="248" customFormat="1" x14ac:dyDescent="0.3">
      <c r="A296" s="246"/>
      <c r="B296" s="234">
        <f ca="1">IF($T$294,Output!B119,B296)</f>
        <v>16.387054770787557</v>
      </c>
      <c r="D296" s="233">
        <f ca="1">IF($T$294,Output!D119,D296)</f>
        <v>0.14839339637369528</v>
      </c>
      <c r="F296" s="286">
        <f ca="1">IF($T$294,Output!F119,F296)</f>
        <v>3934.7698075846929</v>
      </c>
      <c r="H296" s="233">
        <f ca="1">IF($T$294,Output!H119,H296)</f>
        <v>0.1495266259786335</v>
      </c>
      <c r="J296" s="286">
        <f ca="1">IF($T$294,Output!J119,J296)</f>
        <v>3954.1780330737943</v>
      </c>
    </row>
    <row r="297" spans="1:20" s="248" customFormat="1" x14ac:dyDescent="0.3">
      <c r="A297" s="246"/>
      <c r="B297" s="420">
        <f ca="1">IF($T$294,Output!B120,B297)</f>
        <v>17.053721437454225</v>
      </c>
      <c r="C297" s="376"/>
      <c r="D297" s="377">
        <f ca="1">IF($T$294,Output!D120,D297)</f>
        <v>0.16006296243613291</v>
      </c>
      <c r="E297" s="376"/>
      <c r="F297" s="378">
        <f ca="1">IF($T$294,Output!F120,F297)</f>
        <v>4343.3589502947925</v>
      </c>
      <c r="G297" s="376"/>
      <c r="H297" s="377">
        <f ca="1">IF($T$294,Output!H120,H297)</f>
        <v>0.16120770751801619</v>
      </c>
      <c r="I297" s="376"/>
      <c r="J297" s="379">
        <f ca="1">IF($T$294,Output!J120,J297)</f>
        <v>4362.7671757838943</v>
      </c>
    </row>
    <row r="298" spans="1:20" s="248" customFormat="1" x14ac:dyDescent="0.3">
      <c r="A298" s="246"/>
      <c r="B298" s="234">
        <f ca="1">IF($T$294,Output!B121,B298)</f>
        <v>17.720388104120893</v>
      </c>
      <c r="D298" s="233">
        <f ca="1">IF($T$294,Output!D121,D298)</f>
        <v>0.17128102948383037</v>
      </c>
      <c r="F298" s="286">
        <f ca="1">IF($T$294,Output!F121,F298)</f>
        <v>4751.9480930048921</v>
      </c>
      <c r="H298" s="233">
        <f ca="1">IF($T$294,Output!H121,H298)</f>
        <v>0.17243684450507976</v>
      </c>
      <c r="J298" s="286">
        <f ca="1">IF($T$294,Output!J121,J298)</f>
        <v>4771.356318493994</v>
      </c>
    </row>
    <row r="299" spans="1:20" s="248" customFormat="1" x14ac:dyDescent="0.3">
      <c r="A299" s="246"/>
      <c r="B299" s="234">
        <f ca="1">IF($T$294,Output!B122,B299)</f>
        <v>18.387054770787561</v>
      </c>
      <c r="D299" s="233">
        <f ca="1">IF($T$294,Output!D122,D299)</f>
        <v>0.18208509673778392</v>
      </c>
      <c r="F299" s="286">
        <f ca="1">IF($T$294,Output!F122,F299)</f>
        <v>5160.5372357149899</v>
      </c>
      <c r="H299" s="233">
        <f ca="1">IF($T$294,Output!H122,H299)</f>
        <v>0.18325157316599625</v>
      </c>
      <c r="J299" s="286">
        <f ca="1">IF($T$294,Output!J122,J299)</f>
        <v>5179.9454612040918</v>
      </c>
    </row>
    <row r="300" spans="1:20" s="248" customFormat="1" ht="13.5" thickBot="1" x14ac:dyDescent="0.35">
      <c r="A300" s="246"/>
      <c r="B300" s="289">
        <f ca="1">IF($T$294,Output!B123,B300)</f>
        <v>19.053721437454229</v>
      </c>
      <c r="C300" s="267"/>
      <c r="D300" s="238">
        <f ca="1">IF($T$294,Output!D123,D300)</f>
        <v>0.19250803142495229</v>
      </c>
      <c r="E300" s="267"/>
      <c r="F300" s="427">
        <f ca="1">IF($T$294,Output!F123,F300)</f>
        <v>5569.1263784250878</v>
      </c>
      <c r="G300" s="267"/>
      <c r="H300" s="238">
        <f ca="1">IF($T$294,Output!H123,H300)</f>
        <v>0.1936847931597461</v>
      </c>
      <c r="I300" s="267"/>
      <c r="J300" s="427">
        <f ca="1">IF($T$294,Output!J123,J300)</f>
        <v>5588.5346039141896</v>
      </c>
    </row>
    <row r="301" spans="1:20" s="248" customFormat="1" x14ac:dyDescent="0.3">
      <c r="A301" s="246"/>
      <c r="B301" s="234"/>
      <c r="D301" s="233"/>
      <c r="F301" s="286"/>
      <c r="H301" s="233"/>
      <c r="J301" s="286"/>
    </row>
    <row r="302" spans="1:20" s="248" customFormat="1" x14ac:dyDescent="0.3">
      <c r="A302" s="246"/>
      <c r="B302" s="234"/>
      <c r="D302" s="233"/>
      <c r="F302" s="286"/>
      <c r="H302" s="233"/>
      <c r="J302" s="286"/>
    </row>
    <row r="303" spans="1:20" s="248" customFormat="1" x14ac:dyDescent="0.3">
      <c r="A303" s="246" t="s">
        <v>31</v>
      </c>
      <c r="B303" s="402" t="str">
        <f ca="1">IF($T$308,"Purchase Price Sensitivity ("&amp;'LBO Model'!$E$4&amp;")",B303)</f>
        <v>Purchase Price Sensitivity (Base Case)</v>
      </c>
      <c r="D303" s="233"/>
      <c r="F303" s="286"/>
      <c r="H303" s="233"/>
      <c r="J303" s="286"/>
    </row>
    <row r="304" spans="1:20" s="248" customFormat="1" x14ac:dyDescent="0.3">
      <c r="A304" s="246"/>
      <c r="B304" s="234" t="s">
        <v>829</v>
      </c>
      <c r="D304" s="233"/>
      <c r="F304" s="286"/>
      <c r="H304" s="233"/>
      <c r="J304" s="286"/>
    </row>
    <row r="305" spans="1:20" s="248" customFormat="1" x14ac:dyDescent="0.3">
      <c r="A305" s="246"/>
    </row>
    <row r="306" spans="1:20" s="249" customFormat="1" x14ac:dyDescent="0.3">
      <c r="B306" s="249" t="s">
        <v>529</v>
      </c>
      <c r="C306" s="250" t="s">
        <v>529</v>
      </c>
      <c r="D306" s="249" t="s">
        <v>111</v>
      </c>
      <c r="J306" s="249" t="s">
        <v>368</v>
      </c>
      <c r="L306" s="249" t="s">
        <v>475</v>
      </c>
      <c r="M306" s="248"/>
      <c r="N306" s="248"/>
      <c r="O306" s="248"/>
    </row>
    <row r="307" spans="1:20" s="249" customFormat="1" ht="13.5" thickBot="1" x14ac:dyDescent="0.35">
      <c r="B307" s="308" t="s">
        <v>531</v>
      </c>
      <c r="C307" s="428" t="s">
        <v>479</v>
      </c>
      <c r="D307" s="429" t="s">
        <v>401</v>
      </c>
      <c r="E307" s="308"/>
      <c r="F307" s="308" t="s">
        <v>368</v>
      </c>
      <c r="G307" s="308"/>
      <c r="H307" s="308" t="s">
        <v>475</v>
      </c>
      <c r="I307" s="308"/>
      <c r="J307" s="308" t="s">
        <v>532</v>
      </c>
      <c r="K307" s="308"/>
      <c r="L307" s="308" t="s">
        <v>533</v>
      </c>
      <c r="M307" s="248"/>
      <c r="N307" s="248"/>
      <c r="O307" s="248"/>
      <c r="T307" s="248" t="s">
        <v>772</v>
      </c>
    </row>
    <row r="308" spans="1:20" s="246" customFormat="1" x14ac:dyDescent="0.3">
      <c r="B308" s="426">
        <f ca="1">IF($T$308,Output!B130,B308)</f>
        <v>2.4428481092395815E-2</v>
      </c>
      <c r="C308" s="287">
        <f ca="1">IF($T$308,Output!C130,C308)</f>
        <v>248.22690118777282</v>
      </c>
      <c r="D308" s="618">
        <f ca="1">IF($T$308,Output!D130,D308)</f>
        <v>15.00304437548497</v>
      </c>
      <c r="F308" s="422">
        <f ca="1">IF($T$308,Output!F130,F308)</f>
        <v>0.20340114778649079</v>
      </c>
      <c r="H308" s="431">
        <f ca="1">IF($T$308,Output!H130,H308)</f>
        <v>5290.3927085406613</v>
      </c>
      <c r="J308" s="422">
        <f ca="1">IF($T$308,Output!J130,J308)</f>
        <v>0.20457807385855933</v>
      </c>
      <c r="L308" s="431">
        <f ca="1">IF($T$308,Output!L130,L308)</f>
        <v>5307.320496575916</v>
      </c>
      <c r="M308" s="248"/>
      <c r="N308" s="248"/>
      <c r="O308" s="248"/>
      <c r="T308" s="562" t="b">
        <f>AND(Unlock,BaseCase,KLGHighBid)</f>
        <v>0</v>
      </c>
    </row>
    <row r="309" spans="1:20" s="248" customFormat="1" x14ac:dyDescent="0.3">
      <c r="A309" s="246"/>
      <c r="B309" s="229">
        <f ca="1">IF($T$308,Output!B131,B309)</f>
        <v>7.4428481092395818E-2</v>
      </c>
      <c r="C309" s="287">
        <f ca="1">IF($T$308,Output!C131,C309)</f>
        <v>260.34228580315744</v>
      </c>
      <c r="D309" s="618">
        <f ca="1">IF($T$308,Output!D131,D309)</f>
        <v>15.68660339614139</v>
      </c>
      <c r="F309" s="422">
        <f ca="1">IF($T$308,Output!F131,F309)</f>
        <v>0.20174582251544021</v>
      </c>
      <c r="H309" s="431">
        <f ca="1">IF($T$308,Output!H131,H309)</f>
        <v>5467.9948378133113</v>
      </c>
      <c r="J309" s="422">
        <f ca="1">IF($T$308,Output!J131,J309)</f>
        <v>0.20292495941499775</v>
      </c>
      <c r="L309" s="431">
        <f ca="1">IF($T$308,Output!L131,L309)</f>
        <v>5485.7494383331814</v>
      </c>
    </row>
    <row r="310" spans="1:20" s="248" customFormat="1" x14ac:dyDescent="0.3">
      <c r="A310" s="246"/>
      <c r="B310" s="229">
        <f ca="1">IF($T$308,Output!B132,B310)</f>
        <v>0.12442848109239582</v>
      </c>
      <c r="C310" s="287">
        <f ca="1">IF($T$308,Output!C132,C310)</f>
        <v>272.45767041854208</v>
      </c>
      <c r="D310" s="618">
        <f ca="1">IF($T$308,Output!D132,D310)</f>
        <v>16.370162416797811</v>
      </c>
      <c r="F310" s="422">
        <f ca="1">IF($T$308,Output!F132,F310)</f>
        <v>0.20022633553285432</v>
      </c>
      <c r="H310" s="431">
        <f ca="1">IF($T$308,Output!H132,H310)</f>
        <v>5645.8315547276588</v>
      </c>
      <c r="J310" s="422">
        <f ca="1">IF($T$308,Output!J132,J310)</f>
        <v>0.20140748779715564</v>
      </c>
      <c r="L310" s="431">
        <f ca="1">IF($T$308,Output!L132,L310)</f>
        <v>5664.4129677321453</v>
      </c>
    </row>
    <row r="311" spans="1:20" s="248" customFormat="1" x14ac:dyDescent="0.3">
      <c r="A311" s="246"/>
      <c r="B311" s="436">
        <f ca="1">IF($T$308,Output!B133,B311)</f>
        <v>0.17442848109239584</v>
      </c>
      <c r="C311" s="379">
        <f ca="1">IF($T$308,Output!C133,C311)</f>
        <v>284.57305503392666</v>
      </c>
      <c r="D311" s="619">
        <f ca="1">IF($T$308,Output!D133,D311)</f>
        <v>17.053721437454225</v>
      </c>
      <c r="E311" s="376"/>
      <c r="F311" s="438">
        <f ca="1">IF($T$308,Output!F133,F311)</f>
        <v>0.19881701286046613</v>
      </c>
      <c r="G311" s="376"/>
      <c r="H311" s="440">
        <f ca="1">IF($T$308,Output!H133,H311)</f>
        <v>5823.4829653969864</v>
      </c>
      <c r="I311" s="376"/>
      <c r="J311" s="438">
        <f ca="1">IF($T$308,Output!J133,J311)</f>
        <v>0.20000000027068565</v>
      </c>
      <c r="K311" s="376"/>
      <c r="L311" s="443">
        <f ca="1">IF($T$308,Output!L133,L311)</f>
        <v>5842.8911908860882</v>
      </c>
    </row>
    <row r="312" spans="1:20" s="248" customFormat="1" x14ac:dyDescent="0.3">
      <c r="A312" s="246"/>
      <c r="B312" s="229">
        <f ca="1">IF($T$308,Output!B134,B312)</f>
        <v>0.22442848109239583</v>
      </c>
      <c r="C312" s="287">
        <f ca="1">IF($T$308,Output!C134,C312)</f>
        <v>296.68843964931125</v>
      </c>
      <c r="D312" s="618">
        <f ca="1">IF($T$308,Output!D134,D312)</f>
        <v>17.737280458110646</v>
      </c>
      <c r="F312" s="422">
        <f ca="1">IF($T$308,Output!F134,F312)</f>
        <v>0.19750612330533462</v>
      </c>
      <c r="H312" s="431">
        <f ca="1">IF($T$308,Output!H134,H312)</f>
        <v>6000.9634076682978</v>
      </c>
      <c r="J312" s="422">
        <f ca="1">IF($T$308,Output!J134,J312)</f>
        <v>0.19869078818419253</v>
      </c>
      <c r="L312" s="431">
        <f ca="1">IF($T$308,Output!L134,L312)</f>
        <v>6021.1984456420141</v>
      </c>
    </row>
    <row r="313" spans="1:20" s="248" customFormat="1" x14ac:dyDescent="0.3">
      <c r="A313" s="246"/>
      <c r="B313" s="229">
        <f ca="1">IF($T$308,Output!B135,B313)</f>
        <v>0.27442848109239582</v>
      </c>
      <c r="C313" s="287">
        <f ca="1">IF($T$308,Output!C135,C313)</f>
        <v>308.80382426469589</v>
      </c>
      <c r="D313" s="618">
        <f ca="1">IF($T$308,Output!D135,D313)</f>
        <v>18.420839478767068</v>
      </c>
      <c r="F313" s="422">
        <f ca="1">IF($T$308,Output!F135,F313)</f>
        <v>0.19628035691255236</v>
      </c>
      <c r="H313" s="431">
        <f ca="1">IF($T$308,Output!H135,H313)</f>
        <v>6178.1459714228258</v>
      </c>
      <c r="J313" s="422">
        <f ca="1">IF($T$308,Output!J135,J313)</f>
        <v>0.19746655739385183</v>
      </c>
      <c r="L313" s="431">
        <f ca="1">IF($T$308,Output!L135,L313)</f>
        <v>6199.2078218811585</v>
      </c>
    </row>
    <row r="314" spans="1:20" s="248" customFormat="1" ht="13.5" thickBot="1" x14ac:dyDescent="0.35">
      <c r="A314" s="246"/>
      <c r="B314" s="309">
        <f ca="1">IF($T$308,Output!B136,B314)</f>
        <v>0.3244284810923958</v>
      </c>
      <c r="C314" s="430">
        <f ca="1">IF($T$308,Output!C136,C314)</f>
        <v>320.91920888008053</v>
      </c>
      <c r="D314" s="620">
        <f ca="1">IF($T$308,Output!D136,D314)</f>
        <v>19.104398499423485</v>
      </c>
      <c r="E314" s="267"/>
      <c r="F314" s="425">
        <f ca="1">IF($T$308,Output!F136,F314)</f>
        <v>0.19513639464051333</v>
      </c>
      <c r="G314" s="267"/>
      <c r="H314" s="432">
        <f ca="1">IF($T$308,Output!H136,H314)</f>
        <v>6355.2734078886606</v>
      </c>
      <c r="I314" s="267"/>
      <c r="J314" s="425">
        <f ca="1">IF($T$308,Output!J136,J314)</f>
        <v>0.19632401034073224</v>
      </c>
      <c r="K314" s="267"/>
      <c r="L314" s="432">
        <f ca="1">IF($T$308,Output!L136,L314)</f>
        <v>6377.1620708316086</v>
      </c>
    </row>
    <row r="315" spans="1:20" s="248" customFormat="1" x14ac:dyDescent="0.3">
      <c r="A315" s="246"/>
      <c r="B315" s="554" t="s">
        <v>851</v>
      </c>
      <c r="C315" s="246"/>
      <c r="D315" s="246"/>
      <c r="E315" s="246"/>
      <c r="F315" s="246"/>
      <c r="G315" s="246"/>
      <c r="H315" s="246"/>
      <c r="I315" s="246"/>
    </row>
    <row r="316" spans="1:20" s="248" customFormat="1" x14ac:dyDescent="0.3">
      <c r="A316" s="246"/>
      <c r="B316" s="246"/>
      <c r="C316" s="246"/>
      <c r="D316" s="246"/>
      <c r="E316" s="246"/>
      <c r="F316" s="246"/>
      <c r="G316" s="246"/>
      <c r="H316" s="246"/>
      <c r="I316" s="246"/>
    </row>
    <row r="317" spans="1:20" s="248" customFormat="1" x14ac:dyDescent="0.3">
      <c r="A317" s="246" t="s">
        <v>31</v>
      </c>
      <c r="B317" s="256" t="str">
        <f ca="1">IF($T$322,"Equity % Sensitivity ("&amp;'LBO Model'!$E$4&amp;")",B317)</f>
        <v>Equity % Sensitivity (Base Case)</v>
      </c>
    </row>
    <row r="318" spans="1:20" s="248" customFormat="1" x14ac:dyDescent="0.3">
      <c r="A318" s="246"/>
      <c r="B318" s="248" t="s">
        <v>829</v>
      </c>
    </row>
    <row r="319" spans="1:20" s="248" customFormat="1" x14ac:dyDescent="0.3">
      <c r="A319" s="246"/>
      <c r="B319" s="256"/>
    </row>
    <row r="320" spans="1:20" s="248" customFormat="1" x14ac:dyDescent="0.3">
      <c r="A320" s="246"/>
      <c r="B320" s="249" t="s">
        <v>535</v>
      </c>
      <c r="C320" s="250" t="s">
        <v>467</v>
      </c>
      <c r="D320" s="249" t="s">
        <v>111</v>
      </c>
      <c r="E320" s="249"/>
      <c r="F320" s="249"/>
      <c r="G320" s="249"/>
      <c r="H320" s="249"/>
      <c r="I320" s="249"/>
      <c r="J320" s="249" t="s">
        <v>368</v>
      </c>
      <c r="K320" s="249"/>
      <c r="L320" s="249" t="s">
        <v>475</v>
      </c>
    </row>
    <row r="321" spans="1:20" s="248" customFormat="1" ht="13.5" thickBot="1" x14ac:dyDescent="0.35">
      <c r="A321" s="246"/>
      <c r="B321" s="308" t="s">
        <v>530</v>
      </c>
      <c r="C321" s="428" t="s">
        <v>205</v>
      </c>
      <c r="D321" s="429" t="s">
        <v>401</v>
      </c>
      <c r="E321" s="308"/>
      <c r="F321" s="308" t="s">
        <v>368</v>
      </c>
      <c r="G321" s="308"/>
      <c r="H321" s="308" t="s">
        <v>475</v>
      </c>
      <c r="I321" s="308"/>
      <c r="J321" s="308" t="s">
        <v>532</v>
      </c>
      <c r="K321" s="308"/>
      <c r="L321" s="308" t="s">
        <v>533</v>
      </c>
      <c r="T321" s="248" t="s">
        <v>772</v>
      </c>
    </row>
    <row r="322" spans="1:20" s="248" customFormat="1" x14ac:dyDescent="0.3">
      <c r="A322" s="246"/>
      <c r="B322" s="426">
        <f ca="1">IF($T$322,Output!B144,B322)</f>
        <v>0.26124616378731469</v>
      </c>
      <c r="C322" s="287">
        <f ca="1">IF($T$322,Output!C144,C322)</f>
        <v>1849.015761999605</v>
      </c>
      <c r="D322" s="618">
        <f ca="1">IF($T$322,Output!D144,D322)</f>
        <v>17.053721437454225</v>
      </c>
      <c r="E322" s="246"/>
      <c r="F322" s="422">
        <f ca="1">IF($T$322,Output!F144,F322)</f>
        <v>0.31774202446376648</v>
      </c>
      <c r="G322" s="246"/>
      <c r="H322" s="431">
        <f ca="1">IF($T$322,Output!H144,H322)</f>
        <v>5497.689127472675</v>
      </c>
      <c r="I322" s="246"/>
      <c r="J322" s="422">
        <f ca="1">IF($T$322,Output!J144,J322)</f>
        <v>0.3205259221984344</v>
      </c>
      <c r="K322" s="246"/>
      <c r="L322" s="431">
        <f ca="1">IF($T$322,Output!L144,L322)</f>
        <v>5497.689127472675</v>
      </c>
      <c r="T322" s="562" t="b">
        <f>AND(Unlock,BaseCase,KLGHighBid)</f>
        <v>0</v>
      </c>
    </row>
    <row r="323" spans="1:20" s="248" customFormat="1" x14ac:dyDescent="0.3">
      <c r="A323" s="246"/>
      <c r="B323" s="229">
        <f ca="1">IF($T$322,Output!B145,B323)</f>
        <v>0.36124616378731467</v>
      </c>
      <c r="C323" s="287">
        <f ca="1">IF($T$322,Output!C145,C323)</f>
        <v>2550.9467380591395</v>
      </c>
      <c r="D323" s="618">
        <f ca="1">IF($T$322,Output!D145,D323)</f>
        <v>17.053721437454225</v>
      </c>
      <c r="F323" s="422">
        <f ca="1">IF($T$322,Output!F145,F323)</f>
        <v>0.26186281664705874</v>
      </c>
      <c r="H323" s="431">
        <f ca="1">IF($T$322,Output!H145,H323)</f>
        <v>5610.4052126717988</v>
      </c>
      <c r="J323" s="422">
        <f ca="1">IF($T$322,Output!J145,J323)</f>
        <v>0.26379174312775644</v>
      </c>
      <c r="L323" s="431">
        <f ca="1">IF($T$322,Output!L145,L323)</f>
        <v>5610.4052126717988</v>
      </c>
    </row>
    <row r="324" spans="1:20" s="248" customFormat="1" x14ac:dyDescent="0.3">
      <c r="A324" s="246"/>
      <c r="B324" s="229">
        <f ca="1">IF($T$322,Output!B146,B324)</f>
        <v>0.46124616378731464</v>
      </c>
      <c r="C324" s="287">
        <f ca="1">IF($T$322,Output!C146,C324)</f>
        <v>3249.6802648196026</v>
      </c>
      <c r="D324" s="618">
        <f ca="1">IF($T$322,Output!D146,D324)</f>
        <v>17.053721437454225</v>
      </c>
      <c r="F324" s="422">
        <f ca="1">IF($T$322,Output!F146,F324)</f>
        <v>0.2250661319560153</v>
      </c>
      <c r="H324" s="431">
        <f ca="1">IF($T$322,Output!H146,H324)</f>
        <v>5717.1366179425377</v>
      </c>
      <c r="J324" s="422">
        <f ca="1">IF($T$322,Output!J146,J324)</f>
        <v>0.22653470320998781</v>
      </c>
      <c r="L324" s="431">
        <f ca="1">IF($T$322,Output!L146,L324)</f>
        <v>5717.1366179425377</v>
      </c>
    </row>
    <row r="325" spans="1:20" s="248" customFormat="1" x14ac:dyDescent="0.3">
      <c r="A325" s="246"/>
      <c r="B325" s="436">
        <f ca="1">IF($T$322,Output!B147,B325)</f>
        <v>0.56124616378731462</v>
      </c>
      <c r="C325" s="379">
        <f ca="1">IF($T$322,Output!C147,C325)</f>
        <v>3945.2381410263197</v>
      </c>
      <c r="D325" s="619">
        <f ca="1">IF($T$322,Output!D147,D325)</f>
        <v>17.053721437454225</v>
      </c>
      <c r="E325" s="376"/>
      <c r="F325" s="438">
        <f ca="1">IF($T$322,Output!F147,F325)</f>
        <v>0.19881701285601744</v>
      </c>
      <c r="G325" s="376"/>
      <c r="H325" s="440">
        <f ca="1">IF($T$322,Output!H147,H325)</f>
        <v>5823.4829652520566</v>
      </c>
      <c r="I325" s="376"/>
      <c r="J325" s="438">
        <f ca="1">IF($T$322,Output!J147,J325)</f>
        <v>0.20000000026622519</v>
      </c>
      <c r="K325" s="376"/>
      <c r="L325" s="443">
        <f ca="1">IF($T$322,Output!L147,L325)</f>
        <v>5823.4829652520566</v>
      </c>
    </row>
    <row r="326" spans="1:20" s="248" customFormat="1" x14ac:dyDescent="0.3">
      <c r="A326" s="246"/>
      <c r="B326" s="229">
        <f ca="1">IF($T$322,Output!B148,B326)</f>
        <v>0.6612461637873146</v>
      </c>
      <c r="C326" s="287">
        <f ca="1">IF($T$322,Output!C148,C326)</f>
        <v>4637.6419667522932</v>
      </c>
      <c r="D326" s="618">
        <f ca="1">IF($T$322,Output!D148,D326)</f>
        <v>17.053721437454225</v>
      </c>
      <c r="F326" s="422">
        <f ca="1">IF($T$322,Output!F148,F326)</f>
        <v>0.1796186665173361</v>
      </c>
      <c r="H326" s="431">
        <f ca="1">IF($T$322,Output!H148,H326)</f>
        <v>5955.0269651154158</v>
      </c>
      <c r="J326" s="422">
        <f ca="1">IF($T$322,Output!J148,J326)</f>
        <v>0.18060847853582895</v>
      </c>
      <c r="L326" s="431">
        <f ca="1">IF($T$322,Output!L148,L326)</f>
        <v>5955.0269651154158</v>
      </c>
    </row>
    <row r="327" spans="1:20" s="248" customFormat="1" x14ac:dyDescent="0.3">
      <c r="A327" s="246"/>
      <c r="B327" s="229">
        <f ca="1">IF($T$322,Output!B149,B327)</f>
        <v>0.76124616378731458</v>
      </c>
      <c r="C327" s="287">
        <f ca="1">IF($T$322,Output!C149,C327)</f>
        <v>5326.9131468123642</v>
      </c>
      <c r="D327" s="618">
        <f ca="1">IF($T$322,Output!D149,D327)</f>
        <v>17.053721437454225</v>
      </c>
      <c r="F327" s="422">
        <f ca="1">IF($T$322,Output!F149,F327)</f>
        <v>0.16530590769343034</v>
      </c>
      <c r="H327" s="431">
        <f ca="1">IF($T$322,Output!H149,H327)</f>
        <v>6119.6565437652598</v>
      </c>
      <c r="J327" s="422">
        <f ca="1">IF($T$322,Output!J149,J327)</f>
        <v>0.1661569106167812</v>
      </c>
      <c r="L327" s="431">
        <f ca="1">IF($T$322,Output!L149,L327)</f>
        <v>6119.6565437652598</v>
      </c>
    </row>
    <row r="328" spans="1:20" s="248" customFormat="1" ht="13.5" thickBot="1" x14ac:dyDescent="0.35">
      <c r="A328" s="246"/>
      <c r="B328" s="309">
        <f ca="1">IF($T$322,Output!B150,B328)</f>
        <v>0.86124616378731456</v>
      </c>
      <c r="C328" s="430">
        <f ca="1">IF($T$322,Output!C150,C328)</f>
        <v>6013.0728927853115</v>
      </c>
      <c r="D328" s="620">
        <f ca="1">IF($T$322,Output!D150,D328)</f>
        <v>17.053721437454225</v>
      </c>
      <c r="E328" s="267"/>
      <c r="F328" s="425">
        <f ca="1">IF($T$322,Output!F150,F328)</f>
        <v>0.15369738114376311</v>
      </c>
      <c r="G328" s="267"/>
      <c r="H328" s="432">
        <f ca="1">IF($T$322,Output!H150,H328)</f>
        <v>6277.0436890640713</v>
      </c>
      <c r="I328" s="267"/>
      <c r="J328" s="425">
        <f ca="1">IF($T$322,Output!J150,J328)</f>
        <v>0.15444357814240078</v>
      </c>
      <c r="K328" s="267"/>
      <c r="L328" s="432">
        <f ca="1">IF($T$322,Output!L150,L328)</f>
        <v>6277.0436890640713</v>
      </c>
    </row>
    <row r="329" spans="1:20" s="248" customFormat="1" x14ac:dyDescent="0.3">
      <c r="A329" s="246"/>
      <c r="B329" s="554" t="s">
        <v>852</v>
      </c>
    </row>
  </sheetData>
  <dataValidations count="1">
    <dataValidation type="list" allowBlank="1" showInputMessage="1" showErrorMessage="1" sqref="C2" xr:uid="{00000000-0002-0000-0A00-000000000000}">
      <formula1>"Lock,Unlock"</formula1>
    </dataValidation>
  </dataValidations>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A1"/>
  <sheetViews>
    <sheetView showGridLines="0" zoomScaleNormal="100" workbookViewId="0"/>
  </sheetViews>
  <sheetFormatPr baseColWidth="10" defaultColWidth="9" defaultRowHeight="15.5" x14ac:dyDescent="0.35"/>
  <cols>
    <col min="1" max="16384" width="9" style="345"/>
  </cols>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O95"/>
  <sheetViews>
    <sheetView showGridLines="0" topLeftCell="A20" zoomScaleNormal="100" workbookViewId="0">
      <selection activeCell="D43" sqref="D43"/>
    </sheetView>
  </sheetViews>
  <sheetFormatPr baseColWidth="10" defaultColWidth="9" defaultRowHeight="15.5" x14ac:dyDescent="0.35"/>
  <cols>
    <col min="1" max="1" width="9" style="66"/>
    <col min="2" max="2" width="34.4140625" style="66" bestFit="1" customWidth="1"/>
    <col min="3" max="14" width="13.08203125" style="66" customWidth="1"/>
    <col min="15" max="16384" width="9" style="66"/>
  </cols>
  <sheetData>
    <row r="2" spans="1:15" x14ac:dyDescent="0.35">
      <c r="A2" s="70" t="s">
        <v>31</v>
      </c>
      <c r="B2" s="70" t="s">
        <v>481</v>
      </c>
      <c r="C2" s="70"/>
      <c r="D2" s="70"/>
      <c r="E2" s="70"/>
      <c r="F2" s="70"/>
      <c r="G2" s="70"/>
      <c r="H2" s="70"/>
      <c r="I2" s="70"/>
      <c r="J2" s="70"/>
      <c r="K2" s="70"/>
      <c r="L2" s="71" t="s">
        <v>110</v>
      </c>
    </row>
    <row r="3" spans="1:15" ht="16" thickBot="1" x14ac:dyDescent="0.4">
      <c r="B3" s="385" t="s">
        <v>740</v>
      </c>
      <c r="C3" s="385"/>
      <c r="D3" s="385"/>
      <c r="E3" s="385"/>
      <c r="F3" s="385"/>
      <c r="G3" s="385"/>
      <c r="H3" s="385"/>
      <c r="I3" s="385"/>
      <c r="J3" s="385"/>
      <c r="K3" s="385"/>
      <c r="L3" s="386" t="s">
        <v>130</v>
      </c>
    </row>
    <row r="4" spans="1:15" x14ac:dyDescent="0.35">
      <c r="L4" s="72"/>
    </row>
    <row r="5" spans="1:15" s="70" customFormat="1" x14ac:dyDescent="0.35">
      <c r="A5" s="70" t="s">
        <v>31</v>
      </c>
      <c r="B5" s="84" t="s">
        <v>508</v>
      </c>
      <c r="C5" s="84"/>
      <c r="D5" s="84"/>
      <c r="E5" s="84"/>
      <c r="F5" s="84"/>
      <c r="G5" s="84"/>
      <c r="H5" s="84"/>
      <c r="I5" s="84"/>
      <c r="J5" s="84"/>
      <c r="K5" s="84"/>
      <c r="L5" s="84"/>
      <c r="O5" s="66"/>
    </row>
    <row r="6" spans="1:15" x14ac:dyDescent="0.35">
      <c r="B6" s="81" t="s">
        <v>775</v>
      </c>
      <c r="C6" s="136">
        <f>315/1.3</f>
        <v>242.30769230769229</v>
      </c>
      <c r="E6" s="81" t="s">
        <v>247</v>
      </c>
      <c r="F6" s="500">
        <f ca="1">'LBO Model'!E507</f>
        <v>0.28021880196016624</v>
      </c>
      <c r="H6" s="81" t="s">
        <v>511</v>
      </c>
      <c r="I6" s="85">
        <v>21341.55</v>
      </c>
      <c r="K6" s="72" t="s">
        <v>235</v>
      </c>
      <c r="L6" s="131">
        <v>0.01</v>
      </c>
    </row>
    <row r="7" spans="1:15" ht="5.15" customHeight="1" thickBot="1" x14ac:dyDescent="0.4">
      <c r="B7" s="125"/>
      <c r="C7" s="125"/>
      <c r="D7" s="125"/>
      <c r="E7" s="125"/>
      <c r="F7" s="125"/>
      <c r="G7" s="125"/>
      <c r="H7" s="125"/>
      <c r="I7" s="125"/>
      <c r="J7" s="125"/>
      <c r="K7" s="125"/>
      <c r="L7" s="125"/>
    </row>
    <row r="8" spans="1:15" ht="16" thickTop="1" x14ac:dyDescent="0.35"/>
    <row r="9" spans="1:15" s="70" customFormat="1" x14ac:dyDescent="0.35">
      <c r="A9" s="70" t="s">
        <v>31</v>
      </c>
      <c r="B9" s="84" t="s">
        <v>512</v>
      </c>
      <c r="C9" s="84"/>
      <c r="D9" s="84"/>
      <c r="E9" s="84"/>
      <c r="F9" s="84"/>
      <c r="G9" s="84"/>
      <c r="H9" s="84"/>
      <c r="I9" s="84"/>
      <c r="J9" s="84"/>
      <c r="K9" s="84"/>
      <c r="L9" s="84"/>
    </row>
    <row r="10" spans="1:15" ht="18.5" x14ac:dyDescent="0.65">
      <c r="B10" s="70" t="s">
        <v>204</v>
      </c>
      <c r="C10" s="409" t="s">
        <v>205</v>
      </c>
      <c r="D10" s="409" t="s">
        <v>206</v>
      </c>
      <c r="E10" s="409" t="s">
        <v>509</v>
      </c>
      <c r="F10" s="409" t="s">
        <v>208</v>
      </c>
      <c r="G10" s="409" t="s">
        <v>209</v>
      </c>
      <c r="H10" s="409" t="s">
        <v>201</v>
      </c>
      <c r="I10" s="409" t="s">
        <v>210</v>
      </c>
    </row>
    <row r="11" spans="1:15" x14ac:dyDescent="0.35">
      <c r="B11" s="73" t="s">
        <v>194</v>
      </c>
      <c r="C11" s="75">
        <f>'Operating Model'!C181-I6</f>
        <v>84187.45</v>
      </c>
      <c r="D11" s="64">
        <f ca="1">C11/C17</f>
        <v>1.1050568343471397E-2</v>
      </c>
      <c r="E11" s="132">
        <v>0.03</v>
      </c>
      <c r="O11" s="64"/>
    </row>
    <row r="12" spans="1:15" x14ac:dyDescent="0.35">
      <c r="B12" s="73" t="s">
        <v>195</v>
      </c>
      <c r="C12" s="66">
        <f ca="1">D12*C17</f>
        <v>750000.33463008085</v>
      </c>
      <c r="D12" s="64">
        <f ca="1">1-SUM(D11,D13:D16)</f>
        <v>9.8446145541361885E-2</v>
      </c>
      <c r="E12" s="132">
        <v>3.6999999999999998E-2</v>
      </c>
      <c r="F12" s="86">
        <v>7</v>
      </c>
      <c r="G12" s="145">
        <v>2.2499999999999999E-2</v>
      </c>
      <c r="H12" s="137">
        <f ca="1">C12*G12</f>
        <v>16875.007529176819</v>
      </c>
      <c r="I12" s="75">
        <f ca="1">H12/F12</f>
        <v>2410.715361310974</v>
      </c>
      <c r="O12" s="64"/>
    </row>
    <row r="13" spans="1:15" x14ac:dyDescent="0.35">
      <c r="B13" s="73" t="s">
        <v>196</v>
      </c>
      <c r="C13" s="66">
        <f ca="1">D13*$C$17</f>
        <v>2250000.9025775655</v>
      </c>
      <c r="D13" s="201">
        <f ca="1">'LBO Model'!E509</f>
        <v>0.29533842332563481</v>
      </c>
      <c r="E13" s="132">
        <v>6.3E-2</v>
      </c>
      <c r="F13" s="86">
        <v>15</v>
      </c>
      <c r="G13" s="145">
        <v>2.2499999999999999E-2</v>
      </c>
      <c r="H13" s="137">
        <f ca="1">C13*G13</f>
        <v>50625.020307995219</v>
      </c>
      <c r="I13" s="75">
        <f ca="1">H13/F13</f>
        <v>3375.0013538663479</v>
      </c>
      <c r="O13" s="64"/>
    </row>
    <row r="14" spans="1:15" x14ac:dyDescent="0.35">
      <c r="B14" s="73" t="s">
        <v>197</v>
      </c>
      <c r="C14" s="66">
        <f ca="1">D14*$C$17</f>
        <v>0</v>
      </c>
      <c r="D14" s="201">
        <f ca="1">'LBO Model'!E510</f>
        <v>0</v>
      </c>
      <c r="E14" s="132">
        <v>0.11</v>
      </c>
      <c r="F14" s="86">
        <v>15</v>
      </c>
      <c r="G14" s="145">
        <v>0.03</v>
      </c>
      <c r="H14" s="137">
        <f ca="1">C14*G14</f>
        <v>0</v>
      </c>
      <c r="I14" s="75">
        <f ca="1">H14/F14</f>
        <v>0</v>
      </c>
      <c r="O14" s="64"/>
    </row>
    <row r="15" spans="1:15" x14ac:dyDescent="0.35">
      <c r="B15" s="73"/>
      <c r="D15" s="132"/>
    </row>
    <row r="16" spans="1:15" x14ac:dyDescent="0.35">
      <c r="B16" s="73" t="s">
        <v>198</v>
      </c>
      <c r="C16" s="66">
        <f ca="1">D16*$C$17</f>
        <v>4534193.2261296343</v>
      </c>
      <c r="D16" s="201">
        <f ca="1">'LBO Model'!E511</f>
        <v>0.59516486278953196</v>
      </c>
    </row>
    <row r="17" spans="1:14" x14ac:dyDescent="0.35">
      <c r="B17" s="139" t="s">
        <v>199</v>
      </c>
      <c r="C17" s="76">
        <f ca="1">C24</f>
        <v>7618381.91333728</v>
      </c>
      <c r="D17" s="216">
        <f ca="1">SUM(D11:D16)</f>
        <v>1</v>
      </c>
      <c r="E17" s="70"/>
      <c r="F17" s="70"/>
      <c r="G17" s="70"/>
      <c r="H17" s="217">
        <f ca="1">SUM(H12:H14)</f>
        <v>67500.027837172034</v>
      </c>
      <c r="I17" s="144">
        <f ca="1">SUM(I12:I14)</f>
        <v>5785.7167151773219</v>
      </c>
    </row>
    <row r="18" spans="1:14" x14ac:dyDescent="0.35">
      <c r="B18" s="70"/>
    </row>
    <row r="19" spans="1:14" x14ac:dyDescent="0.35">
      <c r="B19" s="70" t="s">
        <v>203</v>
      </c>
      <c r="C19" s="138"/>
    </row>
    <row r="20" spans="1:14" x14ac:dyDescent="0.35">
      <c r="B20" s="73" t="str">
        <f ca="1">"Purchase of Equity @ "&amp;TEXT(C65,"$0.00")&amp;" per share"</f>
        <v>Purchase of Equity @ $310 per share</v>
      </c>
      <c r="C20" s="75">
        <f ca="1">C68</f>
        <v>7052533.5500001069</v>
      </c>
    </row>
    <row r="21" spans="1:14" x14ac:dyDescent="0.35">
      <c r="B21" s="73" t="s">
        <v>200</v>
      </c>
      <c r="C21" s="66">
        <f>'Operating Model'!C201+'Operating Model'!C204</f>
        <v>427823</v>
      </c>
    </row>
    <row r="22" spans="1:14" x14ac:dyDescent="0.35">
      <c r="B22" s="73" t="s">
        <v>201</v>
      </c>
      <c r="C22" s="66">
        <f ca="1">IFERROR(H17,-1)</f>
        <v>67500.027837172034</v>
      </c>
      <c r="N22" s="197" t="str">
        <f ca="1">IF(C22=-1,"Circularity - Possible Recurision Error","Circularity - No Recursion Error")</f>
        <v>Circularity - No Recursion Error</v>
      </c>
    </row>
    <row r="23" spans="1:14" x14ac:dyDescent="0.35">
      <c r="B23" s="73" t="str">
        <f>"Transaction Expenses @ "&amp;TEXT(L6,"0.0%")</f>
        <v>Transaction Expenses @ 01%</v>
      </c>
      <c r="C23" s="66">
        <f ca="1">C20*L6</f>
        <v>70525.335500001078</v>
      </c>
    </row>
    <row r="24" spans="1:14" s="70" customFormat="1" x14ac:dyDescent="0.35">
      <c r="A24" s="66"/>
      <c r="B24" s="139" t="s">
        <v>202</v>
      </c>
      <c r="C24" s="76">
        <f ca="1">SUM(C20:C23)</f>
        <v>7618381.91333728</v>
      </c>
      <c r="M24" s="66"/>
    </row>
    <row r="25" spans="1:14" ht="5.15" customHeight="1" thickBot="1" x14ac:dyDescent="0.4">
      <c r="B25" s="125"/>
      <c r="C25" s="125"/>
      <c r="D25" s="125"/>
      <c r="E25" s="125"/>
      <c r="F25" s="125"/>
      <c r="G25" s="125"/>
      <c r="H25" s="125"/>
      <c r="I25" s="125"/>
      <c r="J25" s="125"/>
      <c r="K25" s="125"/>
      <c r="L25" s="125"/>
    </row>
    <row r="26" spans="1:14" ht="16" thickTop="1" x14ac:dyDescent="0.35"/>
    <row r="27" spans="1:14" x14ac:dyDescent="0.35">
      <c r="A27" s="70" t="s">
        <v>31</v>
      </c>
      <c r="B27" s="70" t="s">
        <v>359</v>
      </c>
      <c r="C27" s="70"/>
      <c r="D27" s="70"/>
      <c r="E27" s="70"/>
      <c r="F27" s="70"/>
      <c r="G27" s="70"/>
      <c r="H27" s="70"/>
      <c r="I27" s="70"/>
      <c r="J27" s="70"/>
      <c r="K27" s="70"/>
      <c r="L27" s="70"/>
    </row>
    <row r="28" spans="1:14" x14ac:dyDescent="0.35">
      <c r="A28" s="70"/>
      <c r="B28" s="74"/>
      <c r="C28" s="158" t="s">
        <v>363</v>
      </c>
      <c r="D28" s="220" t="s">
        <v>364</v>
      </c>
      <c r="E28" s="220"/>
      <c r="F28" s="220"/>
      <c r="G28" s="220"/>
      <c r="H28" s="220"/>
      <c r="I28" s="220"/>
      <c r="J28" s="220"/>
      <c r="K28" s="74"/>
      <c r="L28" s="93" t="s">
        <v>145</v>
      </c>
    </row>
    <row r="29" spans="1:14" x14ac:dyDescent="0.35">
      <c r="A29" s="70"/>
      <c r="B29" s="223"/>
      <c r="C29" s="221">
        <f>'Operating Model'!E124</f>
        <v>42731</v>
      </c>
      <c r="D29" s="189">
        <f t="shared" ref="D29:J29" si="0">DATE(YEAR(C29)+1,MONTH(C29),DAY(C29))</f>
        <v>43096</v>
      </c>
      <c r="E29" s="189">
        <f t="shared" si="0"/>
        <v>43461</v>
      </c>
      <c r="F29" s="189">
        <f t="shared" si="0"/>
        <v>43826</v>
      </c>
      <c r="G29" s="189">
        <f t="shared" si="0"/>
        <v>44192</v>
      </c>
      <c r="H29" s="189">
        <f t="shared" si="0"/>
        <v>44557</v>
      </c>
      <c r="I29" s="189">
        <f t="shared" si="0"/>
        <v>44922</v>
      </c>
      <c r="J29" s="189">
        <f t="shared" si="0"/>
        <v>45287</v>
      </c>
      <c r="K29" s="84"/>
      <c r="L29" s="225" t="s">
        <v>367</v>
      </c>
    </row>
    <row r="30" spans="1:14" x14ac:dyDescent="0.35">
      <c r="B30" s="66" t="s">
        <v>127</v>
      </c>
      <c r="C30" s="349">
        <f>'Operating Model'!E10</f>
        <v>2795365</v>
      </c>
      <c r="D30" s="348">
        <f ca="1">'Operating Model'!F10</f>
        <v>2846115.7142857146</v>
      </c>
      <c r="E30" s="348">
        <f ca="1">'Operating Model'!G10</f>
        <v>3083144.4285714291</v>
      </c>
      <c r="F30" s="348">
        <f ca="1">'Operating Model'!H10</f>
        <v>3374420.0000000005</v>
      </c>
      <c r="G30" s="348">
        <f ca="1">'Operating Model'!I10</f>
        <v>3886891.0000000005</v>
      </c>
      <c r="H30" s="348">
        <f ca="1">'Operating Model'!J10</f>
        <v>4220008</v>
      </c>
      <c r="I30" s="348">
        <f ca="1">'Operating Model'!K10</f>
        <v>4593740.9773979662</v>
      </c>
      <c r="J30" s="348">
        <f ca="1">'Operating Model'!L10</f>
        <v>5013708.1816123109</v>
      </c>
      <c r="L30" s="224">
        <f ca="1">(J30/C30)^(1/7)-1</f>
        <v>8.7040662624920939E-2</v>
      </c>
    </row>
    <row r="31" spans="1:14" x14ac:dyDescent="0.35">
      <c r="A31" s="127"/>
      <c r="B31" s="194" t="s">
        <v>140</v>
      </c>
      <c r="C31" s="350">
        <f>'Operating Model'!E49</f>
        <v>4.2432073628234201E-2</v>
      </c>
      <c r="D31" s="351">
        <f ca="1">'Operating Model'!F49</f>
        <v>1.8155308621848887E-2</v>
      </c>
      <c r="E31" s="351">
        <f ca="1">'Operating Model'!G49</f>
        <v>8.3281474852192172E-2</v>
      </c>
      <c r="F31" s="351">
        <f ca="1">'Operating Model'!H49</f>
        <v>9.4473540950377632E-2</v>
      </c>
      <c r="G31" s="351">
        <f ca="1">'Operating Model'!I49</f>
        <v>0.15186935828972081</v>
      </c>
      <c r="H31" s="351">
        <f ca="1">'Operating Model'!J49</f>
        <v>8.5702686285774377E-2</v>
      </c>
      <c r="I31" s="351">
        <f ca="1">'Operating Model'!K49</f>
        <v>8.8562149028619502E-2</v>
      </c>
      <c r="J31" s="351">
        <f ca="1">'Operating Model'!L49</f>
        <v>9.1421611771464628E-2</v>
      </c>
      <c r="K31" s="127"/>
      <c r="L31" s="127"/>
    </row>
    <row r="32" spans="1:14" x14ac:dyDescent="0.35">
      <c r="A32" s="127"/>
      <c r="B32" s="194"/>
      <c r="C32" s="350"/>
      <c r="D32" s="351"/>
      <c r="E32" s="351"/>
      <c r="F32" s="351"/>
      <c r="G32" s="351"/>
      <c r="H32" s="351"/>
      <c r="I32" s="351"/>
      <c r="J32" s="351"/>
      <c r="K32" s="127"/>
      <c r="L32" s="127"/>
    </row>
    <row r="33" spans="1:12" x14ac:dyDescent="0.35">
      <c r="B33" s="66" t="s">
        <v>111</v>
      </c>
      <c r="C33" s="352">
        <f>'Operating Model'!E24</f>
        <v>403190</v>
      </c>
      <c r="D33" s="88">
        <f ca="1">'Operating Model'!F24</f>
        <v>440899.99999999988</v>
      </c>
      <c r="E33" s="88">
        <f ca="1">'Operating Model'!G24</f>
        <v>489400.00000000017</v>
      </c>
      <c r="F33" s="88">
        <f ca="1">'Operating Model'!H24</f>
        <v>561100.00000000023</v>
      </c>
      <c r="G33" s="88">
        <f ca="1">'Operating Model'!I24</f>
        <v>631600.00000000035</v>
      </c>
      <c r="H33" s="88">
        <f ca="1">'Operating Model'!J24</f>
        <v>692100.00000000047</v>
      </c>
      <c r="I33" s="88">
        <f ca="1">'Operating Model'!K24</f>
        <v>753393.86334270786</v>
      </c>
      <c r="J33" s="88">
        <f ca="1">'Operating Model'!L24</f>
        <v>822270.34462822857</v>
      </c>
      <c r="L33" s="224">
        <f ca="1">(J33/C33)^(1/7)-1</f>
        <v>0.10717171478028154</v>
      </c>
    </row>
    <row r="34" spans="1:12" x14ac:dyDescent="0.35">
      <c r="B34" s="73" t="s">
        <v>365</v>
      </c>
      <c r="C34" s="170">
        <f>'Operating Model'!E54</f>
        <v>0.14423518932232463</v>
      </c>
      <c r="D34" s="133">
        <f ca="1">'Operating Model'!F54</f>
        <v>0.15491288628461541</v>
      </c>
      <c r="E34" s="133">
        <f ca="1">'Operating Model'!G54</f>
        <v>0.15873404938955876</v>
      </c>
      <c r="F34" s="133">
        <f ca="1">'Operating Model'!H54</f>
        <v>0.16628042745123611</v>
      </c>
      <c r="G34" s="133">
        <f ca="1">'Operating Model'!I54</f>
        <v>0.16249490917033699</v>
      </c>
      <c r="H34" s="133">
        <f ca="1">'Operating Model'!J54</f>
        <v>0.16400442842762394</v>
      </c>
      <c r="I34" s="133">
        <f ca="1">'Operating Model'!K54</f>
        <v>0.16400442842762392</v>
      </c>
      <c r="J34" s="133">
        <f ca="1">'Operating Model'!L54</f>
        <v>0.16400442842762389</v>
      </c>
    </row>
    <row r="35" spans="1:12" x14ac:dyDescent="0.35">
      <c r="B35" s="73"/>
      <c r="C35" s="170"/>
      <c r="D35" s="88"/>
      <c r="E35" s="88"/>
      <c r="F35" s="88"/>
      <c r="G35" s="88"/>
      <c r="H35" s="88"/>
      <c r="I35" s="88"/>
      <c r="J35" s="88"/>
    </row>
    <row r="36" spans="1:12" x14ac:dyDescent="0.35">
      <c r="B36" s="66" t="s">
        <v>320</v>
      </c>
      <c r="C36" s="352"/>
      <c r="D36" s="88">
        <f ca="1">Ratios!F19</f>
        <v>174726.63456786238</v>
      </c>
      <c r="E36" s="88">
        <f ca="1">Ratios!G19</f>
        <v>171452.65821139174</v>
      </c>
      <c r="F36" s="88">
        <f ca="1">Ratios!H19</f>
        <v>165085.80299341906</v>
      </c>
      <c r="G36" s="88">
        <f ca="1">Ratios!I19</f>
        <v>156342.95784805663</v>
      </c>
      <c r="H36" s="88">
        <f ca="1">Ratios!J19</f>
        <v>142619.31565516422</v>
      </c>
      <c r="I36" s="88">
        <f ca="1">Ratios!K19</f>
        <v>122759.30639506609</v>
      </c>
      <c r="J36" s="88">
        <f ca="1">Ratios!L19</f>
        <v>98883.180255817933</v>
      </c>
      <c r="L36" s="92"/>
    </row>
    <row r="37" spans="1:12" x14ac:dyDescent="0.35">
      <c r="C37" s="352"/>
      <c r="D37" s="88"/>
      <c r="E37" s="88"/>
      <c r="F37" s="88"/>
      <c r="G37" s="88"/>
      <c r="H37" s="88"/>
      <c r="I37" s="88"/>
      <c r="J37" s="88"/>
    </row>
    <row r="38" spans="1:12" x14ac:dyDescent="0.35">
      <c r="B38" s="66" t="s">
        <v>314</v>
      </c>
      <c r="C38" s="352">
        <f ca="1">Ratios!E10</f>
        <v>3000001.2372076465</v>
      </c>
      <c r="D38" s="88">
        <f ca="1">Ratios!F10</f>
        <v>2969776.8376933453</v>
      </c>
      <c r="E38" s="88">
        <f ca="1">Ratios!G10</f>
        <v>2823029.5422632881</v>
      </c>
      <c r="F38" s="88">
        <f ca="1">Ratios!H10</f>
        <v>2625622.5015867129</v>
      </c>
      <c r="G38" s="88">
        <f ca="1">Ratios!I10</f>
        <v>2350443.3181896433</v>
      </c>
      <c r="H38" s="88">
        <f ca="1">Ratios!J10</f>
        <v>2034932.8831736553</v>
      </c>
      <c r="I38" s="88">
        <f ca="1">Ratios!K10</f>
        <v>1678514.4082513852</v>
      </c>
      <c r="J38" s="88">
        <f ca="1">Ratios!L10</f>
        <v>1276960.6247848249</v>
      </c>
      <c r="L38" s="92"/>
    </row>
    <row r="39" spans="1:12" x14ac:dyDescent="0.35">
      <c r="B39" s="66" t="s">
        <v>360</v>
      </c>
      <c r="C39" s="352">
        <f>Ratios!E11</f>
        <v>21341.550000000003</v>
      </c>
      <c r="D39" s="88">
        <f ca="1">Ratios!F11</f>
        <v>21341.550000000003</v>
      </c>
      <c r="E39" s="88">
        <f ca="1">Ratios!G11</f>
        <v>21341.550000000003</v>
      </c>
      <c r="F39" s="88">
        <f ca="1">Ratios!H11</f>
        <v>21341.550000000003</v>
      </c>
      <c r="G39" s="88">
        <f ca="1">Ratios!I11</f>
        <v>21341.550000000003</v>
      </c>
      <c r="H39" s="88">
        <f ca="1">Ratios!J11</f>
        <v>21341.550000000003</v>
      </c>
      <c r="I39" s="88">
        <f ca="1">Ratios!K11</f>
        <v>21341.550000000003</v>
      </c>
      <c r="J39" s="88">
        <f ca="1">Ratios!L11</f>
        <v>21341.550000000003</v>
      </c>
    </row>
    <row r="40" spans="1:12" x14ac:dyDescent="0.35">
      <c r="A40" s="70"/>
      <c r="B40" s="66" t="s">
        <v>316</v>
      </c>
      <c r="C40" s="186">
        <f ca="1">Ratios!E12</f>
        <v>2978659.6872076467</v>
      </c>
      <c r="D40" s="180">
        <f ca="1">Ratios!F12</f>
        <v>2948435.2876933455</v>
      </c>
      <c r="E40" s="180">
        <f ca="1">Ratios!G12</f>
        <v>2801687.9922632882</v>
      </c>
      <c r="F40" s="180">
        <f ca="1">Ratios!H12</f>
        <v>2604280.9515867131</v>
      </c>
      <c r="G40" s="180">
        <f ca="1">Ratios!I12</f>
        <v>2329101.7681896435</v>
      </c>
      <c r="H40" s="180">
        <f ca="1">Ratios!J12</f>
        <v>2013591.3331736552</v>
      </c>
      <c r="I40" s="180">
        <f ca="1">Ratios!K12</f>
        <v>1657172.8582513852</v>
      </c>
      <c r="J40" s="180">
        <f ca="1">Ratios!L12</f>
        <v>1255619.0747848249</v>
      </c>
      <c r="K40" s="70"/>
      <c r="L40" s="70"/>
    </row>
    <row r="41" spans="1:12" x14ac:dyDescent="0.35">
      <c r="C41" s="352"/>
      <c r="D41" s="503"/>
      <c r="E41" s="88"/>
      <c r="F41" s="88"/>
      <c r="G41" s="88"/>
      <c r="H41" s="88"/>
      <c r="I41" s="88"/>
      <c r="J41" s="88"/>
    </row>
    <row r="42" spans="1:12" x14ac:dyDescent="0.35">
      <c r="A42" s="70"/>
      <c r="B42" s="70" t="s">
        <v>344</v>
      </c>
      <c r="C42" s="353"/>
      <c r="D42" s="354"/>
      <c r="E42" s="354"/>
      <c r="F42" s="354"/>
      <c r="G42" s="354"/>
      <c r="H42" s="354"/>
      <c r="I42" s="354"/>
      <c r="J42" s="354"/>
      <c r="K42" s="70"/>
      <c r="L42" s="70"/>
    </row>
    <row r="43" spans="1:12" x14ac:dyDescent="0.35">
      <c r="B43" s="73" t="s">
        <v>345</v>
      </c>
      <c r="C43" s="352"/>
      <c r="D43" s="355">
        <f ca="1">Ratios!F26</f>
        <v>2.6097881176688094</v>
      </c>
      <c r="E43" s="355">
        <f ca="1">Ratios!G26</f>
        <v>2.9541198478103321</v>
      </c>
      <c r="F43" s="355">
        <f ca="1">Ratios!H26</f>
        <v>3.5222830891626389</v>
      </c>
      <c r="G43" s="355">
        <f ca="1">Ratios!I26</f>
        <v>4.1950821843405111</v>
      </c>
      <c r="H43" s="355">
        <f ca="1">Ratios!J26</f>
        <v>5.0579682575150624</v>
      </c>
      <c r="I43" s="355">
        <f ca="1">Ratios!K26</f>
        <v>6.4407176475002084</v>
      </c>
      <c r="J43" s="355">
        <f ca="1">Ratios!L26</f>
        <v>8.8323603388966241</v>
      </c>
    </row>
    <row r="44" spans="1:12" x14ac:dyDescent="0.35">
      <c r="B44" s="73" t="s">
        <v>361</v>
      </c>
      <c r="C44" s="352"/>
      <c r="D44" s="355">
        <f ca="1">Ratios!F31</f>
        <v>1.3614596920833779</v>
      </c>
      <c r="E44" s="355">
        <f ca="1">Ratios!G31</f>
        <v>1.7482576631416733</v>
      </c>
      <c r="F44" s="355">
        <f ca="1">Ratios!H31</f>
        <v>2.2926290156685485</v>
      </c>
      <c r="G44" s="355">
        <f ca="1">Ratios!I31</f>
        <v>2.8908340557055525</v>
      </c>
      <c r="H44" s="355">
        <f ca="1">Ratios!J31</f>
        <v>3.6496591763184409</v>
      </c>
      <c r="I44" s="355">
        <f ca="1">Ratios!K31</f>
        <v>4.5976423768510228</v>
      </c>
      <c r="J44" s="355">
        <f ca="1">Ratios!L31</f>
        <v>6.236652448620954</v>
      </c>
    </row>
    <row r="45" spans="1:12" x14ac:dyDescent="0.35">
      <c r="B45" s="73" t="s">
        <v>330</v>
      </c>
      <c r="C45" s="356">
        <f ca="1">Ratios!E39</f>
        <v>7.4406637992203342</v>
      </c>
      <c r="D45" s="355">
        <f ca="1">Ratios!F39</f>
        <v>6.7357152136387981</v>
      </c>
      <c r="E45" s="355">
        <f ca="1">Ratios!G39</f>
        <v>5.7683480634721844</v>
      </c>
      <c r="F45" s="355">
        <f ca="1">Ratios!H39</f>
        <v>4.6794198923306221</v>
      </c>
      <c r="G45" s="355">
        <f ca="1">Ratios!I39</f>
        <v>3.7214112067600413</v>
      </c>
      <c r="H45" s="355">
        <f ca="1">Ratios!J39</f>
        <v>2.9402295667875364</v>
      </c>
      <c r="I45" s="355">
        <f ca="1">Ratios!K39</f>
        <v>2.2279374573135509</v>
      </c>
      <c r="J45" s="355">
        <f ca="1">Ratios!L39</f>
        <v>1.5529693283079236</v>
      </c>
    </row>
    <row r="46" spans="1:12" x14ac:dyDescent="0.35">
      <c r="B46" s="73" t="s">
        <v>331</v>
      </c>
      <c r="C46" s="356">
        <f ca="1">Ratios!E40</f>
        <v>7.4406637992203342</v>
      </c>
      <c r="D46" s="355">
        <f ca="1">Ratios!F40</f>
        <v>6.7357152136387981</v>
      </c>
      <c r="E46" s="355">
        <f ca="1">Ratios!G40</f>
        <v>5.7683480634721844</v>
      </c>
      <c r="F46" s="355">
        <f ca="1">Ratios!H40</f>
        <v>4.6794198923306221</v>
      </c>
      <c r="G46" s="355">
        <f ca="1">Ratios!I40</f>
        <v>3.7214112067600413</v>
      </c>
      <c r="H46" s="355">
        <f ca="1">Ratios!J40</f>
        <v>2.9402295667875364</v>
      </c>
      <c r="I46" s="355">
        <f ca="1">Ratios!K40</f>
        <v>2.2279374573135509</v>
      </c>
      <c r="J46" s="355">
        <f ca="1">Ratios!L40</f>
        <v>1.5529693283079236</v>
      </c>
    </row>
    <row r="47" spans="1:12" x14ac:dyDescent="0.35">
      <c r="B47" s="73" t="s">
        <v>362</v>
      </c>
      <c r="C47" s="170">
        <f ca="1">Ratios!E37</f>
        <v>0.5994775057285231</v>
      </c>
      <c r="D47" s="133">
        <f ca="1">Ratios!F37</f>
        <v>0.60049820355959649</v>
      </c>
      <c r="E47" s="133">
        <f ca="1">Ratios!G37</f>
        <v>0.61374996668562209</v>
      </c>
      <c r="F47" s="133">
        <f ca="1">Ratios!H37</f>
        <v>0.63388908209931005</v>
      </c>
      <c r="G47" s="133">
        <f ca="1">Ratios!I37</f>
        <v>0.66378692924992888</v>
      </c>
      <c r="H47" s="133">
        <f ca="1">Ratios!J37</f>
        <v>0.70124066917941985</v>
      </c>
      <c r="I47" s="133">
        <f ca="1">Ratios!K37</f>
        <v>0.74701750412128531</v>
      </c>
      <c r="J47" s="133">
        <f ca="1">Ratios!L37</f>
        <v>0.80258523446864127</v>
      </c>
    </row>
    <row r="48" spans="1:12" x14ac:dyDescent="0.35">
      <c r="C48" s="352"/>
      <c r="D48" s="88"/>
      <c r="E48" s="88"/>
      <c r="F48" s="88"/>
      <c r="G48" s="88"/>
      <c r="H48" s="88"/>
      <c r="I48" s="88"/>
      <c r="J48" s="88"/>
    </row>
    <row r="49" spans="1:14" x14ac:dyDescent="0.35">
      <c r="B49" s="66" t="s">
        <v>333</v>
      </c>
      <c r="C49" s="352"/>
      <c r="D49" s="133">
        <f ca="1">Ratios!F43</f>
        <v>1.0074795683228987E-2</v>
      </c>
      <c r="E49" s="133">
        <f ca="1">Ratios!G43</f>
        <v>5.8990540653603485E-2</v>
      </c>
      <c r="F49" s="133">
        <f ca="1">Ratios!H43</f>
        <v>0.12479286040875082</v>
      </c>
      <c r="G49" s="133">
        <f ca="1">Ratios!I43</f>
        <v>0.2165192170462574</v>
      </c>
      <c r="H49" s="133">
        <f ca="1">Ratios!J43</f>
        <v>0.32168931867916878</v>
      </c>
      <c r="I49" s="133">
        <f ca="1">Ratios!K43</f>
        <v>0.44049542799064983</v>
      </c>
      <c r="J49" s="133">
        <f ca="1">Ratios!L43</f>
        <v>0.57434663394559149</v>
      </c>
    </row>
    <row r="50" spans="1:14" ht="5.15" customHeight="1" thickBot="1" x14ac:dyDescent="0.4">
      <c r="B50" s="125"/>
      <c r="C50" s="125"/>
      <c r="D50" s="125"/>
      <c r="E50" s="125"/>
      <c r="F50" s="125"/>
      <c r="G50" s="125"/>
      <c r="H50" s="125"/>
      <c r="I50" s="125"/>
      <c r="J50" s="125"/>
      <c r="K50" s="125"/>
      <c r="L50" s="125"/>
    </row>
    <row r="51" spans="1:14" ht="16" thickTop="1" x14ac:dyDescent="0.35"/>
    <row r="52" spans="1:14" s="70" customFormat="1" x14ac:dyDescent="0.35">
      <c r="A52" s="70" t="s">
        <v>31</v>
      </c>
      <c r="B52" s="84" t="s">
        <v>354</v>
      </c>
      <c r="C52" s="84"/>
      <c r="D52" s="84"/>
      <c r="F52" s="84" t="s">
        <v>346</v>
      </c>
      <c r="G52" s="84"/>
      <c r="H52" s="84"/>
      <c r="I52" s="84"/>
    </row>
    <row r="53" spans="1:14" x14ac:dyDescent="0.35">
      <c r="B53" s="66" t="s">
        <v>348</v>
      </c>
      <c r="C53" s="75">
        <f ca="1">'Transaction Summary'!C68+SUM('Operating Model'!C201,'Operating Model'!C204:C207)-'Operating Model'!C181</f>
        <v>7374827.5500001069</v>
      </c>
      <c r="D53" s="70"/>
      <c r="F53" s="391" t="s">
        <v>347</v>
      </c>
      <c r="G53" s="218" t="s">
        <v>357</v>
      </c>
      <c r="H53" s="138" t="s">
        <v>358</v>
      </c>
      <c r="I53" s="138" t="s">
        <v>352</v>
      </c>
      <c r="J53" s="70"/>
      <c r="K53" s="70"/>
      <c r="L53" s="70"/>
      <c r="N53" s="66" t="s">
        <v>847</v>
      </c>
    </row>
    <row r="54" spans="1:14" x14ac:dyDescent="0.35">
      <c r="C54" s="222">
        <f>'Transaction Summary'!C29</f>
        <v>42731</v>
      </c>
      <c r="D54" s="219">
        <f>DATE(YEAR(C54)+1,MONTH(C54),DAY(C54))</f>
        <v>43096</v>
      </c>
      <c r="F54" s="210">
        <f ca="1">Returns!C25</f>
        <v>17.79119658225677</v>
      </c>
      <c r="G54" s="92">
        <f ca="1">Returns!I25</f>
        <v>0.18390765254211169</v>
      </c>
      <c r="H54" s="92">
        <f ca="1">Returns!J25</f>
        <v>0.17832441130380833</v>
      </c>
      <c r="I54" s="92">
        <f ca="1">Returns!K25</f>
        <v>0.17193104687922664</v>
      </c>
      <c r="J54" s="70"/>
      <c r="K54" s="70"/>
      <c r="L54" s="70"/>
    </row>
    <row r="55" spans="1:14" x14ac:dyDescent="0.35">
      <c r="B55" s="66" t="s">
        <v>349</v>
      </c>
      <c r="C55" s="210">
        <f ca="1">$C$53/'Operating Model'!E10</f>
        <v>2.6382342019736624</v>
      </c>
      <c r="D55" s="210">
        <f ca="1">$C$53/'Operating Model'!F10</f>
        <v>2.5911903416235331</v>
      </c>
      <c r="F55" s="210">
        <f ca="1">Returns!C26</f>
        <v>18.29119658225677</v>
      </c>
      <c r="G55" s="92">
        <f ca="1">Returns!I26</f>
        <v>0.19426394479883979</v>
      </c>
      <c r="H55" s="92">
        <f ca="1">Returns!J26</f>
        <v>0.18613798436407236</v>
      </c>
      <c r="I55" s="92">
        <f ca="1">Returns!K26</f>
        <v>0.17811264949151828</v>
      </c>
      <c r="J55" s="70"/>
      <c r="K55" s="70"/>
      <c r="L55" s="70"/>
    </row>
    <row r="56" spans="1:14" x14ac:dyDescent="0.35">
      <c r="B56" s="66" t="s">
        <v>350</v>
      </c>
      <c r="C56" s="210">
        <f ca="1">$C$53/'Operating Model'!E24</f>
        <v>18.29119658225677</v>
      </c>
      <c r="D56" s="210">
        <f ca="1">$C$53/'Operating Model'!F24</f>
        <v>16.726757881606055</v>
      </c>
      <c r="F56" s="210">
        <f ca="1">Returns!C27</f>
        <v>18.79119658225677</v>
      </c>
      <c r="G56" s="92">
        <f ca="1">Returns!I27</f>
        <v>0.20435761723845464</v>
      </c>
      <c r="H56" s="92">
        <f ca="1">Returns!J27</f>
        <v>0.19375093774421245</v>
      </c>
      <c r="I56" s="92">
        <f ca="1">Returns!K27</f>
        <v>0.18413620804106384</v>
      </c>
      <c r="J56" s="70"/>
      <c r="K56" s="70"/>
      <c r="L56" s="70"/>
    </row>
    <row r="57" spans="1:14" x14ac:dyDescent="0.35">
      <c r="B57" s="66" t="s">
        <v>351</v>
      </c>
      <c r="C57" s="210">
        <f ca="1">$C$53/'Operating Model'!E28</f>
        <v>29.637420579902773</v>
      </c>
      <c r="D57" s="210">
        <f ca="1">$C$53/'Operating Model'!F28</f>
        <v>49.938103798916814</v>
      </c>
      <c r="E57" s="70"/>
      <c r="J57" s="70"/>
      <c r="K57" s="70"/>
      <c r="L57" s="70"/>
    </row>
    <row r="58" spans="1:14" ht="5.15" customHeight="1" thickBot="1" x14ac:dyDescent="0.4">
      <c r="B58" s="183"/>
      <c r="C58" s="183"/>
      <c r="D58" s="183"/>
      <c r="E58" s="70"/>
      <c r="F58" s="125"/>
      <c r="G58" s="183"/>
      <c r="H58" s="125"/>
      <c r="I58" s="183"/>
      <c r="J58" s="70"/>
      <c r="K58" s="70"/>
      <c r="L58" s="70"/>
    </row>
    <row r="59" spans="1:14" ht="16" thickTop="1" x14ac:dyDescent="0.35">
      <c r="J59" s="70"/>
      <c r="K59" s="70"/>
      <c r="L59" s="70"/>
    </row>
    <row r="60" spans="1:14" s="70" customFormat="1" x14ac:dyDescent="0.35">
      <c r="A60" s="70" t="s">
        <v>31</v>
      </c>
      <c r="B60" s="84" t="s">
        <v>211</v>
      </c>
      <c r="C60" s="84"/>
      <c r="D60" s="84"/>
      <c r="E60" s="84"/>
      <c r="F60" s="84"/>
      <c r="G60" s="84"/>
      <c r="H60" s="84"/>
      <c r="I60" s="84"/>
      <c r="J60" s="84"/>
      <c r="K60" s="84"/>
      <c r="L60" s="84"/>
    </row>
    <row r="61" spans="1:14" x14ac:dyDescent="0.35">
      <c r="B61" s="140" t="s">
        <v>507</v>
      </c>
      <c r="C61" s="140"/>
      <c r="F61" s="142" t="s">
        <v>587</v>
      </c>
      <c r="G61" s="384"/>
      <c r="H61" s="142"/>
      <c r="I61" s="142"/>
      <c r="J61" s="142"/>
      <c r="K61" s="142"/>
      <c r="M61" s="70"/>
    </row>
    <row r="62" spans="1:14" x14ac:dyDescent="0.35">
      <c r="B62" s="66" t="s">
        <v>232</v>
      </c>
      <c r="C62" s="86">
        <v>22723.279999999999</v>
      </c>
      <c r="F62" s="223" t="s">
        <v>510</v>
      </c>
      <c r="G62" s="98" t="s">
        <v>216</v>
      </c>
      <c r="H62" s="98" t="s">
        <v>214</v>
      </c>
      <c r="I62" s="98" t="s">
        <v>244</v>
      </c>
      <c r="J62" s="98" t="s">
        <v>243</v>
      </c>
      <c r="K62" s="98" t="s">
        <v>215</v>
      </c>
      <c r="M62" s="70"/>
    </row>
    <row r="63" spans="1:14" x14ac:dyDescent="0.35">
      <c r="B63" s="141" t="s">
        <v>246</v>
      </c>
      <c r="C63" s="66">
        <f ca="1">J65</f>
        <v>25</v>
      </c>
      <c r="F63" s="66" t="s">
        <v>233</v>
      </c>
      <c r="G63" s="148">
        <v>14</v>
      </c>
      <c r="H63" s="136">
        <v>169.46</v>
      </c>
      <c r="I63" s="122" t="str">
        <f ca="1">IF(H63&lt;$C$65,"Yes","No")</f>
        <v>Yes</v>
      </c>
      <c r="J63" s="149">
        <f ca="1">IF(H63&lt;$C$65,G63,0)</f>
        <v>14</v>
      </c>
      <c r="K63" s="137">
        <f ca="1">H63*J63</f>
        <v>2372.44</v>
      </c>
      <c r="M63" s="70"/>
    </row>
    <row r="64" spans="1:14" x14ac:dyDescent="0.35">
      <c r="B64" s="67" t="s">
        <v>212</v>
      </c>
      <c r="C64" s="67">
        <f ca="1">C62+C63</f>
        <v>22748.28</v>
      </c>
      <c r="F64" s="66" t="s">
        <v>234</v>
      </c>
      <c r="G64" s="148">
        <v>11</v>
      </c>
      <c r="H64" s="136">
        <v>160.6</v>
      </c>
      <c r="I64" s="122" t="str">
        <f ca="1">IF(H64&lt;$C$65,"Yes","No")</f>
        <v>Yes</v>
      </c>
      <c r="J64" s="149">
        <f ca="1">IF(H64&lt;$C$65,G64,0)</f>
        <v>11</v>
      </c>
      <c r="K64" s="137">
        <f ca="1">H64*J64</f>
        <v>1766.6</v>
      </c>
      <c r="M64" s="70"/>
    </row>
    <row r="65" spans="1:13" x14ac:dyDescent="0.35">
      <c r="B65" s="66" t="str">
        <f ca="1">"x Purchase Price Per Share @ "&amp;TEXT(F6,"0%")&amp;" Premium"</f>
        <v>x Purchase Price Per Share @ 28% Premium</v>
      </c>
      <c r="C65" s="135">
        <f ca="1">C6*(1+F6)</f>
        <v>310.20686355188644</v>
      </c>
      <c r="F65" s="74" t="s">
        <v>142</v>
      </c>
      <c r="G65" s="150">
        <f>G63+G64</f>
        <v>25</v>
      </c>
      <c r="H65" s="70"/>
      <c r="I65" s="70"/>
      <c r="J65" s="150">
        <f ca="1">J63+J64</f>
        <v>25</v>
      </c>
      <c r="K65" s="76">
        <f ca="1">K63+K64</f>
        <v>4139.04</v>
      </c>
      <c r="M65" s="70"/>
    </row>
    <row r="66" spans="1:13" x14ac:dyDescent="0.35">
      <c r="B66" s="74"/>
      <c r="C66" s="76">
        <f ca="1">C64*C65</f>
        <v>7056672.590000107</v>
      </c>
      <c r="M66" s="70"/>
    </row>
    <row r="67" spans="1:13" x14ac:dyDescent="0.35">
      <c r="B67" s="141" t="s">
        <v>245</v>
      </c>
      <c r="C67" s="66">
        <f ca="1">-K65</f>
        <v>-4139.04</v>
      </c>
      <c r="M67" s="70"/>
    </row>
    <row r="68" spans="1:13" x14ac:dyDescent="0.35">
      <c r="B68" s="146" t="s">
        <v>213</v>
      </c>
      <c r="C68" s="217">
        <f ca="1">C66+C67</f>
        <v>7052533.5500001069</v>
      </c>
      <c r="I68" s="70"/>
      <c r="J68" s="70"/>
      <c r="K68" s="70"/>
      <c r="L68" s="70"/>
      <c r="M68" s="70"/>
    </row>
    <row r="69" spans="1:13" ht="5.15" customHeight="1" thickBot="1" x14ac:dyDescent="0.4">
      <c r="A69" s="70"/>
      <c r="B69" s="183"/>
      <c r="C69" s="125"/>
      <c r="D69" s="125"/>
      <c r="E69" s="125"/>
      <c r="F69" s="125"/>
      <c r="G69" s="125"/>
      <c r="H69" s="183"/>
      <c r="I69" s="183"/>
      <c r="J69" s="183"/>
      <c r="K69" s="183"/>
      <c r="L69" s="183"/>
      <c r="M69" s="70"/>
    </row>
    <row r="70" spans="1:13" ht="16" thickTop="1" x14ac:dyDescent="0.35">
      <c r="A70" s="70"/>
      <c r="B70" s="143" t="s">
        <v>217</v>
      </c>
      <c r="C70" s="70"/>
      <c r="D70" s="70"/>
      <c r="E70" s="384"/>
      <c r="F70" s="70"/>
      <c r="G70" s="70"/>
      <c r="H70" s="70"/>
      <c r="I70" s="70"/>
      <c r="J70" s="70"/>
      <c r="K70" s="70"/>
      <c r="L70" s="70"/>
      <c r="M70" s="70"/>
    </row>
    <row r="71" spans="1:13" x14ac:dyDescent="0.35">
      <c r="A71" s="70"/>
      <c r="B71" s="70"/>
      <c r="C71" s="70"/>
      <c r="D71" s="70"/>
      <c r="E71" s="70"/>
      <c r="F71" s="70"/>
      <c r="G71" s="70"/>
      <c r="H71" s="70"/>
      <c r="I71" s="70"/>
      <c r="J71" s="70"/>
      <c r="K71" s="70"/>
      <c r="L71" s="70"/>
      <c r="M71" s="70"/>
    </row>
    <row r="72" spans="1:13" x14ac:dyDescent="0.35">
      <c r="A72" s="70" t="s">
        <v>31</v>
      </c>
      <c r="B72" s="84" t="s">
        <v>311</v>
      </c>
      <c r="C72" s="140"/>
      <c r="D72" s="140"/>
      <c r="E72" s="140"/>
      <c r="F72" s="84"/>
      <c r="G72" s="84"/>
      <c r="H72" s="84"/>
      <c r="I72" s="84"/>
      <c r="J72" s="84"/>
      <c r="K72" s="84"/>
      <c r="L72" s="84"/>
    </row>
    <row r="73" spans="1:13" x14ac:dyDescent="0.35">
      <c r="A73" s="70"/>
      <c r="B73" s="140" t="s">
        <v>77</v>
      </c>
      <c r="C73" s="140"/>
      <c r="D73" s="70"/>
      <c r="E73" s="140" t="s">
        <v>227</v>
      </c>
      <c r="F73" s="140"/>
      <c r="G73" s="140"/>
      <c r="H73" s="140"/>
      <c r="I73" s="70"/>
      <c r="J73" s="70"/>
      <c r="K73" s="70"/>
      <c r="L73" s="70"/>
    </row>
    <row r="74" spans="1:13" x14ac:dyDescent="0.35">
      <c r="A74" s="70"/>
      <c r="B74" s="66" t="s">
        <v>213</v>
      </c>
      <c r="C74" s="75">
        <f ca="1">C68</f>
        <v>7052533.5500001069</v>
      </c>
      <c r="D74" s="70"/>
      <c r="E74" s="66" t="s">
        <v>843</v>
      </c>
      <c r="F74" s="70"/>
      <c r="G74" s="70"/>
      <c r="H74" s="75">
        <f ca="1">C77</f>
        <v>6886123.5500001069</v>
      </c>
      <c r="I74" s="70"/>
      <c r="J74" s="70"/>
      <c r="K74" s="70"/>
      <c r="L74" s="70"/>
    </row>
    <row r="75" spans="1:13" x14ac:dyDescent="0.35">
      <c r="A75" s="70"/>
      <c r="B75" s="66" t="s">
        <v>225</v>
      </c>
      <c r="C75" s="66">
        <f>'Operating Model'!C223</f>
        <v>288787</v>
      </c>
      <c r="D75" s="70"/>
      <c r="E75" s="66" t="s">
        <v>304</v>
      </c>
      <c r="F75" s="70"/>
      <c r="G75" s="70"/>
      <c r="H75" s="131">
        <v>0.56999999999999995</v>
      </c>
      <c r="I75" s="70"/>
      <c r="J75" s="70"/>
      <c r="K75" s="70"/>
      <c r="L75" s="70"/>
    </row>
    <row r="76" spans="1:13" x14ac:dyDescent="0.35">
      <c r="A76" s="70"/>
      <c r="B76" s="69" t="s">
        <v>226</v>
      </c>
      <c r="C76" s="69">
        <f>'Operating Model'!C190</f>
        <v>122377</v>
      </c>
      <c r="D76" s="70"/>
      <c r="E76" s="74" t="s">
        <v>228</v>
      </c>
      <c r="F76" s="74"/>
      <c r="G76" s="74"/>
      <c r="H76" s="76">
        <f ca="1">H74*H75</f>
        <v>3925090.4235000606</v>
      </c>
      <c r="I76" s="70"/>
      <c r="J76" s="70"/>
      <c r="K76" s="70"/>
      <c r="L76" s="70"/>
    </row>
    <row r="77" spans="1:13" x14ac:dyDescent="0.35">
      <c r="A77" s="70"/>
      <c r="B77" s="70" t="s">
        <v>843</v>
      </c>
      <c r="C77" s="77">
        <f ca="1">C74-C75+C76</f>
        <v>6886123.5500001069</v>
      </c>
      <c r="D77" s="70"/>
      <c r="E77" s="66" t="s">
        <v>305</v>
      </c>
      <c r="F77" s="70"/>
      <c r="G77" s="70"/>
      <c r="H77" s="86">
        <v>30</v>
      </c>
      <c r="I77" s="70"/>
      <c r="J77" s="70"/>
      <c r="K77" s="70"/>
      <c r="L77" s="70"/>
    </row>
    <row r="78" spans="1:13" x14ac:dyDescent="0.35">
      <c r="A78" s="70"/>
      <c r="B78" s="66" t="s">
        <v>306</v>
      </c>
      <c r="C78" s="66">
        <f ca="1">-H76</f>
        <v>-3925090.4235000606</v>
      </c>
      <c r="D78" s="70"/>
      <c r="E78" s="74" t="s">
        <v>229</v>
      </c>
      <c r="F78" s="74"/>
      <c r="G78" s="74"/>
      <c r="H78" s="76">
        <f ca="1">H76/H77</f>
        <v>130836.34745000202</v>
      </c>
      <c r="I78" s="70"/>
      <c r="J78" s="70"/>
      <c r="K78" s="70"/>
      <c r="L78" s="70"/>
    </row>
    <row r="79" spans="1:13" x14ac:dyDescent="0.35">
      <c r="A79" s="70"/>
      <c r="B79" s="74" t="s">
        <v>224</v>
      </c>
      <c r="C79" s="76">
        <f ca="1">SUM(C77:C78)</f>
        <v>2961033.1265000463</v>
      </c>
      <c r="D79" s="70"/>
      <c r="E79" s="70"/>
      <c r="F79" s="70"/>
      <c r="G79" s="70"/>
      <c r="H79" s="70"/>
      <c r="I79" s="70"/>
      <c r="J79" s="70"/>
      <c r="K79" s="70"/>
      <c r="L79" s="70"/>
    </row>
    <row r="80" spans="1:13" ht="16" thickBot="1" x14ac:dyDescent="0.4">
      <c r="A80" s="70"/>
      <c r="B80" s="183"/>
      <c r="C80" s="183"/>
      <c r="D80" s="183"/>
      <c r="E80" s="387"/>
      <c r="F80" s="183"/>
      <c r="G80" s="183"/>
      <c r="H80" s="183"/>
      <c r="I80" s="183"/>
      <c r="J80" s="183"/>
      <c r="K80" s="183"/>
      <c r="L80" s="183"/>
    </row>
    <row r="81" spans="1:12" ht="16" thickTop="1" x14ac:dyDescent="0.35">
      <c r="A81" s="70"/>
      <c r="B81" s="143" t="s">
        <v>741</v>
      </c>
      <c r="C81" s="70"/>
      <c r="D81" s="70"/>
      <c r="E81" s="70"/>
      <c r="F81" s="70"/>
      <c r="G81" s="70"/>
      <c r="H81" s="70"/>
      <c r="I81" s="70"/>
      <c r="J81" s="70"/>
      <c r="K81" s="70"/>
      <c r="L81" s="70"/>
    </row>
    <row r="82" spans="1:12" x14ac:dyDescent="0.35">
      <c r="A82" s="70"/>
      <c r="B82" s="70"/>
      <c r="C82" s="70"/>
      <c r="D82" s="70"/>
      <c r="E82" s="70"/>
      <c r="F82" s="70"/>
      <c r="G82" s="70"/>
      <c r="H82" s="70"/>
      <c r="I82" s="70"/>
      <c r="J82" s="70"/>
      <c r="K82" s="70"/>
      <c r="L82" s="70"/>
    </row>
    <row r="83" spans="1:12" x14ac:dyDescent="0.35">
      <c r="A83" s="70"/>
      <c r="B83" s="70"/>
      <c r="C83" s="70"/>
      <c r="D83" s="70"/>
      <c r="E83" s="70"/>
      <c r="F83" s="70"/>
      <c r="G83" s="70"/>
      <c r="H83" s="70"/>
      <c r="I83" s="70"/>
      <c r="J83" s="70"/>
      <c r="K83" s="70"/>
      <c r="L83" s="70"/>
    </row>
    <row r="84" spans="1:12" x14ac:dyDescent="0.35">
      <c r="A84" s="70"/>
      <c r="B84" s="70"/>
      <c r="C84" s="70"/>
      <c r="D84" s="70"/>
      <c r="E84" s="70"/>
      <c r="F84" s="70"/>
      <c r="G84" s="70"/>
      <c r="H84" s="70"/>
      <c r="I84" s="70"/>
      <c r="J84" s="70"/>
      <c r="K84" s="70"/>
      <c r="L84" s="70"/>
    </row>
    <row r="85" spans="1:12" x14ac:dyDescent="0.35">
      <c r="A85" s="70"/>
      <c r="B85" s="70"/>
      <c r="C85" s="70"/>
      <c r="D85" s="70"/>
      <c r="E85" s="70"/>
      <c r="F85" s="70"/>
      <c r="G85" s="70"/>
      <c r="H85" s="70"/>
      <c r="I85" s="70"/>
      <c r="J85" s="70"/>
      <c r="K85" s="70"/>
      <c r="L85" s="70"/>
    </row>
    <row r="86" spans="1:12" x14ac:dyDescent="0.35">
      <c r="A86" s="70"/>
      <c r="B86" s="70"/>
      <c r="C86" s="70"/>
      <c r="D86" s="70"/>
      <c r="E86" s="70"/>
      <c r="F86" s="70"/>
      <c r="G86" s="70"/>
      <c r="H86" s="70"/>
      <c r="I86" s="70"/>
      <c r="J86" s="70"/>
      <c r="K86" s="70"/>
      <c r="L86" s="70"/>
    </row>
    <row r="87" spans="1:12" x14ac:dyDescent="0.35">
      <c r="A87" s="70"/>
      <c r="B87" s="70"/>
      <c r="C87" s="70"/>
      <c r="D87" s="70"/>
      <c r="E87" s="70"/>
      <c r="F87" s="70"/>
      <c r="G87" s="70"/>
      <c r="H87" s="70"/>
      <c r="I87" s="70"/>
      <c r="J87" s="70"/>
      <c r="K87" s="70"/>
      <c r="L87" s="70"/>
    </row>
    <row r="88" spans="1:12" x14ac:dyDescent="0.35">
      <c r="A88" s="70"/>
      <c r="B88" s="70"/>
      <c r="C88" s="70"/>
      <c r="D88" s="70"/>
      <c r="E88" s="70"/>
      <c r="F88" s="70"/>
      <c r="G88" s="70"/>
      <c r="H88" s="70"/>
      <c r="I88" s="70"/>
      <c r="J88" s="70"/>
      <c r="K88" s="70"/>
      <c r="L88" s="70"/>
    </row>
    <row r="89" spans="1:12" x14ac:dyDescent="0.35">
      <c r="A89" s="70"/>
      <c r="B89" s="70"/>
      <c r="C89" s="70"/>
      <c r="D89" s="70"/>
      <c r="E89" s="70"/>
      <c r="F89" s="70"/>
      <c r="G89" s="70"/>
      <c r="H89" s="70"/>
      <c r="I89" s="70"/>
      <c r="J89" s="70"/>
      <c r="K89" s="70"/>
      <c r="L89" s="70"/>
    </row>
    <row r="90" spans="1:12" x14ac:dyDescent="0.35">
      <c r="A90" s="70"/>
      <c r="B90" s="70"/>
      <c r="C90" s="70"/>
      <c r="D90" s="70"/>
      <c r="E90" s="70"/>
      <c r="F90" s="70"/>
      <c r="G90" s="70"/>
      <c r="H90" s="70"/>
      <c r="I90" s="70"/>
      <c r="J90" s="70"/>
      <c r="K90" s="70"/>
      <c r="L90" s="70"/>
    </row>
    <row r="91" spans="1:12" x14ac:dyDescent="0.35">
      <c r="A91" s="70"/>
      <c r="B91" s="70"/>
      <c r="C91" s="70"/>
      <c r="D91" s="70"/>
      <c r="E91" s="70"/>
      <c r="F91" s="70"/>
      <c r="G91" s="70"/>
      <c r="H91" s="70"/>
      <c r="I91" s="70"/>
      <c r="J91" s="70"/>
      <c r="K91" s="70"/>
      <c r="L91" s="70"/>
    </row>
    <row r="92" spans="1:12" x14ac:dyDescent="0.35">
      <c r="A92" s="70"/>
      <c r="B92" s="70"/>
      <c r="C92" s="70"/>
      <c r="D92" s="70"/>
      <c r="E92" s="70"/>
      <c r="F92" s="70"/>
      <c r="G92" s="70"/>
      <c r="H92" s="70"/>
      <c r="I92" s="70"/>
      <c r="J92" s="70"/>
      <c r="K92" s="70"/>
      <c r="L92" s="70"/>
    </row>
    <row r="93" spans="1:12" x14ac:dyDescent="0.35">
      <c r="A93" s="70"/>
      <c r="B93" s="70"/>
      <c r="C93" s="70"/>
      <c r="D93" s="70"/>
      <c r="E93" s="70"/>
      <c r="F93" s="70"/>
      <c r="G93" s="70"/>
      <c r="H93" s="70"/>
      <c r="I93" s="70"/>
      <c r="J93" s="70"/>
      <c r="K93" s="70"/>
      <c r="L93" s="70"/>
    </row>
    <row r="94" spans="1:12" x14ac:dyDescent="0.35">
      <c r="A94" s="70"/>
      <c r="B94" s="70"/>
      <c r="C94" s="70"/>
      <c r="D94" s="70"/>
      <c r="E94" s="70"/>
      <c r="F94" s="70"/>
      <c r="G94" s="70"/>
      <c r="H94" s="70"/>
      <c r="I94" s="70"/>
      <c r="J94" s="70"/>
      <c r="K94" s="70"/>
      <c r="L94" s="70"/>
    </row>
    <row r="95" spans="1:12" x14ac:dyDescent="0.35">
      <c r="A95" s="70"/>
      <c r="B95" s="70"/>
      <c r="C95" s="70"/>
      <c r="D95" s="70"/>
      <c r="E95" s="70"/>
      <c r="F95" s="70"/>
      <c r="G95" s="70"/>
      <c r="H95" s="70"/>
      <c r="I95" s="70"/>
      <c r="J95" s="70"/>
      <c r="K95" s="70"/>
      <c r="L95" s="7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N341"/>
  <sheetViews>
    <sheetView showGridLines="0" zoomScaleNormal="100" workbookViewId="0">
      <selection activeCell="F1" sqref="F1"/>
    </sheetView>
  </sheetViews>
  <sheetFormatPr baseColWidth="10" defaultColWidth="10.9140625" defaultRowHeight="15.5" outlineLevelRow="1" x14ac:dyDescent="0.35"/>
  <cols>
    <col min="1" max="1" width="10.9140625" style="66"/>
    <col min="2" max="2" width="34.4140625" style="66" bestFit="1" customWidth="1"/>
    <col min="3" max="12" width="13.08203125" style="66" customWidth="1"/>
    <col min="13" max="14" width="14.9140625" style="66" bestFit="1" customWidth="1"/>
    <col min="15" max="16384" width="10.9140625" style="66"/>
  </cols>
  <sheetData>
    <row r="2" spans="1:14" s="70" customFormat="1" x14ac:dyDescent="0.35">
      <c r="A2" s="70" t="s">
        <v>31</v>
      </c>
      <c r="B2" s="70" t="s">
        <v>108</v>
      </c>
      <c r="L2" s="71" t="s">
        <v>110</v>
      </c>
      <c r="N2" s="70" t="s">
        <v>310</v>
      </c>
    </row>
    <row r="3" spans="1:14" x14ac:dyDescent="0.35">
      <c r="B3" s="66" t="s">
        <v>740</v>
      </c>
      <c r="L3" s="72" t="s">
        <v>130</v>
      </c>
    </row>
    <row r="4" spans="1:14" x14ac:dyDescent="0.35">
      <c r="B4" s="67"/>
      <c r="C4" s="68" t="s">
        <v>109</v>
      </c>
      <c r="D4" s="68"/>
      <c r="E4" s="151"/>
      <c r="F4" s="68" t="s">
        <v>128</v>
      </c>
      <c r="G4" s="68"/>
      <c r="H4" s="68"/>
      <c r="I4" s="68"/>
      <c r="J4" s="68"/>
      <c r="K4" s="68"/>
      <c r="L4" s="68"/>
    </row>
    <row r="5" spans="1:14" x14ac:dyDescent="0.35">
      <c r="B5" s="69"/>
      <c r="C5" s="187">
        <v>42003</v>
      </c>
      <c r="D5" s="187">
        <v>42367</v>
      </c>
      <c r="E5" s="188">
        <v>42731</v>
      </c>
      <c r="F5" s="189">
        <f t="shared" ref="F5:L5" si="0">DATE(YEAR(E5)+1,MONTH(E5),DAY(E5))</f>
        <v>43096</v>
      </c>
      <c r="G5" s="189">
        <f t="shared" si="0"/>
        <v>43461</v>
      </c>
      <c r="H5" s="189">
        <f t="shared" si="0"/>
        <v>43826</v>
      </c>
      <c r="I5" s="189">
        <f t="shared" si="0"/>
        <v>44192</v>
      </c>
      <c r="J5" s="189">
        <f t="shared" si="0"/>
        <v>44557</v>
      </c>
      <c r="K5" s="189">
        <f t="shared" si="0"/>
        <v>44922</v>
      </c>
      <c r="L5" s="189">
        <f t="shared" si="0"/>
        <v>45287</v>
      </c>
    </row>
    <row r="6" spans="1:14" s="70" customFormat="1" hidden="1" outlineLevel="1" x14ac:dyDescent="0.35">
      <c r="B6" s="70" t="s">
        <v>107</v>
      </c>
      <c r="C6" s="82"/>
      <c r="D6" s="82"/>
      <c r="E6" s="152"/>
      <c r="F6" s="83"/>
      <c r="G6" s="83"/>
      <c r="H6" s="83"/>
      <c r="I6" s="83"/>
      <c r="J6" s="83"/>
      <c r="K6" s="83"/>
      <c r="L6" s="83"/>
    </row>
    <row r="7" spans="1:14" hidden="1" outlineLevel="1" x14ac:dyDescent="0.35">
      <c r="B7" s="73" t="s">
        <v>114</v>
      </c>
      <c r="C7" s="85">
        <v>2230370</v>
      </c>
      <c r="D7" s="85">
        <v>2358794</v>
      </c>
      <c r="E7" s="154">
        <v>2433945</v>
      </c>
    </row>
    <row r="8" spans="1:14" hidden="1" outlineLevel="1" x14ac:dyDescent="0.35">
      <c r="B8" s="73" t="s">
        <v>115</v>
      </c>
      <c r="C8" s="86">
        <v>123686</v>
      </c>
      <c r="D8" s="86">
        <v>138563</v>
      </c>
      <c r="E8" s="155">
        <v>155271</v>
      </c>
    </row>
    <row r="9" spans="1:14" hidden="1" outlineLevel="1" x14ac:dyDescent="0.35">
      <c r="B9" s="73" t="s">
        <v>116</v>
      </c>
      <c r="C9" s="87">
        <v>175139</v>
      </c>
      <c r="D9" s="87">
        <v>184223</v>
      </c>
      <c r="E9" s="166">
        <v>206149</v>
      </c>
    </row>
    <row r="10" spans="1:14" collapsed="1" x14ac:dyDescent="0.35">
      <c r="B10" s="66" t="s">
        <v>127</v>
      </c>
      <c r="C10" s="75">
        <f>C7+C8+C9</f>
        <v>2529195</v>
      </c>
      <c r="D10" s="75">
        <f>D7+D8+D9</f>
        <v>2681580</v>
      </c>
      <c r="E10" s="167">
        <f>E7+E8+E9</f>
        <v>2795365</v>
      </c>
      <c r="F10" s="67">
        <f t="shared" ref="F10:L10" ca="1" si="1">E10*(1+F49)</f>
        <v>2846115.7142857146</v>
      </c>
      <c r="G10" s="67">
        <f t="shared" ca="1" si="1"/>
        <v>3083144.4285714291</v>
      </c>
      <c r="H10" s="67">
        <f t="shared" ca="1" si="1"/>
        <v>3374420.0000000005</v>
      </c>
      <c r="I10" s="67">
        <f t="shared" ca="1" si="1"/>
        <v>3886891.0000000005</v>
      </c>
      <c r="J10" s="67">
        <f t="shared" ca="1" si="1"/>
        <v>4220008</v>
      </c>
      <c r="K10" s="67">
        <f t="shared" ca="1" si="1"/>
        <v>4593740.9773979662</v>
      </c>
      <c r="L10" s="67">
        <f t="shared" ca="1" si="1"/>
        <v>5013708.1816123109</v>
      </c>
      <c r="N10" s="66" t="s">
        <v>117</v>
      </c>
    </row>
    <row r="11" spans="1:14" s="70" customFormat="1" hidden="1" outlineLevel="1" x14ac:dyDescent="0.35">
      <c r="B11" s="70" t="s">
        <v>124</v>
      </c>
      <c r="C11" s="77"/>
      <c r="D11" s="77"/>
      <c r="E11" s="169"/>
    </row>
    <row r="12" spans="1:14" s="70" customFormat="1" hidden="1" outlineLevel="1" x14ac:dyDescent="0.35">
      <c r="B12" s="78" t="s">
        <v>5</v>
      </c>
      <c r="E12" s="157"/>
    </row>
    <row r="13" spans="1:14" hidden="1" outlineLevel="1" x14ac:dyDescent="0.35">
      <c r="B13" s="79" t="s">
        <v>6</v>
      </c>
      <c r="C13" s="86">
        <v>669860</v>
      </c>
      <c r="D13" s="86">
        <v>715502</v>
      </c>
      <c r="E13" s="155">
        <v>709251</v>
      </c>
    </row>
    <row r="14" spans="1:14" hidden="1" outlineLevel="1" x14ac:dyDescent="0.35">
      <c r="B14" s="79" t="s">
        <v>7</v>
      </c>
      <c r="C14" s="86">
        <v>685576</v>
      </c>
      <c r="D14" s="86">
        <v>754646</v>
      </c>
      <c r="E14" s="155">
        <v>790238</v>
      </c>
    </row>
    <row r="15" spans="1:14" hidden="1" outlineLevel="1" x14ac:dyDescent="0.35">
      <c r="B15" s="79" t="s">
        <v>8</v>
      </c>
      <c r="C15" s="86">
        <v>159794</v>
      </c>
      <c r="D15" s="86">
        <v>169998</v>
      </c>
      <c r="E15" s="155">
        <v>167717</v>
      </c>
    </row>
    <row r="16" spans="1:14" hidden="1" outlineLevel="1" x14ac:dyDescent="0.35">
      <c r="B16" s="79" t="s">
        <v>9</v>
      </c>
      <c r="C16" s="86">
        <v>314879</v>
      </c>
      <c r="D16" s="86">
        <v>334635</v>
      </c>
      <c r="E16" s="155">
        <v>359609</v>
      </c>
      <c r="N16" s="66" t="s">
        <v>118</v>
      </c>
    </row>
    <row r="17" spans="2:14" s="70" customFormat="1" hidden="1" outlineLevel="1" x14ac:dyDescent="0.35">
      <c r="B17" s="80" t="s">
        <v>10</v>
      </c>
      <c r="C17" s="76">
        <f>C13+C14+C15+C16</f>
        <v>1830109</v>
      </c>
      <c r="D17" s="76">
        <f>D13+D14+D15+D16</f>
        <v>1974781</v>
      </c>
      <c r="E17" s="156">
        <f>E13+E14+E15+E16</f>
        <v>2026815</v>
      </c>
      <c r="F17" s="173"/>
      <c r="G17" s="74"/>
      <c r="H17" s="74"/>
      <c r="I17" s="74"/>
      <c r="J17" s="74"/>
      <c r="K17" s="74"/>
      <c r="L17" s="74"/>
    </row>
    <row r="18" spans="2:14" hidden="1" outlineLevel="1" x14ac:dyDescent="0.35">
      <c r="B18" s="73" t="s">
        <v>11</v>
      </c>
      <c r="C18" s="87">
        <v>152267</v>
      </c>
      <c r="D18" s="87">
        <v>160706</v>
      </c>
      <c r="E18" s="166">
        <v>178585</v>
      </c>
    </row>
    <row r="19" spans="2:14" collapsed="1" x14ac:dyDescent="0.35">
      <c r="B19" s="81" t="s">
        <v>125</v>
      </c>
      <c r="C19" s="66">
        <f>C17+C18</f>
        <v>1982376</v>
      </c>
      <c r="D19" s="66">
        <f>D17+D18</f>
        <v>2135487</v>
      </c>
      <c r="E19" s="153">
        <f>E17+E18</f>
        <v>2205400</v>
      </c>
      <c r="F19" s="204">
        <f t="shared" ref="F19:L19" ca="1" si="2">F10*(1-F50)</f>
        <v>2217372.0771428575</v>
      </c>
      <c r="G19" s="69">
        <f t="shared" ca="1" si="2"/>
        <v>2390256.8962857146</v>
      </c>
      <c r="H19" s="69">
        <f t="shared" ca="1" si="2"/>
        <v>2590608.2800000003</v>
      </c>
      <c r="I19" s="69">
        <f t="shared" ca="1" si="2"/>
        <v>2998756.1940000001</v>
      </c>
      <c r="J19" s="69">
        <f t="shared" ca="1" si="2"/>
        <v>3249387.4719999996</v>
      </c>
      <c r="K19" s="69">
        <f t="shared" ca="1" si="2"/>
        <v>3537160.2095469926</v>
      </c>
      <c r="L19" s="69">
        <f t="shared" ca="1" si="2"/>
        <v>3860533.0969976699</v>
      </c>
    </row>
    <row r="20" spans="2:14" s="70" customFormat="1" x14ac:dyDescent="0.35">
      <c r="B20" s="70" t="s">
        <v>123</v>
      </c>
      <c r="C20" s="76">
        <f t="shared" ref="C20:J20" si="3">C10-C19</f>
        <v>546819</v>
      </c>
      <c r="D20" s="76">
        <f t="shared" si="3"/>
        <v>546093</v>
      </c>
      <c r="E20" s="156">
        <f t="shared" si="3"/>
        <v>589965</v>
      </c>
      <c r="F20" s="76">
        <f t="shared" ca="1" si="3"/>
        <v>628743.63714285707</v>
      </c>
      <c r="G20" s="76">
        <f t="shared" ca="1" si="3"/>
        <v>692887.53228571452</v>
      </c>
      <c r="H20" s="76">
        <f t="shared" ca="1" si="3"/>
        <v>783811.7200000002</v>
      </c>
      <c r="I20" s="76">
        <f t="shared" ca="1" si="3"/>
        <v>888134.80600000033</v>
      </c>
      <c r="J20" s="76">
        <f t="shared" ca="1" si="3"/>
        <v>970620.5280000004</v>
      </c>
      <c r="K20" s="76">
        <f ca="1">K10-K19</f>
        <v>1056580.7678509736</v>
      </c>
      <c r="L20" s="76">
        <f ca="1">L10-L19</f>
        <v>1153175.084614641</v>
      </c>
    </row>
    <row r="21" spans="2:14" x14ac:dyDescent="0.35">
      <c r="E21" s="153"/>
    </row>
    <row r="22" spans="2:14" x14ac:dyDescent="0.35">
      <c r="B22" s="81" t="s">
        <v>13</v>
      </c>
      <c r="C22" s="86">
        <v>138060</v>
      </c>
      <c r="D22" s="86">
        <v>142904</v>
      </c>
      <c r="E22" s="155">
        <v>179876</v>
      </c>
      <c r="F22" s="66">
        <f t="shared" ref="F22:L22" ca="1" si="4">F10*F51</f>
        <v>182151.40571428573</v>
      </c>
      <c r="G22" s="66">
        <f t="shared" ca="1" si="4"/>
        <v>197321.24342857147</v>
      </c>
      <c r="H22" s="66">
        <f t="shared" ca="1" si="4"/>
        <v>215962.88000000003</v>
      </c>
      <c r="I22" s="66">
        <f t="shared" ca="1" si="4"/>
        <v>248761.02400000003</v>
      </c>
      <c r="J22" s="66">
        <f t="shared" ca="1" si="4"/>
        <v>270080.51199999999</v>
      </c>
      <c r="K22" s="66">
        <f t="shared" ca="1" si="4"/>
        <v>293999.42255346983</v>
      </c>
      <c r="L22" s="66">
        <f t="shared" ca="1" si="4"/>
        <v>320877.3236231879</v>
      </c>
    </row>
    <row r="23" spans="2:14" x14ac:dyDescent="0.35">
      <c r="B23" s="81" t="s">
        <v>14</v>
      </c>
      <c r="C23" s="86">
        <v>8707</v>
      </c>
      <c r="D23" s="86">
        <v>9089</v>
      </c>
      <c r="E23" s="155">
        <v>6899</v>
      </c>
      <c r="F23" s="66">
        <f t="shared" ref="F23:L23" ca="1" si="5">F10*F52</f>
        <v>5692.2314285714292</v>
      </c>
      <c r="G23" s="66">
        <f t="shared" ca="1" si="5"/>
        <v>6166.2888571428584</v>
      </c>
      <c r="H23" s="66">
        <f t="shared" ca="1" si="5"/>
        <v>6748.8400000000011</v>
      </c>
      <c r="I23" s="66">
        <f t="shared" ca="1" si="5"/>
        <v>7773.7820000000011</v>
      </c>
      <c r="J23" s="66">
        <f t="shared" ca="1" si="5"/>
        <v>8440.0159999999996</v>
      </c>
      <c r="K23" s="66">
        <f t="shared" ca="1" si="5"/>
        <v>9187.4819547959323</v>
      </c>
      <c r="L23" s="66">
        <f t="shared" ca="1" si="5"/>
        <v>10027.416363224622</v>
      </c>
    </row>
    <row r="24" spans="2:14" s="70" customFormat="1" x14ac:dyDescent="0.35">
      <c r="B24" s="70" t="s">
        <v>111</v>
      </c>
      <c r="C24" s="76">
        <f t="shared" ref="C24:J24" si="6">C20-C22-C23</f>
        <v>400052</v>
      </c>
      <c r="D24" s="76">
        <f t="shared" si="6"/>
        <v>394100</v>
      </c>
      <c r="E24" s="156">
        <f t="shared" si="6"/>
        <v>403190</v>
      </c>
      <c r="F24" s="76">
        <f t="shared" ca="1" si="6"/>
        <v>440899.99999999988</v>
      </c>
      <c r="G24" s="76">
        <f t="shared" ca="1" si="6"/>
        <v>489400.00000000017</v>
      </c>
      <c r="H24" s="76">
        <f t="shared" ca="1" si="6"/>
        <v>561100.00000000023</v>
      </c>
      <c r="I24" s="76">
        <f t="shared" ca="1" si="6"/>
        <v>631600.00000000035</v>
      </c>
      <c r="J24" s="76">
        <f t="shared" ca="1" si="6"/>
        <v>692100.00000000047</v>
      </c>
      <c r="K24" s="76">
        <f ca="1">K20-K22-K23</f>
        <v>753393.86334270786</v>
      </c>
      <c r="L24" s="76">
        <f ca="1">L20-L22-L23</f>
        <v>822270.34462822857</v>
      </c>
    </row>
    <row r="25" spans="2:14" x14ac:dyDescent="0.35">
      <c r="E25" s="153"/>
    </row>
    <row r="26" spans="2:14" x14ac:dyDescent="0.35">
      <c r="B26" s="66" t="s">
        <v>12</v>
      </c>
      <c r="C26" s="86">
        <v>124109</v>
      </c>
      <c r="D26" s="86">
        <v>135398</v>
      </c>
      <c r="E26" s="155">
        <v>154355</v>
      </c>
      <c r="F26" s="66">
        <f ca="1">F280</f>
        <v>162384.28571428568</v>
      </c>
      <c r="G26" s="66">
        <f t="shared" ref="G26:L26" ca="1" si="7">G280</f>
        <v>167414.42857142861</v>
      </c>
      <c r="H26" s="66">
        <f t="shared" ca="1" si="7"/>
        <v>180277.99999999991</v>
      </c>
      <c r="I26" s="66">
        <f t="shared" ca="1" si="7"/>
        <v>206375.00000000003</v>
      </c>
      <c r="J26" s="66">
        <f t="shared" ca="1" si="7"/>
        <v>220453.00000000006</v>
      </c>
      <c r="K26" s="66">
        <f t="shared" ca="1" si="7"/>
        <v>239976.79143980629</v>
      </c>
      <c r="L26" s="66">
        <f t="shared" ca="1" si="7"/>
        <v>261915.85650097797</v>
      </c>
      <c r="N26" s="197"/>
    </row>
    <row r="27" spans="2:14" x14ac:dyDescent="0.35">
      <c r="B27" s="66" t="s">
        <v>312</v>
      </c>
      <c r="C27" s="86">
        <v>0</v>
      </c>
      <c r="D27" s="86">
        <v>0</v>
      </c>
      <c r="E27" s="155">
        <v>0</v>
      </c>
      <c r="F27" s="66">
        <f ca="1">IF('Transaction Summary'!$H$77&gt;=YEAR(F$5)-YEAR($E$5),'Transaction Summary'!$H$78,0)</f>
        <v>130836.34745000202</v>
      </c>
      <c r="G27" s="66">
        <f ca="1">IF('Transaction Summary'!$H$77&gt;=YEAR(G$5)-YEAR($E$5),'Transaction Summary'!$H$78,0)</f>
        <v>130836.34745000202</v>
      </c>
      <c r="H27" s="66">
        <f ca="1">IF('Transaction Summary'!$H$77&gt;=YEAR(H$5)-YEAR($E$5),'Transaction Summary'!$H$78,0)</f>
        <v>130836.34745000202</v>
      </c>
      <c r="I27" s="66">
        <f ca="1">IF('Transaction Summary'!$H$77&gt;=YEAR(I$5)-YEAR($E$5),'Transaction Summary'!$H$78,0)</f>
        <v>130836.34745000202</v>
      </c>
      <c r="J27" s="66">
        <f ca="1">IF('Transaction Summary'!$H$77&gt;=YEAR(J$5)-YEAR($E$5),'Transaction Summary'!$H$78,0)</f>
        <v>130836.34745000202</v>
      </c>
      <c r="K27" s="66">
        <f ca="1">IF('Transaction Summary'!$H$77&gt;=YEAR(K$5)-YEAR($E$5),'Transaction Summary'!$H$78,0)</f>
        <v>130836.34745000202</v>
      </c>
      <c r="L27" s="66">
        <f ca="1">IF('Transaction Summary'!$H$77&gt;=YEAR(L$5)-YEAR($E$5),'Transaction Summary'!$H$78,0)</f>
        <v>130836.34745000202</v>
      </c>
      <c r="N27" s="197"/>
    </row>
    <row r="28" spans="2:14" s="70" customFormat="1" x14ac:dyDescent="0.35">
      <c r="B28" s="70" t="s">
        <v>112</v>
      </c>
      <c r="C28" s="76">
        <f>C24-C26-C27</f>
        <v>275943</v>
      </c>
      <c r="D28" s="76">
        <f t="shared" ref="D28:L28" si="8">D24-D26-D27</f>
        <v>258702</v>
      </c>
      <c r="E28" s="156">
        <f t="shared" si="8"/>
        <v>248835</v>
      </c>
      <c r="F28" s="76">
        <f t="shared" ca="1" si="8"/>
        <v>147679.36683571216</v>
      </c>
      <c r="G28" s="76">
        <f t="shared" ca="1" si="8"/>
        <v>191149.22397856956</v>
      </c>
      <c r="H28" s="76">
        <f t="shared" ca="1" si="8"/>
        <v>249985.65254999831</v>
      </c>
      <c r="I28" s="76">
        <f t="shared" ca="1" si="8"/>
        <v>294388.65254999831</v>
      </c>
      <c r="J28" s="76">
        <f t="shared" ca="1" si="8"/>
        <v>340810.65254999837</v>
      </c>
      <c r="K28" s="76">
        <f t="shared" ca="1" si="8"/>
        <v>382580.72445289954</v>
      </c>
      <c r="L28" s="76">
        <f t="shared" ca="1" si="8"/>
        <v>429518.14067724854</v>
      </c>
    </row>
    <row r="29" spans="2:14" x14ac:dyDescent="0.35">
      <c r="E29" s="153"/>
    </row>
    <row r="30" spans="2:14" x14ac:dyDescent="0.35">
      <c r="B30" s="66" t="s">
        <v>18</v>
      </c>
      <c r="C30" s="86">
        <v>1824</v>
      </c>
      <c r="D30" s="86">
        <v>3830</v>
      </c>
      <c r="E30" s="155">
        <v>8884</v>
      </c>
      <c r="F30" s="66">
        <f t="shared" ref="F30:L30" ca="1" si="9">IFERROR(F319,-1)</f>
        <v>168300.67135268505</v>
      </c>
      <c r="G30" s="66">
        <f t="shared" ca="1" si="9"/>
        <v>165026.69499621441</v>
      </c>
      <c r="H30" s="66">
        <f t="shared" ca="1" si="9"/>
        <v>158659.83977824173</v>
      </c>
      <c r="I30" s="66">
        <f t="shared" ca="1" si="9"/>
        <v>149916.9946328793</v>
      </c>
      <c r="J30" s="66">
        <f t="shared" ca="1" si="9"/>
        <v>136193.35243998689</v>
      </c>
      <c r="K30" s="66">
        <f t="shared" ca="1" si="9"/>
        <v>116333.34317988878</v>
      </c>
      <c r="L30" s="66">
        <f t="shared" ca="1" si="9"/>
        <v>92457.217040640622</v>
      </c>
      <c r="N30" s="197" t="str">
        <f ca="1">IF(OR(F30=-1,G30=-1,H30=-1,I30=-1,J30=-1,K30=-1,L30=-1),"Possible Recurision Error","Recursion Point")</f>
        <v>Recursion Point</v>
      </c>
    </row>
    <row r="31" spans="2:14" s="70" customFormat="1" outlineLevel="1" x14ac:dyDescent="0.35">
      <c r="B31" s="70" t="s">
        <v>302</v>
      </c>
      <c r="C31" s="202"/>
      <c r="D31" s="202"/>
      <c r="E31" s="203"/>
      <c r="N31" s="197"/>
    </row>
    <row r="32" spans="2:14" outlineLevel="1" x14ac:dyDescent="0.35">
      <c r="B32" s="73" t="s">
        <v>195</v>
      </c>
      <c r="C32" s="86">
        <v>0</v>
      </c>
      <c r="D32" s="86">
        <v>0</v>
      </c>
      <c r="E32" s="155">
        <v>0</v>
      </c>
      <c r="F32" s="66">
        <f ca="1">IF('Transaction Summary'!$F12&gt;=YEAR(F$5)-YEAR($E$5),'Transaction Summary'!$I12,0)</f>
        <v>2410.715361310974</v>
      </c>
      <c r="G32" s="66">
        <f ca="1">IF('Transaction Summary'!$F12&gt;=YEAR(G$5)-YEAR($E$5),'Transaction Summary'!$I12,0)</f>
        <v>2410.715361310974</v>
      </c>
      <c r="H32" s="66">
        <f ca="1">IF('Transaction Summary'!$F12&gt;=YEAR(H$5)-YEAR($E$5),'Transaction Summary'!$I12,0)</f>
        <v>2410.715361310974</v>
      </c>
      <c r="I32" s="66">
        <f ca="1">IF('Transaction Summary'!$F12&gt;=YEAR(I$5)-YEAR($E$5),'Transaction Summary'!$I12,0)</f>
        <v>2410.715361310974</v>
      </c>
      <c r="J32" s="66">
        <f ca="1">IF('Transaction Summary'!$F12&gt;=YEAR(J$5)-YEAR($E$5),'Transaction Summary'!$I12,0)</f>
        <v>2410.715361310974</v>
      </c>
      <c r="K32" s="66">
        <f ca="1">IF('Transaction Summary'!$F12&gt;=YEAR(K$5)-YEAR($E$5),'Transaction Summary'!$I12,0)</f>
        <v>2410.715361310974</v>
      </c>
      <c r="L32" s="66">
        <f ca="1">IF('Transaction Summary'!$F12&gt;=YEAR(L$5)-YEAR($E$5),'Transaction Summary'!$I12,0)</f>
        <v>2410.715361310974</v>
      </c>
      <c r="N32" s="197"/>
    </row>
    <row r="33" spans="2:14" outlineLevel="1" x14ac:dyDescent="0.35">
      <c r="B33" s="73" t="s">
        <v>196</v>
      </c>
      <c r="C33" s="86">
        <v>0</v>
      </c>
      <c r="D33" s="86">
        <v>0</v>
      </c>
      <c r="E33" s="155">
        <v>0</v>
      </c>
      <c r="F33" s="66">
        <f ca="1">IF('Transaction Summary'!$F13&gt;=YEAR(F$5)-YEAR($E$5),'Transaction Summary'!$I13,0)</f>
        <v>3375.0013538663479</v>
      </c>
      <c r="G33" s="66">
        <f ca="1">IF('Transaction Summary'!$F13&gt;=YEAR(G$5)-YEAR($E$5),'Transaction Summary'!$I13,0)</f>
        <v>3375.0013538663479</v>
      </c>
      <c r="H33" s="66">
        <f ca="1">IF('Transaction Summary'!$F13&gt;=YEAR(H$5)-YEAR($E$5),'Transaction Summary'!$I13,0)</f>
        <v>3375.0013538663479</v>
      </c>
      <c r="I33" s="66">
        <f ca="1">IF('Transaction Summary'!$F13&gt;=YEAR(I$5)-YEAR($E$5),'Transaction Summary'!$I13,0)</f>
        <v>3375.0013538663479</v>
      </c>
      <c r="J33" s="66">
        <f ca="1">IF('Transaction Summary'!$F13&gt;=YEAR(J$5)-YEAR($E$5),'Transaction Summary'!$I13,0)</f>
        <v>3375.0013538663479</v>
      </c>
      <c r="K33" s="66">
        <f ca="1">IF('Transaction Summary'!$F13&gt;=YEAR(K$5)-YEAR($E$5),'Transaction Summary'!$I13,0)</f>
        <v>3375.0013538663479</v>
      </c>
      <c r="L33" s="66">
        <f ca="1">IF('Transaction Summary'!$F13&gt;=YEAR(L$5)-YEAR($E$5),'Transaction Summary'!$I13,0)</f>
        <v>3375.0013538663479</v>
      </c>
      <c r="N33" s="197"/>
    </row>
    <row r="34" spans="2:14" outlineLevel="1" x14ac:dyDescent="0.35">
      <c r="B34" s="73" t="s">
        <v>197</v>
      </c>
      <c r="C34" s="86">
        <v>0</v>
      </c>
      <c r="D34" s="86">
        <v>0</v>
      </c>
      <c r="E34" s="155">
        <v>0</v>
      </c>
      <c r="F34" s="66">
        <f ca="1">IF('Transaction Summary'!$F14&gt;=YEAR(F$5)-YEAR($E$5),'Transaction Summary'!$I14,0)</f>
        <v>0</v>
      </c>
      <c r="G34" s="66">
        <f ca="1">IF('Transaction Summary'!$F14&gt;=YEAR(G$5)-YEAR($E$5),'Transaction Summary'!$I14,0)</f>
        <v>0</v>
      </c>
      <c r="H34" s="66">
        <f ca="1">IF('Transaction Summary'!$F14&gt;=YEAR(H$5)-YEAR($E$5),'Transaction Summary'!$I14,0)</f>
        <v>0</v>
      </c>
      <c r="I34" s="66">
        <f ca="1">IF('Transaction Summary'!$F14&gt;=YEAR(I$5)-YEAR($E$5),'Transaction Summary'!$I14,0)</f>
        <v>0</v>
      </c>
      <c r="J34" s="66">
        <f ca="1">IF('Transaction Summary'!$F14&gt;=YEAR(J$5)-YEAR($E$5),'Transaction Summary'!$I14,0)</f>
        <v>0</v>
      </c>
      <c r="K34" s="66">
        <f ca="1">IF('Transaction Summary'!$F14&gt;=YEAR(K$5)-YEAR($E$5),'Transaction Summary'!$I14,0)</f>
        <v>0</v>
      </c>
      <c r="L34" s="66">
        <f ca="1">IF('Transaction Summary'!$F14&gt;=YEAR(L$5)-YEAR($E$5),'Transaction Summary'!$I14,0)</f>
        <v>0</v>
      </c>
      <c r="N34" s="197"/>
    </row>
    <row r="35" spans="2:14" x14ac:dyDescent="0.35">
      <c r="B35" s="66" t="s">
        <v>302</v>
      </c>
      <c r="C35" s="86">
        <v>0</v>
      </c>
      <c r="D35" s="86">
        <v>0</v>
      </c>
      <c r="E35" s="155">
        <v>0</v>
      </c>
      <c r="F35" s="66">
        <f t="shared" ref="F35:L35" ca="1" si="10">F32+F33+F34</f>
        <v>5785.7167151773219</v>
      </c>
      <c r="G35" s="66">
        <f t="shared" ca="1" si="10"/>
        <v>5785.7167151773219</v>
      </c>
      <c r="H35" s="66">
        <f t="shared" ca="1" si="10"/>
        <v>5785.7167151773219</v>
      </c>
      <c r="I35" s="66">
        <f t="shared" ca="1" si="10"/>
        <v>5785.7167151773219</v>
      </c>
      <c r="J35" s="66">
        <f t="shared" ca="1" si="10"/>
        <v>5785.7167151773219</v>
      </c>
      <c r="K35" s="66">
        <f t="shared" ca="1" si="10"/>
        <v>5785.7167151773219</v>
      </c>
      <c r="L35" s="66">
        <f t="shared" ca="1" si="10"/>
        <v>5785.7167151773219</v>
      </c>
      <c r="N35" s="197"/>
    </row>
    <row r="36" spans="2:14" s="70" customFormat="1" x14ac:dyDescent="0.35">
      <c r="B36" s="70" t="s">
        <v>126</v>
      </c>
      <c r="C36" s="76">
        <f>C28-C30-C35</f>
        <v>274119</v>
      </c>
      <c r="D36" s="76">
        <f t="shared" ref="D36:L36" si="11">D28-D30-D35</f>
        <v>254872</v>
      </c>
      <c r="E36" s="156">
        <f t="shared" si="11"/>
        <v>239951</v>
      </c>
      <c r="F36" s="76">
        <f t="shared" ca="1" si="11"/>
        <v>-26407.021232150208</v>
      </c>
      <c r="G36" s="76">
        <f t="shared" ca="1" si="11"/>
        <v>20336.812267177822</v>
      </c>
      <c r="H36" s="76">
        <f t="shared" ca="1" si="11"/>
        <v>85540.096056579263</v>
      </c>
      <c r="I36" s="76">
        <f t="shared" ca="1" si="11"/>
        <v>138685.94120194169</v>
      </c>
      <c r="J36" s="76">
        <f t="shared" ca="1" si="11"/>
        <v>198831.58339483416</v>
      </c>
      <c r="K36" s="76">
        <f t="shared" ca="1" si="11"/>
        <v>260461.66455783343</v>
      </c>
      <c r="L36" s="76">
        <f t="shared" ca="1" si="11"/>
        <v>331275.2069214306</v>
      </c>
    </row>
    <row r="37" spans="2:14" x14ac:dyDescent="0.35">
      <c r="E37" s="153"/>
    </row>
    <row r="38" spans="2:14" x14ac:dyDescent="0.35">
      <c r="B38" s="66" t="s">
        <v>488</v>
      </c>
      <c r="E38" s="153"/>
      <c r="F38" s="66">
        <f ca="1">F333</f>
        <v>0</v>
      </c>
      <c r="G38" s="66">
        <f t="shared" ref="G38:L38" ca="1" si="12">G333</f>
        <v>-20336.812267177822</v>
      </c>
      <c r="H38" s="66">
        <f t="shared" ca="1" si="12"/>
        <v>-6070.2089649723857</v>
      </c>
      <c r="I38" s="66">
        <f t="shared" ca="1" si="12"/>
        <v>0</v>
      </c>
      <c r="J38" s="66">
        <f t="shared" ca="1" si="12"/>
        <v>0</v>
      </c>
      <c r="K38" s="66">
        <f t="shared" ca="1" si="12"/>
        <v>0</v>
      </c>
      <c r="L38" s="66">
        <f t="shared" ca="1" si="12"/>
        <v>0</v>
      </c>
    </row>
    <row r="39" spans="2:14" x14ac:dyDescent="0.35">
      <c r="B39" s="66" t="s">
        <v>21</v>
      </c>
      <c r="C39" s="86">
        <v>98001</v>
      </c>
      <c r="D39" s="86">
        <v>87247</v>
      </c>
      <c r="E39" s="155">
        <v>84258</v>
      </c>
      <c r="F39" s="66">
        <f ca="1">MAX(0,(F36+F38)*F57)</f>
        <v>0</v>
      </c>
      <c r="G39" s="66">
        <f t="shared" ref="G39:L39" ca="1" si="13">MAX(0,(G36+G38)*G57)</f>
        <v>0</v>
      </c>
      <c r="H39" s="66">
        <f t="shared" ca="1" si="13"/>
        <v>27814.460482062408</v>
      </c>
      <c r="I39" s="66">
        <f t="shared" ca="1" si="13"/>
        <v>48540.079420679591</v>
      </c>
      <c r="J39" s="66">
        <f t="shared" ca="1" si="13"/>
        <v>69591.054188191949</v>
      </c>
      <c r="K39" s="66">
        <f t="shared" ca="1" si="13"/>
        <v>91161.582595241693</v>
      </c>
      <c r="L39" s="66">
        <f t="shared" ca="1" si="13"/>
        <v>115946.3224225007</v>
      </c>
    </row>
    <row r="40" spans="2:14" s="70" customFormat="1" x14ac:dyDescent="0.35">
      <c r="B40" s="70" t="s">
        <v>120</v>
      </c>
      <c r="C40" s="76">
        <f>C36-C38-C39</f>
        <v>176118</v>
      </c>
      <c r="D40" s="76">
        <f t="shared" ref="D40:L40" si="14">D36-D39</f>
        <v>167625</v>
      </c>
      <c r="E40" s="156">
        <f t="shared" si="14"/>
        <v>155693</v>
      </c>
      <c r="F40" s="76">
        <f t="shared" ca="1" si="14"/>
        <v>-26407.021232150208</v>
      </c>
      <c r="G40" s="76">
        <f t="shared" ca="1" si="14"/>
        <v>20336.812267177822</v>
      </c>
      <c r="H40" s="76">
        <f t="shared" ca="1" si="14"/>
        <v>57725.635574516855</v>
      </c>
      <c r="I40" s="76">
        <f t="shared" ca="1" si="14"/>
        <v>90145.861781262094</v>
      </c>
      <c r="J40" s="76">
        <f t="shared" ca="1" si="14"/>
        <v>129240.52920664221</v>
      </c>
      <c r="K40" s="76">
        <f t="shared" ca="1" si="14"/>
        <v>169300.08196259174</v>
      </c>
      <c r="L40" s="76">
        <f t="shared" ca="1" si="14"/>
        <v>215328.8844989299</v>
      </c>
    </row>
    <row r="41" spans="2:14" s="70" customFormat="1" x14ac:dyDescent="0.35">
      <c r="C41" s="77"/>
      <c r="D41" s="77"/>
      <c r="E41" s="169"/>
    </row>
    <row r="42" spans="2:14" s="70" customFormat="1" x14ac:dyDescent="0.35">
      <c r="B42" s="70" t="s">
        <v>121</v>
      </c>
      <c r="C42" s="77"/>
      <c r="D42" s="77"/>
      <c r="E42" s="169"/>
    </row>
    <row r="43" spans="2:14" x14ac:dyDescent="0.35">
      <c r="B43" s="73" t="s">
        <v>15</v>
      </c>
      <c r="C43" s="86">
        <v>0</v>
      </c>
      <c r="D43" s="86">
        <v>17108</v>
      </c>
      <c r="E43" s="155">
        <v>9072</v>
      </c>
      <c r="F43" s="86">
        <v>0</v>
      </c>
      <c r="G43" s="88">
        <f t="shared" ref="G43:J46" si="15">F43</f>
        <v>0</v>
      </c>
      <c r="H43" s="88">
        <f t="shared" si="15"/>
        <v>0</v>
      </c>
      <c r="I43" s="88">
        <f t="shared" si="15"/>
        <v>0</v>
      </c>
      <c r="J43" s="88">
        <f t="shared" si="15"/>
        <v>0</v>
      </c>
      <c r="K43" s="88">
        <f>J43</f>
        <v>0</v>
      </c>
      <c r="L43" s="88">
        <f>K43</f>
        <v>0</v>
      </c>
      <c r="N43" s="66" t="s">
        <v>119</v>
      </c>
    </row>
    <row r="44" spans="2:14" x14ac:dyDescent="0.35">
      <c r="B44" s="73" t="s">
        <v>19</v>
      </c>
      <c r="C44" s="86">
        <v>-3175</v>
      </c>
      <c r="D44" s="86">
        <v>1192</v>
      </c>
      <c r="E44" s="155">
        <v>1380</v>
      </c>
      <c r="F44" s="86">
        <v>0</v>
      </c>
      <c r="G44" s="88">
        <f t="shared" si="15"/>
        <v>0</v>
      </c>
      <c r="H44" s="88">
        <f t="shared" si="15"/>
        <v>0</v>
      </c>
      <c r="I44" s="88">
        <f t="shared" si="15"/>
        <v>0</v>
      </c>
      <c r="J44" s="88">
        <f t="shared" si="15"/>
        <v>0</v>
      </c>
      <c r="K44" s="88">
        <f>J44</f>
        <v>0</v>
      </c>
      <c r="L44" s="88">
        <f>K44</f>
        <v>0</v>
      </c>
      <c r="N44" s="66" t="s">
        <v>113</v>
      </c>
    </row>
    <row r="45" spans="2:14" s="70" customFormat="1" x14ac:dyDescent="0.35">
      <c r="B45" s="78" t="s">
        <v>122</v>
      </c>
      <c r="C45" s="76">
        <f>C43+C44</f>
        <v>-3175</v>
      </c>
      <c r="D45" s="76">
        <f t="shared" ref="D45:J45" si="16">D43+D44</f>
        <v>18300</v>
      </c>
      <c r="E45" s="156">
        <f t="shared" si="16"/>
        <v>10452</v>
      </c>
      <c r="F45" s="76">
        <f t="shared" si="16"/>
        <v>0</v>
      </c>
      <c r="G45" s="76">
        <f t="shared" si="16"/>
        <v>0</v>
      </c>
      <c r="H45" s="76">
        <f t="shared" si="16"/>
        <v>0</v>
      </c>
      <c r="I45" s="76">
        <f t="shared" si="16"/>
        <v>0</v>
      </c>
      <c r="J45" s="76">
        <f t="shared" si="16"/>
        <v>0</v>
      </c>
      <c r="K45" s="76">
        <f>K43+K44</f>
        <v>0</v>
      </c>
      <c r="L45" s="76">
        <f>L43+L44</f>
        <v>0</v>
      </c>
    </row>
    <row r="46" spans="2:14" x14ac:dyDescent="0.35">
      <c r="B46" s="66" t="s">
        <v>23</v>
      </c>
      <c r="C46" s="86">
        <v>0</v>
      </c>
      <c r="D46" s="86">
        <v>-17</v>
      </c>
      <c r="E46" s="155">
        <v>-333</v>
      </c>
      <c r="F46" s="86">
        <v>0</v>
      </c>
      <c r="G46" s="88">
        <f t="shared" si="15"/>
        <v>0</v>
      </c>
      <c r="H46" s="88">
        <f t="shared" si="15"/>
        <v>0</v>
      </c>
      <c r="I46" s="88">
        <f t="shared" si="15"/>
        <v>0</v>
      </c>
      <c r="J46" s="88">
        <f t="shared" si="15"/>
        <v>0</v>
      </c>
      <c r="K46" s="88">
        <f>J46</f>
        <v>0</v>
      </c>
      <c r="L46" s="88">
        <f>K46</f>
        <v>0</v>
      </c>
    </row>
    <row r="47" spans="2:14" s="70" customFormat="1" x14ac:dyDescent="0.35">
      <c r="B47" s="70" t="s">
        <v>299</v>
      </c>
      <c r="C47" s="76">
        <f>C40-C45-C46</f>
        <v>179293</v>
      </c>
      <c r="D47" s="76">
        <f t="shared" ref="D47:J47" si="17">D40-D45-D46</f>
        <v>149342</v>
      </c>
      <c r="E47" s="156">
        <f t="shared" si="17"/>
        <v>145574</v>
      </c>
      <c r="F47" s="76">
        <f t="shared" ca="1" si="17"/>
        <v>-26407.021232150208</v>
      </c>
      <c r="G47" s="76">
        <f t="shared" ca="1" si="17"/>
        <v>20336.812267177822</v>
      </c>
      <c r="H47" s="76">
        <f t="shared" ca="1" si="17"/>
        <v>57725.635574516855</v>
      </c>
      <c r="I47" s="76">
        <f t="shared" ca="1" si="17"/>
        <v>90145.861781262094</v>
      </c>
      <c r="J47" s="76">
        <f t="shared" ca="1" si="17"/>
        <v>129240.52920664221</v>
      </c>
      <c r="K47" s="76">
        <f ca="1">K40-K45-K46</f>
        <v>169300.08196259174</v>
      </c>
      <c r="L47" s="76">
        <f ca="1">L40-L45-L46</f>
        <v>215328.8844989299</v>
      </c>
    </row>
    <row r="48" spans="2:14" x14ac:dyDescent="0.35">
      <c r="E48" s="153"/>
    </row>
    <row r="49" spans="1:12" x14ac:dyDescent="0.35">
      <c r="B49" s="66" t="s">
        <v>252</v>
      </c>
      <c r="C49" s="128"/>
      <c r="D49" s="104">
        <f>D10/C10-1</f>
        <v>6.0250395876948915E-2</v>
      </c>
      <c r="E49" s="168">
        <f>E10/D10-1</f>
        <v>4.2432073628234201E-2</v>
      </c>
      <c r="F49" s="199">
        <f ca="1">'LBO Model'!I412</f>
        <v>1.8155308621848887E-2</v>
      </c>
      <c r="G49" s="199">
        <f ca="1">'LBO Model'!J412</f>
        <v>8.3281474852192172E-2</v>
      </c>
      <c r="H49" s="199">
        <f ca="1">'LBO Model'!K412</f>
        <v>9.4473540950377632E-2</v>
      </c>
      <c r="I49" s="199">
        <f ca="1">'LBO Model'!L412</f>
        <v>0.15186935828972081</v>
      </c>
      <c r="J49" s="199">
        <f ca="1">'LBO Model'!M412</f>
        <v>8.5702686285774377E-2</v>
      </c>
      <c r="K49" s="199">
        <f ca="1">'LBO Model'!N412</f>
        <v>8.8562149028619502E-2</v>
      </c>
      <c r="L49" s="199">
        <f ca="1">'LBO Model'!O412</f>
        <v>9.1421611771464628E-2</v>
      </c>
    </row>
    <row r="50" spans="1:12" x14ac:dyDescent="0.35">
      <c r="B50" s="66" t="s">
        <v>253</v>
      </c>
      <c r="C50" s="104">
        <f>C20/C10</f>
        <v>0.21620278388973566</v>
      </c>
      <c r="D50" s="104">
        <f>D20/D10</f>
        <v>0.20364598482983912</v>
      </c>
      <c r="E50" s="168">
        <f>E20/E10</f>
        <v>0.21105115074417832</v>
      </c>
      <c r="F50" s="199">
        <f ca="1">'LBO Model'!I413</f>
        <v>0.2209128862846155</v>
      </c>
      <c r="G50" s="199">
        <f ca="1">'LBO Model'!J413</f>
        <v>0.22473404938955877</v>
      </c>
      <c r="H50" s="199">
        <f ca="1">'LBO Model'!K413</f>
        <v>0.23228042745123609</v>
      </c>
      <c r="I50" s="199">
        <f ca="1">'LBO Model'!L413</f>
        <v>0.22849490917033694</v>
      </c>
      <c r="J50" s="199">
        <f ca="1">'LBO Model'!M413</f>
        <v>0.23000442842762389</v>
      </c>
      <c r="K50" s="199">
        <f ca="1">'LBO Model'!N413</f>
        <v>0.23000442842762389</v>
      </c>
      <c r="L50" s="199">
        <f ca="1">'LBO Model'!O413</f>
        <v>0.23000442842762389</v>
      </c>
    </row>
    <row r="51" spans="1:12" x14ac:dyDescent="0.35">
      <c r="B51" s="66" t="s">
        <v>355</v>
      </c>
      <c r="C51" s="175">
        <f>C22/C10</f>
        <v>5.4586538404512108E-2</v>
      </c>
      <c r="D51" s="175">
        <f>D22/D10</f>
        <v>5.3290970248883122E-2</v>
      </c>
      <c r="E51" s="177">
        <f>E22/E10</f>
        <v>6.4347947405794956E-2</v>
      </c>
      <c r="F51" s="199">
        <f ca="1">'LBO Model'!I414</f>
        <v>6.4000000000000001E-2</v>
      </c>
      <c r="G51" s="199">
        <f ca="1">'LBO Model'!J414</f>
        <v>6.4000000000000001E-2</v>
      </c>
      <c r="H51" s="199">
        <f ca="1">'LBO Model'!K414</f>
        <v>6.4000000000000001E-2</v>
      </c>
      <c r="I51" s="199">
        <f ca="1">'LBO Model'!L414</f>
        <v>6.4000000000000001E-2</v>
      </c>
      <c r="J51" s="199">
        <f ca="1">'LBO Model'!M414</f>
        <v>6.4000000000000001E-2</v>
      </c>
      <c r="K51" s="199">
        <f ca="1">'LBO Model'!N414</f>
        <v>6.4000000000000001E-2</v>
      </c>
      <c r="L51" s="199">
        <f ca="1">'LBO Model'!O414</f>
        <v>6.4000000000000001E-2</v>
      </c>
    </row>
    <row r="52" spans="1:12" x14ac:dyDescent="0.35">
      <c r="B52" s="66" t="s">
        <v>356</v>
      </c>
      <c r="C52" s="175">
        <f>C23/C10</f>
        <v>3.4425973481680928E-3</v>
      </c>
      <c r="D52" s="175">
        <f>D23/D10</f>
        <v>3.3894196704927692E-3</v>
      </c>
      <c r="E52" s="177">
        <f>E23/E10</f>
        <v>2.4680140160587257E-3</v>
      </c>
      <c r="F52" s="199">
        <f ca="1">'LBO Model'!I415</f>
        <v>2E-3</v>
      </c>
      <c r="G52" s="199">
        <f ca="1">'LBO Model'!J415</f>
        <v>2E-3</v>
      </c>
      <c r="H52" s="199">
        <f ca="1">'LBO Model'!K415</f>
        <v>2E-3</v>
      </c>
      <c r="I52" s="199">
        <f ca="1">'LBO Model'!L415</f>
        <v>2E-3</v>
      </c>
      <c r="J52" s="199">
        <f ca="1">'LBO Model'!M415</f>
        <v>2E-3</v>
      </c>
      <c r="K52" s="199">
        <f ca="1">'LBO Model'!N415</f>
        <v>2E-3</v>
      </c>
      <c r="L52" s="199">
        <f ca="1">'LBO Model'!O415</f>
        <v>2E-3</v>
      </c>
    </row>
    <row r="53" spans="1:12" x14ac:dyDescent="0.35">
      <c r="E53" s="153"/>
    </row>
    <row r="54" spans="1:12" x14ac:dyDescent="0.35">
      <c r="B54" s="66" t="s">
        <v>254</v>
      </c>
      <c r="C54" s="129">
        <f t="shared" ref="C54:L54" si="18">C24/C10</f>
        <v>0.15817364813705548</v>
      </c>
      <c r="D54" s="129">
        <f t="shared" si="18"/>
        <v>0.14696559491046324</v>
      </c>
      <c r="E54" s="176">
        <f t="shared" si="18"/>
        <v>0.14423518932232463</v>
      </c>
      <c r="F54" s="129">
        <f t="shared" ca="1" si="18"/>
        <v>0.15491288628461541</v>
      </c>
      <c r="G54" s="129">
        <f t="shared" ca="1" si="18"/>
        <v>0.15873404938955876</v>
      </c>
      <c r="H54" s="129">
        <f t="shared" ca="1" si="18"/>
        <v>0.16628042745123611</v>
      </c>
      <c r="I54" s="129">
        <f t="shared" ca="1" si="18"/>
        <v>0.16249490917033699</v>
      </c>
      <c r="J54" s="129">
        <f t="shared" ca="1" si="18"/>
        <v>0.16400442842762394</v>
      </c>
      <c r="K54" s="129">
        <f t="shared" ca="1" si="18"/>
        <v>0.16400442842762392</v>
      </c>
      <c r="L54" s="129">
        <f t="shared" ca="1" si="18"/>
        <v>0.16400442842762389</v>
      </c>
    </row>
    <row r="55" spans="1:12" x14ac:dyDescent="0.35">
      <c r="B55" s="66" t="s">
        <v>255</v>
      </c>
      <c r="C55" s="129">
        <f t="shared" ref="C55:L55" si="19">C28/C10</f>
        <v>0.10910309406747996</v>
      </c>
      <c r="D55" s="129">
        <f t="shared" si="19"/>
        <v>9.6473720716890782E-2</v>
      </c>
      <c r="E55" s="176">
        <f t="shared" si="19"/>
        <v>8.9016997780254098E-2</v>
      </c>
      <c r="F55" s="129">
        <f t="shared" ca="1" si="19"/>
        <v>5.1888040283975256E-2</v>
      </c>
      <c r="G55" s="129">
        <f t="shared" ca="1" si="19"/>
        <v>6.1998141315468082E-2</v>
      </c>
      <c r="H55" s="129">
        <f t="shared" ca="1" si="19"/>
        <v>7.4082554201906778E-2</v>
      </c>
      <c r="I55" s="129">
        <f t="shared" ca="1" si="19"/>
        <v>7.5738849520091578E-2</v>
      </c>
      <c r="J55" s="129">
        <f t="shared" ca="1" si="19"/>
        <v>8.0760665039023238E-2</v>
      </c>
      <c r="K55" s="129">
        <f t="shared" ca="1" si="19"/>
        <v>8.3283042369011587E-2</v>
      </c>
      <c r="L55" s="129">
        <f t="shared" ca="1" si="19"/>
        <v>8.5668755563496693E-2</v>
      </c>
    </row>
    <row r="56" spans="1:12" x14ac:dyDescent="0.35">
      <c r="E56" s="153"/>
    </row>
    <row r="57" spans="1:12" x14ac:dyDescent="0.35">
      <c r="B57" s="66" t="s">
        <v>230</v>
      </c>
      <c r="C57" s="133">
        <f>C39/C36</f>
        <v>0.35751261313517124</v>
      </c>
      <c r="D57" s="133">
        <f>D39/D36</f>
        <v>0.34231692771273425</v>
      </c>
      <c r="E57" s="170">
        <f>E39/E36</f>
        <v>0.35114669244970848</v>
      </c>
      <c r="F57" s="500">
        <f ca="1">'LBO Model'!I417</f>
        <v>0.35</v>
      </c>
      <c r="G57" s="500">
        <f ca="1">'LBO Model'!J417</f>
        <v>0.35</v>
      </c>
      <c r="H57" s="500">
        <f ca="1">'LBO Model'!K417</f>
        <v>0.35</v>
      </c>
      <c r="I57" s="500">
        <f ca="1">'LBO Model'!L417</f>
        <v>0.35</v>
      </c>
      <c r="J57" s="500">
        <f ca="1">'LBO Model'!M417</f>
        <v>0.35</v>
      </c>
      <c r="K57" s="500">
        <f ca="1">'LBO Model'!N417</f>
        <v>0.35</v>
      </c>
      <c r="L57" s="500">
        <f ca="1">'LBO Model'!O417</f>
        <v>0.35</v>
      </c>
    </row>
    <row r="58" spans="1:12" ht="5.15" customHeight="1" thickBot="1" x14ac:dyDescent="0.4">
      <c r="B58" s="125"/>
      <c r="C58" s="125"/>
      <c r="D58" s="125"/>
      <c r="E58" s="125"/>
      <c r="F58" s="125"/>
      <c r="G58" s="125"/>
      <c r="H58" s="125"/>
      <c r="I58" s="125"/>
      <c r="J58" s="125"/>
      <c r="K58" s="125"/>
      <c r="L58" s="125"/>
    </row>
    <row r="59" spans="1:12" ht="16" thickTop="1" x14ac:dyDescent="0.35"/>
    <row r="60" spans="1:12" x14ac:dyDescent="0.35">
      <c r="A60" s="66" t="s">
        <v>31</v>
      </c>
      <c r="B60" s="70" t="s">
        <v>129</v>
      </c>
      <c r="C60" s="70"/>
      <c r="D60" s="70"/>
      <c r="E60" s="70"/>
      <c r="F60" s="70"/>
      <c r="G60" s="70"/>
      <c r="H60" s="70"/>
      <c r="I60" s="70"/>
      <c r="L60" s="71" t="s">
        <v>110</v>
      </c>
    </row>
    <row r="61" spans="1:12" x14ac:dyDescent="0.35">
      <c r="B61" s="66" t="s">
        <v>237</v>
      </c>
      <c r="L61" s="72" t="s">
        <v>130</v>
      </c>
    </row>
    <row r="62" spans="1:12" x14ac:dyDescent="0.35">
      <c r="B62" s="67"/>
      <c r="C62" s="68" t="s">
        <v>109</v>
      </c>
      <c r="D62" s="68"/>
      <c r="E62" s="151"/>
      <c r="F62" s="68" t="s">
        <v>128</v>
      </c>
      <c r="G62" s="68"/>
      <c r="H62" s="68"/>
      <c r="I62" s="68"/>
      <c r="J62" s="68"/>
      <c r="K62" s="68"/>
      <c r="L62" s="68"/>
    </row>
    <row r="63" spans="1:12" x14ac:dyDescent="0.35">
      <c r="B63" s="69"/>
      <c r="C63" s="187">
        <v>42003</v>
      </c>
      <c r="D63" s="187">
        <v>42367</v>
      </c>
      <c r="E63" s="188">
        <v>42731</v>
      </c>
      <c r="F63" s="189">
        <f t="shared" ref="F63:L63" si="20">DATE(YEAR(E63)+1,MONTH(E63),DAY(E63))</f>
        <v>43096</v>
      </c>
      <c r="G63" s="189">
        <f t="shared" si="20"/>
        <v>43461</v>
      </c>
      <c r="H63" s="189">
        <f t="shared" si="20"/>
        <v>43826</v>
      </c>
      <c r="I63" s="189">
        <f t="shared" si="20"/>
        <v>44192</v>
      </c>
      <c r="J63" s="189">
        <f t="shared" si="20"/>
        <v>44557</v>
      </c>
      <c r="K63" s="189">
        <f t="shared" si="20"/>
        <v>44922</v>
      </c>
      <c r="L63" s="189">
        <f t="shared" si="20"/>
        <v>45287</v>
      </c>
    </row>
    <row r="64" spans="1:12" s="70" customFormat="1" x14ac:dyDescent="0.35">
      <c r="B64" s="70" t="s">
        <v>32</v>
      </c>
      <c r="E64" s="158"/>
    </row>
    <row r="65" spans="2:14" x14ac:dyDescent="0.35">
      <c r="B65" s="73" t="s">
        <v>22</v>
      </c>
      <c r="C65" s="85">
        <v>179293</v>
      </c>
      <c r="D65" s="85">
        <v>149325</v>
      </c>
      <c r="E65" s="154">
        <v>145241</v>
      </c>
      <c r="F65" s="75">
        <f t="shared" ref="F65:L65" ca="1" si="21">F47</f>
        <v>-26407.021232150208</v>
      </c>
      <c r="G65" s="75">
        <f t="shared" ca="1" si="21"/>
        <v>20336.812267177822</v>
      </c>
      <c r="H65" s="75">
        <f t="shared" ca="1" si="21"/>
        <v>57725.635574516855</v>
      </c>
      <c r="I65" s="75">
        <f t="shared" ca="1" si="21"/>
        <v>90145.861781262094</v>
      </c>
      <c r="J65" s="75">
        <f t="shared" ca="1" si="21"/>
        <v>129240.52920664221</v>
      </c>
      <c r="K65" s="75">
        <f t="shared" ca="1" si="21"/>
        <v>169300.08196259174</v>
      </c>
      <c r="L65" s="75">
        <f t="shared" ca="1" si="21"/>
        <v>215328.8844989299</v>
      </c>
    </row>
    <row r="66" spans="2:14" x14ac:dyDescent="0.35">
      <c r="B66" s="73" t="s">
        <v>12</v>
      </c>
      <c r="C66" s="86">
        <v>124109</v>
      </c>
      <c r="D66" s="86">
        <v>135398</v>
      </c>
      <c r="E66" s="155">
        <v>154355</v>
      </c>
      <c r="F66" s="66">
        <f t="shared" ref="F66:L66" ca="1" si="22">F26</f>
        <v>162384.28571428568</v>
      </c>
      <c r="G66" s="66">
        <f t="shared" ca="1" si="22"/>
        <v>167414.42857142861</v>
      </c>
      <c r="H66" s="66">
        <f t="shared" ca="1" si="22"/>
        <v>180277.99999999991</v>
      </c>
      <c r="I66" s="66">
        <f t="shared" ca="1" si="22"/>
        <v>206375.00000000003</v>
      </c>
      <c r="J66" s="66">
        <f t="shared" ca="1" si="22"/>
        <v>220453.00000000006</v>
      </c>
      <c r="K66" s="66">
        <f t="shared" ca="1" si="22"/>
        <v>239976.79143980629</v>
      </c>
      <c r="L66" s="66">
        <f t="shared" ca="1" si="22"/>
        <v>261915.85650097797</v>
      </c>
    </row>
    <row r="67" spans="2:14" x14ac:dyDescent="0.35">
      <c r="B67" s="73" t="s">
        <v>34</v>
      </c>
      <c r="C67" s="86">
        <v>10077</v>
      </c>
      <c r="D67" s="86">
        <v>15086</v>
      </c>
      <c r="E67" s="155">
        <v>15662</v>
      </c>
      <c r="F67" s="86">
        <v>0</v>
      </c>
      <c r="G67" s="66">
        <f t="shared" ref="G67:L68" si="23">F67</f>
        <v>0</v>
      </c>
      <c r="H67" s="66">
        <f t="shared" si="23"/>
        <v>0</v>
      </c>
      <c r="I67" s="66">
        <f t="shared" si="23"/>
        <v>0</v>
      </c>
      <c r="J67" s="66">
        <f t="shared" si="23"/>
        <v>0</v>
      </c>
      <c r="K67" s="66">
        <f t="shared" si="23"/>
        <v>0</v>
      </c>
      <c r="L67" s="66">
        <f t="shared" si="23"/>
        <v>0</v>
      </c>
    </row>
    <row r="68" spans="2:14" x14ac:dyDescent="0.35">
      <c r="B68" s="73" t="s">
        <v>35</v>
      </c>
      <c r="C68" s="86">
        <v>-3089</v>
      </c>
      <c r="D68" s="86">
        <v>-2057</v>
      </c>
      <c r="E68" s="155">
        <v>-2456</v>
      </c>
      <c r="F68" s="86">
        <v>0</v>
      </c>
      <c r="G68" s="66">
        <f t="shared" si="23"/>
        <v>0</v>
      </c>
      <c r="H68" s="66">
        <f t="shared" si="23"/>
        <v>0</v>
      </c>
      <c r="I68" s="66">
        <f t="shared" si="23"/>
        <v>0</v>
      </c>
      <c r="J68" s="66">
        <f t="shared" si="23"/>
        <v>0</v>
      </c>
      <c r="K68" s="66">
        <f t="shared" si="23"/>
        <v>0</v>
      </c>
      <c r="L68" s="66">
        <f t="shared" si="23"/>
        <v>0</v>
      </c>
    </row>
    <row r="69" spans="2:14" x14ac:dyDescent="0.35">
      <c r="B69" s="73" t="s">
        <v>36</v>
      </c>
      <c r="C69" s="86">
        <v>10459</v>
      </c>
      <c r="D69" s="86">
        <v>-10991</v>
      </c>
      <c r="E69" s="155">
        <v>-3800</v>
      </c>
      <c r="F69" s="88">
        <f t="shared" ref="F69:L69" ca="1" si="24">-F339</f>
        <v>-9242.4574312525729</v>
      </c>
      <c r="G69" s="88">
        <f t="shared" ca="1" si="24"/>
        <v>7117.8842935122375</v>
      </c>
      <c r="H69" s="88">
        <f t="shared" ca="1" si="24"/>
        <v>2124.5731377403349</v>
      </c>
      <c r="I69" s="88">
        <f t="shared" ca="1" si="24"/>
        <v>0</v>
      </c>
      <c r="J69" s="88">
        <f t="shared" ca="1" si="24"/>
        <v>0</v>
      </c>
      <c r="K69" s="88">
        <f t="shared" ca="1" si="24"/>
        <v>0</v>
      </c>
      <c r="L69" s="88">
        <f t="shared" ca="1" si="24"/>
        <v>0</v>
      </c>
    </row>
    <row r="70" spans="2:14" x14ac:dyDescent="0.35">
      <c r="B70" s="73" t="s">
        <v>15</v>
      </c>
      <c r="C70" s="86">
        <v>0</v>
      </c>
      <c r="D70" s="86">
        <v>12942</v>
      </c>
      <c r="E70" s="155">
        <v>7212</v>
      </c>
      <c r="F70" s="86">
        <v>0</v>
      </c>
      <c r="G70" s="66">
        <f t="shared" ref="G70:L71" si="25">F70</f>
        <v>0</v>
      </c>
      <c r="H70" s="66">
        <f t="shared" si="25"/>
        <v>0</v>
      </c>
      <c r="I70" s="66">
        <f t="shared" si="25"/>
        <v>0</v>
      </c>
      <c r="J70" s="66">
        <f t="shared" si="25"/>
        <v>0</v>
      </c>
      <c r="K70" s="66">
        <f t="shared" si="25"/>
        <v>0</v>
      </c>
      <c r="L70" s="66">
        <f t="shared" si="25"/>
        <v>0</v>
      </c>
      <c r="N70" s="66" t="s">
        <v>251</v>
      </c>
    </row>
    <row r="71" spans="2:14" x14ac:dyDescent="0.35">
      <c r="B71" s="73" t="s">
        <v>37</v>
      </c>
      <c r="C71" s="86">
        <v>4617</v>
      </c>
      <c r="D71" s="86">
        <v>3505</v>
      </c>
      <c r="E71" s="155">
        <v>10551</v>
      </c>
      <c r="F71" s="86">
        <v>0</v>
      </c>
      <c r="G71" s="66">
        <f t="shared" si="25"/>
        <v>0</v>
      </c>
      <c r="H71" s="66">
        <f t="shared" si="25"/>
        <v>0</v>
      </c>
      <c r="I71" s="66">
        <f t="shared" si="25"/>
        <v>0</v>
      </c>
      <c r="J71" s="66">
        <f t="shared" si="25"/>
        <v>0</v>
      </c>
      <c r="K71" s="66">
        <f t="shared" si="25"/>
        <v>0</v>
      </c>
      <c r="L71" s="66">
        <f t="shared" si="25"/>
        <v>0</v>
      </c>
    </row>
    <row r="72" spans="2:14" s="70" customFormat="1" x14ac:dyDescent="0.35">
      <c r="B72" s="78" t="s">
        <v>131</v>
      </c>
      <c r="C72" s="86"/>
      <c r="D72" s="86"/>
      <c r="E72" s="155"/>
    </row>
    <row r="73" spans="2:14" x14ac:dyDescent="0.35">
      <c r="B73" s="79" t="s">
        <v>39</v>
      </c>
      <c r="C73" s="86">
        <v>-22139</v>
      </c>
      <c r="D73" s="86">
        <v>-3605</v>
      </c>
      <c r="E73" s="155">
        <v>66</v>
      </c>
      <c r="F73" s="66">
        <f t="shared" ref="F73:L73" ca="1" si="26">E240-F240</f>
        <v>-3260.9017612524622</v>
      </c>
      <c r="G73" s="66">
        <f t="shared" ca="1" si="26"/>
        <v>-9675.9666927593062</v>
      </c>
      <c r="H73" s="66">
        <f t="shared" ca="1" si="26"/>
        <v>-11890.427436399215</v>
      </c>
      <c r="I73" s="66">
        <f t="shared" ca="1" si="26"/>
        <v>-20486.523508496117</v>
      </c>
      <c r="J73" s="66">
        <f t="shared" ca="1" si="26"/>
        <v>-14032.000327120302</v>
      </c>
      <c r="K73" s="66">
        <f t="shared" ca="1" si="26"/>
        <v>-15256.496885560802</v>
      </c>
      <c r="L73" s="66">
        <f t="shared" ca="1" si="26"/>
        <v>-17143.86669258558</v>
      </c>
    </row>
    <row r="74" spans="2:14" x14ac:dyDescent="0.35">
      <c r="B74" s="79" t="s">
        <v>40</v>
      </c>
      <c r="C74" s="86">
        <v>-895</v>
      </c>
      <c r="D74" s="86">
        <v>-1698</v>
      </c>
      <c r="E74" s="155">
        <v>-977</v>
      </c>
      <c r="F74" s="66">
        <f t="shared" ref="F74:L74" ca="1" si="27">E242-F242</f>
        <v>690.03042974559503</v>
      </c>
      <c r="G74" s="66">
        <f t="shared" ca="1" si="27"/>
        <v>-1799.8967472407057</v>
      </c>
      <c r="H74" s="66">
        <f t="shared" ca="1" si="27"/>
        <v>-2085.8500222309194</v>
      </c>
      <c r="I74" s="66">
        <f t="shared" ca="1" si="27"/>
        <v>-4163.9108110936395</v>
      </c>
      <c r="J74" s="66">
        <f t="shared" ca="1" si="27"/>
        <v>-2694.612283700877</v>
      </c>
      <c r="K74" s="66">
        <f t="shared" ca="1" si="27"/>
        <v>-2995.9901443248527</v>
      </c>
      <c r="L74" s="66">
        <f t="shared" ca="1" si="27"/>
        <v>-3366.6218419522629</v>
      </c>
    </row>
    <row r="75" spans="2:14" x14ac:dyDescent="0.35">
      <c r="B75" s="79" t="s">
        <v>41</v>
      </c>
      <c r="C75" s="86">
        <v>-8524</v>
      </c>
      <c r="D75" s="86">
        <v>-7191</v>
      </c>
      <c r="E75" s="155">
        <v>-9923</v>
      </c>
      <c r="F75" s="66">
        <f t="shared" ref="F75:L75" ca="1" si="28">E244-F244</f>
        <v>5327.1633714285636</v>
      </c>
      <c r="G75" s="66">
        <f t="shared" ca="1" si="28"/>
        <v>-5318.9243485714323</v>
      </c>
      <c r="H75" s="66">
        <f t="shared" ca="1" si="28"/>
        <v>-6536.2238228571514</v>
      </c>
      <c r="I75" s="66">
        <f t="shared" ca="1" si="28"/>
        <v>-11499.849239999996</v>
      </c>
      <c r="J75" s="66">
        <f t="shared" ca="1" si="28"/>
        <v>-7475.1454799999919</v>
      </c>
      <c r="K75" s="66">
        <f t="shared" ca="1" si="28"/>
        <v>-8386.5680128103704</v>
      </c>
      <c r="L75" s="66">
        <f t="shared" ca="1" si="28"/>
        <v>-9424.064062569887</v>
      </c>
      <c r="N75" s="66" t="s">
        <v>249</v>
      </c>
    </row>
    <row r="76" spans="2:14" x14ac:dyDescent="0.35">
      <c r="B76" s="79" t="s">
        <v>43</v>
      </c>
      <c r="C76" s="86">
        <v>1978</v>
      </c>
      <c r="D76" s="86">
        <v>-183</v>
      </c>
      <c r="E76" s="155">
        <v>2650</v>
      </c>
      <c r="F76" s="66">
        <f t="shared" ref="F76:L76" ca="1" si="29">F248-E248</f>
        <v>-1192.5280273972567</v>
      </c>
      <c r="G76" s="66">
        <f t="shared" ca="1" si="29"/>
        <v>1657.7996356164404</v>
      </c>
      <c r="H76" s="66">
        <f t="shared" ca="1" si="29"/>
        <v>1921.1776520547937</v>
      </c>
      <c r="I76" s="66">
        <f t="shared" ca="1" si="29"/>
        <v>3835.1810102178279</v>
      </c>
      <c r="J76" s="66">
        <f t="shared" ca="1" si="29"/>
        <v>2481.879734987644</v>
      </c>
      <c r="K76" s="66">
        <f t="shared" ca="1" si="29"/>
        <v>2759.464606614998</v>
      </c>
      <c r="L76" s="66">
        <f t="shared" ca="1" si="29"/>
        <v>3100.8359070612933</v>
      </c>
    </row>
    <row r="77" spans="2:14" x14ac:dyDescent="0.35">
      <c r="B77" s="79" t="s">
        <v>44</v>
      </c>
      <c r="C77" s="86">
        <v>35288</v>
      </c>
      <c r="D77" s="86">
        <v>31169</v>
      </c>
      <c r="E77" s="155">
        <v>63531</v>
      </c>
      <c r="F77" s="66">
        <f t="shared" ref="F77:L77" ca="1" si="30">F250-E250</f>
        <v>-23802.485714285693</v>
      </c>
      <c r="G77" s="66">
        <f t="shared" ca="1" si="30"/>
        <v>30164.594285714382</v>
      </c>
      <c r="H77" s="66">
        <f t="shared" ca="1" si="30"/>
        <v>35132.091428571381</v>
      </c>
      <c r="I77" s="66">
        <f t="shared" ca="1" si="30"/>
        <v>70715.359999999928</v>
      </c>
      <c r="J77" s="66">
        <f t="shared" ca="1" si="30"/>
        <v>43618.719999999914</v>
      </c>
      <c r="K77" s="66">
        <f t="shared" ca="1" si="30"/>
        <v>49990.25824884139</v>
      </c>
      <c r="L77" s="66">
        <f t="shared" ca="1" si="30"/>
        <v>56174.515668611974</v>
      </c>
      <c r="N77" s="66" t="s">
        <v>250</v>
      </c>
    </row>
    <row r="78" spans="2:14" s="70" customFormat="1" x14ac:dyDescent="0.35">
      <c r="B78" s="80" t="s">
        <v>742</v>
      </c>
      <c r="C78" s="76">
        <f>SUM(C73:C77)</f>
        <v>5708</v>
      </c>
      <c r="D78" s="76">
        <f t="shared" ref="D78:J78" si="31">SUM(D73:D77)</f>
        <v>18492</v>
      </c>
      <c r="E78" s="156">
        <f t="shared" si="31"/>
        <v>55347</v>
      </c>
      <c r="F78" s="76">
        <f ca="1">SUM(F73:F77)</f>
        <v>-22238.721701761253</v>
      </c>
      <c r="G78" s="76">
        <f ca="1">SUM(G73:G77)</f>
        <v>15027.606132759378</v>
      </c>
      <c r="H78" s="76">
        <f t="shared" ca="1" si="31"/>
        <v>16540.767799138888</v>
      </c>
      <c r="I78" s="76">
        <f t="shared" ca="1" si="31"/>
        <v>38400.257450628007</v>
      </c>
      <c r="J78" s="76">
        <f t="shared" ca="1" si="31"/>
        <v>21898.841644166387</v>
      </c>
      <c r="K78" s="76">
        <f ca="1">SUM(K73:K77)</f>
        <v>26110.667812760363</v>
      </c>
      <c r="L78" s="76">
        <f ca="1">SUM(L73:L77)</f>
        <v>29340.798978565537</v>
      </c>
    </row>
    <row r="79" spans="2:14" x14ac:dyDescent="0.35">
      <c r="B79" s="79" t="s">
        <v>42</v>
      </c>
      <c r="C79" s="86">
        <v>239</v>
      </c>
      <c r="D79" s="86">
        <v>-455</v>
      </c>
      <c r="E79" s="155">
        <v>1625</v>
      </c>
      <c r="F79" s="86">
        <v>0</v>
      </c>
      <c r="G79" s="66">
        <f t="shared" ref="G79:L81" si="32">F79</f>
        <v>0</v>
      </c>
      <c r="H79" s="66">
        <f t="shared" si="32"/>
        <v>0</v>
      </c>
      <c r="I79" s="66">
        <f t="shared" si="32"/>
        <v>0</v>
      </c>
      <c r="J79" s="66">
        <f t="shared" si="32"/>
        <v>0</v>
      </c>
      <c r="K79" s="66">
        <f t="shared" si="32"/>
        <v>0</v>
      </c>
      <c r="L79" s="66">
        <f t="shared" si="32"/>
        <v>0</v>
      </c>
      <c r="N79" s="66" t="s">
        <v>248</v>
      </c>
    </row>
    <row r="80" spans="2:14" x14ac:dyDescent="0.35">
      <c r="B80" s="79" t="s">
        <v>45</v>
      </c>
      <c r="C80" s="86">
        <v>1067</v>
      </c>
      <c r="D80" s="86">
        <v>3751</v>
      </c>
      <c r="E80" s="155">
        <v>366</v>
      </c>
      <c r="F80" s="86">
        <v>0</v>
      </c>
      <c r="G80" s="66">
        <f t="shared" si="32"/>
        <v>0</v>
      </c>
      <c r="H80" s="66">
        <f t="shared" si="32"/>
        <v>0</v>
      </c>
      <c r="I80" s="66">
        <f t="shared" si="32"/>
        <v>0</v>
      </c>
      <c r="J80" s="66">
        <f t="shared" si="32"/>
        <v>0</v>
      </c>
      <c r="K80" s="66">
        <f t="shared" si="32"/>
        <v>0</v>
      </c>
      <c r="L80" s="66">
        <f t="shared" si="32"/>
        <v>0</v>
      </c>
    </row>
    <row r="81" spans="2:14" x14ac:dyDescent="0.35">
      <c r="B81" s="73" t="s">
        <v>46</v>
      </c>
      <c r="C81" s="86">
        <v>2599</v>
      </c>
      <c r="D81" s="86">
        <v>-6951</v>
      </c>
      <c r="E81" s="155">
        <v>3438</v>
      </c>
      <c r="F81" s="86">
        <v>0</v>
      </c>
      <c r="G81" s="66">
        <f t="shared" si="32"/>
        <v>0</v>
      </c>
      <c r="H81" s="66">
        <f t="shared" si="32"/>
        <v>0</v>
      </c>
      <c r="I81" s="66">
        <f t="shared" si="32"/>
        <v>0</v>
      </c>
      <c r="J81" s="66">
        <f t="shared" si="32"/>
        <v>0</v>
      </c>
      <c r="K81" s="66">
        <f t="shared" si="32"/>
        <v>0</v>
      </c>
      <c r="L81" s="66">
        <f t="shared" si="32"/>
        <v>0</v>
      </c>
    </row>
    <row r="82" spans="2:14" x14ac:dyDescent="0.35">
      <c r="B82" s="73" t="s">
        <v>302</v>
      </c>
      <c r="C82" s="86">
        <v>0</v>
      </c>
      <c r="D82" s="86">
        <v>0</v>
      </c>
      <c r="E82" s="155">
        <v>0</v>
      </c>
      <c r="F82" s="66">
        <f t="shared" ref="F82:L82" ca="1" si="33">F35</f>
        <v>5785.7167151773219</v>
      </c>
      <c r="G82" s="66">
        <f t="shared" ca="1" si="33"/>
        <v>5785.7167151773219</v>
      </c>
      <c r="H82" s="66">
        <f t="shared" ca="1" si="33"/>
        <v>5785.7167151773219</v>
      </c>
      <c r="I82" s="66">
        <f t="shared" ca="1" si="33"/>
        <v>5785.7167151773219</v>
      </c>
      <c r="J82" s="66">
        <f t="shared" ca="1" si="33"/>
        <v>5785.7167151773219</v>
      </c>
      <c r="K82" s="66">
        <f t="shared" ca="1" si="33"/>
        <v>5785.7167151773219</v>
      </c>
      <c r="L82" s="66">
        <f t="shared" ca="1" si="33"/>
        <v>5785.7167151773219</v>
      </c>
    </row>
    <row r="83" spans="2:14" x14ac:dyDescent="0.35">
      <c r="B83" s="73" t="s">
        <v>309</v>
      </c>
      <c r="C83" s="86">
        <v>0</v>
      </c>
      <c r="D83" s="86">
        <v>0</v>
      </c>
      <c r="E83" s="155">
        <v>0</v>
      </c>
      <c r="F83" s="66">
        <f t="shared" ref="F83:L83" ca="1" si="34">F27</f>
        <v>130836.34745000202</v>
      </c>
      <c r="G83" s="66">
        <f t="shared" ca="1" si="34"/>
        <v>130836.34745000202</v>
      </c>
      <c r="H83" s="66">
        <f t="shared" ca="1" si="34"/>
        <v>130836.34745000202</v>
      </c>
      <c r="I83" s="66">
        <f t="shared" ca="1" si="34"/>
        <v>130836.34745000202</v>
      </c>
      <c r="J83" s="66">
        <f t="shared" ca="1" si="34"/>
        <v>130836.34745000202</v>
      </c>
      <c r="K83" s="66">
        <f t="shared" ca="1" si="34"/>
        <v>130836.34745000202</v>
      </c>
      <c r="L83" s="66">
        <f t="shared" ca="1" si="34"/>
        <v>130836.34745000202</v>
      </c>
    </row>
    <row r="84" spans="2:14" s="70" customFormat="1" x14ac:dyDescent="0.35">
      <c r="B84" s="78" t="s">
        <v>47</v>
      </c>
      <c r="C84" s="76">
        <f t="shared" ref="C84:L84" si="35">SUM(C65:C71,C78:C83)</f>
        <v>335079</v>
      </c>
      <c r="D84" s="76">
        <f t="shared" si="35"/>
        <v>318045</v>
      </c>
      <c r="E84" s="156">
        <f t="shared" si="35"/>
        <v>387541</v>
      </c>
      <c r="F84" s="76">
        <f t="shared" ca="1" si="35"/>
        <v>241118.14951430098</v>
      </c>
      <c r="G84" s="76">
        <f t="shared" ca="1" si="35"/>
        <v>346518.79543005739</v>
      </c>
      <c r="H84" s="76">
        <f t="shared" ca="1" si="35"/>
        <v>393291.04067657539</v>
      </c>
      <c r="I84" s="76">
        <f t="shared" ca="1" si="35"/>
        <v>471543.18339706946</v>
      </c>
      <c r="J84" s="76">
        <f t="shared" ca="1" si="35"/>
        <v>508214.43501598807</v>
      </c>
      <c r="K84" s="76">
        <f t="shared" ca="1" si="35"/>
        <v>572009.60538033769</v>
      </c>
      <c r="L84" s="76">
        <f t="shared" ca="1" si="35"/>
        <v>643207.60414365272</v>
      </c>
    </row>
    <row r="85" spans="2:14" x14ac:dyDescent="0.35">
      <c r="E85" s="153"/>
    </row>
    <row r="86" spans="2:14" s="70" customFormat="1" x14ac:dyDescent="0.35">
      <c r="B86" s="70" t="s">
        <v>48</v>
      </c>
      <c r="C86" s="66"/>
      <c r="D86" s="66"/>
      <c r="E86" s="153"/>
    </row>
    <row r="87" spans="2:14" x14ac:dyDescent="0.35">
      <c r="B87" s="73" t="s">
        <v>49</v>
      </c>
      <c r="C87" s="86">
        <v>-224217</v>
      </c>
      <c r="D87" s="86">
        <v>-223932</v>
      </c>
      <c r="E87" s="155">
        <v>-200063</v>
      </c>
      <c r="F87" s="66">
        <f t="shared" ref="F87:L87" ca="1" si="36">-F268</f>
        <v>-210893.75000000003</v>
      </c>
      <c r="G87" s="66">
        <f t="shared" ca="1" si="36"/>
        <v>-199771.50000000003</v>
      </c>
      <c r="H87" s="66">
        <f t="shared" ca="1" si="36"/>
        <v>-195884.00000000003</v>
      </c>
      <c r="I87" s="66">
        <f t="shared" ca="1" si="36"/>
        <v>-196364</v>
      </c>
      <c r="J87" s="66">
        <f t="shared" ca="1" si="36"/>
        <v>-192704</v>
      </c>
      <c r="K87" s="66">
        <f t="shared" ca="1" si="36"/>
        <v>-215591.13045806772</v>
      </c>
      <c r="L87" s="66">
        <f t="shared" ca="1" si="36"/>
        <v>-241653.8206770923</v>
      </c>
    </row>
    <row r="88" spans="2:14" x14ac:dyDescent="0.35">
      <c r="B88" s="73" t="s">
        <v>50</v>
      </c>
      <c r="C88" s="86">
        <v>0</v>
      </c>
      <c r="D88" s="86">
        <v>0</v>
      </c>
      <c r="E88" s="155">
        <v>216</v>
      </c>
      <c r="F88" s="86">
        <v>0</v>
      </c>
      <c r="G88" s="66">
        <f t="shared" ref="G88:H91" si="37">F88</f>
        <v>0</v>
      </c>
      <c r="H88" s="66">
        <f t="shared" si="37"/>
        <v>0</v>
      </c>
      <c r="I88" s="66">
        <f t="shared" ref="I88:L91" si="38">H88</f>
        <v>0</v>
      </c>
      <c r="J88" s="66">
        <f t="shared" si="38"/>
        <v>0</v>
      </c>
      <c r="K88" s="66">
        <f t="shared" si="38"/>
        <v>0</v>
      </c>
      <c r="L88" s="66">
        <f t="shared" si="38"/>
        <v>0</v>
      </c>
    </row>
    <row r="89" spans="2:14" x14ac:dyDescent="0.35">
      <c r="B89" s="73" t="s">
        <v>51</v>
      </c>
      <c r="C89" s="86">
        <v>0</v>
      </c>
      <c r="D89" s="86">
        <v>46869</v>
      </c>
      <c r="E89" s="155">
        <v>15649</v>
      </c>
      <c r="F89" s="86">
        <v>0</v>
      </c>
      <c r="G89" s="66">
        <f t="shared" si="37"/>
        <v>0</v>
      </c>
      <c r="H89" s="66">
        <f t="shared" si="37"/>
        <v>0</v>
      </c>
      <c r="I89" s="66">
        <f t="shared" si="38"/>
        <v>0</v>
      </c>
      <c r="J89" s="66">
        <f t="shared" si="38"/>
        <v>0</v>
      </c>
      <c r="K89" s="66">
        <f t="shared" si="38"/>
        <v>0</v>
      </c>
      <c r="L89" s="66">
        <f t="shared" si="38"/>
        <v>0</v>
      </c>
      <c r="N89" s="66" t="s">
        <v>251</v>
      </c>
    </row>
    <row r="90" spans="2:14" x14ac:dyDescent="0.35">
      <c r="B90" s="73" t="s">
        <v>52</v>
      </c>
      <c r="C90" s="86">
        <v>0</v>
      </c>
      <c r="D90" s="86">
        <v>1553</v>
      </c>
      <c r="E90" s="155">
        <v>742</v>
      </c>
      <c r="F90" s="86">
        <v>0</v>
      </c>
      <c r="G90" s="66">
        <f t="shared" si="37"/>
        <v>0</v>
      </c>
      <c r="H90" s="66">
        <f t="shared" si="37"/>
        <v>0</v>
      </c>
      <c r="I90" s="66">
        <f t="shared" si="38"/>
        <v>0</v>
      </c>
      <c r="J90" s="66">
        <f t="shared" si="38"/>
        <v>0</v>
      </c>
      <c r="K90" s="66">
        <f t="shared" si="38"/>
        <v>0</v>
      </c>
      <c r="L90" s="66">
        <f t="shared" si="38"/>
        <v>0</v>
      </c>
    </row>
    <row r="91" spans="2:14" x14ac:dyDescent="0.35">
      <c r="B91" s="73" t="s">
        <v>53</v>
      </c>
      <c r="C91" s="86">
        <v>12900</v>
      </c>
      <c r="D91" s="86">
        <v>10095</v>
      </c>
      <c r="E91" s="155">
        <v>8940</v>
      </c>
      <c r="F91" s="86">
        <v>0</v>
      </c>
      <c r="G91" s="66">
        <f t="shared" si="37"/>
        <v>0</v>
      </c>
      <c r="H91" s="66">
        <f t="shared" si="37"/>
        <v>0</v>
      </c>
      <c r="I91" s="66">
        <f t="shared" si="38"/>
        <v>0</v>
      </c>
      <c r="J91" s="66">
        <f t="shared" si="38"/>
        <v>0</v>
      </c>
      <c r="K91" s="66">
        <f t="shared" si="38"/>
        <v>0</v>
      </c>
      <c r="L91" s="66">
        <f t="shared" si="38"/>
        <v>0</v>
      </c>
    </row>
    <row r="92" spans="2:14" s="70" customFormat="1" x14ac:dyDescent="0.35">
      <c r="B92" s="78" t="s">
        <v>54</v>
      </c>
      <c r="C92" s="76">
        <f>SUM(C87:C91)</f>
        <v>-211317</v>
      </c>
      <c r="D92" s="76">
        <f t="shared" ref="D92:J92" si="39">SUM(D87:D91)</f>
        <v>-165415</v>
      </c>
      <c r="E92" s="156">
        <f t="shared" si="39"/>
        <v>-174516</v>
      </c>
      <c r="F92" s="76">
        <f ca="1">SUM(F87:F91)</f>
        <v>-210893.75000000003</v>
      </c>
      <c r="G92" s="76">
        <f ca="1">SUM(G87:G91)</f>
        <v>-199771.50000000003</v>
      </c>
      <c r="H92" s="76">
        <f t="shared" ca="1" si="39"/>
        <v>-195884.00000000003</v>
      </c>
      <c r="I92" s="76">
        <f t="shared" ca="1" si="39"/>
        <v>-196364</v>
      </c>
      <c r="J92" s="76">
        <f t="shared" ca="1" si="39"/>
        <v>-192704</v>
      </c>
      <c r="K92" s="76">
        <f ca="1">SUM(K87:K91)</f>
        <v>-215591.13045806772</v>
      </c>
      <c r="L92" s="76">
        <f ca="1">SUM(L87:L91)</f>
        <v>-241653.8206770923</v>
      </c>
    </row>
    <row r="93" spans="2:14" x14ac:dyDescent="0.35">
      <c r="E93" s="153"/>
    </row>
    <row r="94" spans="2:14" s="70" customFormat="1" x14ac:dyDescent="0.35">
      <c r="B94" s="70" t="s">
        <v>55</v>
      </c>
      <c r="C94" s="66"/>
      <c r="D94" s="66"/>
      <c r="E94" s="153"/>
    </row>
    <row r="95" spans="2:14" s="70" customFormat="1" x14ac:dyDescent="0.35">
      <c r="B95" s="78" t="s">
        <v>300</v>
      </c>
      <c r="C95" s="66"/>
      <c r="D95" s="66"/>
      <c r="E95" s="153"/>
    </row>
    <row r="96" spans="2:14" x14ac:dyDescent="0.35">
      <c r="B96" s="79" t="s">
        <v>56</v>
      </c>
      <c r="C96" s="86">
        <v>0</v>
      </c>
      <c r="D96" s="86">
        <v>-6301</v>
      </c>
      <c r="E96" s="155">
        <v>-18683</v>
      </c>
      <c r="F96" s="86">
        <v>0</v>
      </c>
      <c r="G96" s="66">
        <f t="shared" ref="G96:H99" si="40">F96</f>
        <v>0</v>
      </c>
      <c r="H96" s="66">
        <f t="shared" si="40"/>
        <v>0</v>
      </c>
      <c r="I96" s="66">
        <f t="shared" ref="I96:J99" si="41">H96</f>
        <v>0</v>
      </c>
      <c r="J96" s="66">
        <f t="shared" si="41"/>
        <v>0</v>
      </c>
      <c r="K96" s="66">
        <f t="shared" ref="K96:L99" si="42">J96</f>
        <v>0</v>
      </c>
      <c r="L96" s="66">
        <f t="shared" si="42"/>
        <v>0</v>
      </c>
    </row>
    <row r="97" spans="2:12" x14ac:dyDescent="0.35">
      <c r="B97" s="79" t="s">
        <v>57</v>
      </c>
      <c r="C97" s="86">
        <v>100000</v>
      </c>
      <c r="D97" s="86">
        <v>299070</v>
      </c>
      <c r="E97" s="155">
        <v>0</v>
      </c>
      <c r="F97" s="86">
        <v>0</v>
      </c>
      <c r="G97" s="66">
        <f t="shared" si="40"/>
        <v>0</v>
      </c>
      <c r="H97" s="66">
        <f t="shared" si="40"/>
        <v>0</v>
      </c>
      <c r="I97" s="66">
        <f t="shared" si="41"/>
        <v>0</v>
      </c>
      <c r="J97" s="66">
        <f t="shared" si="41"/>
        <v>0</v>
      </c>
      <c r="K97" s="66">
        <f t="shared" si="42"/>
        <v>0</v>
      </c>
      <c r="L97" s="66">
        <f t="shared" si="42"/>
        <v>0</v>
      </c>
    </row>
    <row r="98" spans="2:12" x14ac:dyDescent="0.35">
      <c r="B98" s="79" t="s">
        <v>58</v>
      </c>
      <c r="C98" s="86">
        <v>0</v>
      </c>
      <c r="D98" s="86">
        <v>0</v>
      </c>
      <c r="E98" s="155">
        <v>40000</v>
      </c>
      <c r="F98" s="86">
        <v>0</v>
      </c>
      <c r="G98" s="66">
        <f t="shared" si="40"/>
        <v>0</v>
      </c>
      <c r="H98" s="66">
        <f t="shared" si="40"/>
        <v>0</v>
      </c>
      <c r="I98" s="66">
        <f t="shared" si="41"/>
        <v>0</v>
      </c>
      <c r="J98" s="66">
        <f t="shared" si="41"/>
        <v>0</v>
      </c>
      <c r="K98" s="66">
        <f t="shared" si="42"/>
        <v>0</v>
      </c>
      <c r="L98" s="66">
        <f t="shared" si="42"/>
        <v>0</v>
      </c>
    </row>
    <row r="99" spans="2:12" x14ac:dyDescent="0.35">
      <c r="B99" s="79" t="s">
        <v>59</v>
      </c>
      <c r="C99" s="86">
        <v>-193</v>
      </c>
      <c r="D99" s="86">
        <v>-363</v>
      </c>
      <c r="E99" s="155">
        <v>0</v>
      </c>
      <c r="F99" s="86">
        <v>0</v>
      </c>
      <c r="G99" s="66">
        <f t="shared" si="40"/>
        <v>0</v>
      </c>
      <c r="H99" s="66">
        <f t="shared" si="40"/>
        <v>0</v>
      </c>
      <c r="I99" s="66">
        <f t="shared" si="41"/>
        <v>0</v>
      </c>
      <c r="J99" s="66">
        <f t="shared" si="41"/>
        <v>0</v>
      </c>
      <c r="K99" s="66">
        <f t="shared" si="42"/>
        <v>0</v>
      </c>
      <c r="L99" s="66">
        <f t="shared" si="42"/>
        <v>0</v>
      </c>
    </row>
    <row r="100" spans="2:12" s="70" customFormat="1" x14ac:dyDescent="0.35">
      <c r="B100" s="78" t="s">
        <v>301</v>
      </c>
      <c r="C100" s="202"/>
      <c r="D100" s="202"/>
      <c r="E100" s="203"/>
      <c r="F100" s="202"/>
    </row>
    <row r="101" spans="2:12" x14ac:dyDescent="0.35">
      <c r="B101" s="79" t="s">
        <v>195</v>
      </c>
      <c r="C101" s="86">
        <v>0</v>
      </c>
      <c r="D101" s="86">
        <v>0</v>
      </c>
      <c r="E101" s="155">
        <v>0</v>
      </c>
      <c r="F101" s="88">
        <f t="shared" ref="F101:L101" ca="1" si="43">F295</f>
        <v>-30224.399514300956</v>
      </c>
      <c r="G101" s="88">
        <f t="shared" ca="1" si="43"/>
        <v>-146747.29543005739</v>
      </c>
      <c r="H101" s="88">
        <f t="shared" ca="1" si="43"/>
        <v>-197407.04067657539</v>
      </c>
      <c r="I101" s="88">
        <f t="shared" ca="1" si="43"/>
        <v>-275179.18339706946</v>
      </c>
      <c r="J101" s="88">
        <f t="shared" ca="1" si="43"/>
        <v>-100442.41561207769</v>
      </c>
      <c r="K101" s="88">
        <f t="shared" ca="1" si="43"/>
        <v>0</v>
      </c>
      <c r="L101" s="88">
        <f t="shared" ca="1" si="43"/>
        <v>0</v>
      </c>
    </row>
    <row r="102" spans="2:12" x14ac:dyDescent="0.35">
      <c r="B102" s="79" t="s">
        <v>196</v>
      </c>
      <c r="C102" s="86">
        <v>0</v>
      </c>
      <c r="D102" s="86">
        <v>0</v>
      </c>
      <c r="E102" s="155">
        <v>0</v>
      </c>
      <c r="F102" s="88">
        <f t="shared" ref="F102:L102" ca="1" si="44">F302</f>
        <v>0</v>
      </c>
      <c r="G102" s="88">
        <f t="shared" ca="1" si="44"/>
        <v>0</v>
      </c>
      <c r="H102" s="88">
        <f t="shared" ca="1" si="44"/>
        <v>0</v>
      </c>
      <c r="I102" s="88">
        <f t="shared" ca="1" si="44"/>
        <v>0</v>
      </c>
      <c r="J102" s="88">
        <f t="shared" ca="1" si="44"/>
        <v>-215068.01940391038</v>
      </c>
      <c r="K102" s="88">
        <f t="shared" ca="1" si="44"/>
        <v>-356418.47492226993</v>
      </c>
      <c r="L102" s="88">
        <f t="shared" ca="1" si="44"/>
        <v>-401553.78346656042</v>
      </c>
    </row>
    <row r="103" spans="2:12" x14ac:dyDescent="0.35">
      <c r="B103" s="79" t="s">
        <v>197</v>
      </c>
      <c r="C103" s="86">
        <v>0</v>
      </c>
      <c r="D103" s="86">
        <v>0</v>
      </c>
      <c r="E103" s="155">
        <v>0</v>
      </c>
      <c r="F103" s="88">
        <f t="shared" ref="F103:L103" ca="1" si="45">F309</f>
        <v>0</v>
      </c>
      <c r="G103" s="88">
        <f t="shared" ca="1" si="45"/>
        <v>0</v>
      </c>
      <c r="H103" s="88">
        <f t="shared" ca="1" si="45"/>
        <v>0</v>
      </c>
      <c r="I103" s="88">
        <f t="shared" ca="1" si="45"/>
        <v>0</v>
      </c>
      <c r="J103" s="88">
        <f t="shared" ca="1" si="45"/>
        <v>0</v>
      </c>
      <c r="K103" s="88">
        <f t="shared" ca="1" si="45"/>
        <v>0</v>
      </c>
      <c r="L103" s="88">
        <f t="shared" ca="1" si="45"/>
        <v>0</v>
      </c>
    </row>
    <row r="104" spans="2:12" x14ac:dyDescent="0.35">
      <c r="B104" s="73" t="s">
        <v>60</v>
      </c>
      <c r="C104" s="86">
        <v>-270</v>
      </c>
      <c r="D104" s="86">
        <v>0</v>
      </c>
      <c r="E104" s="155">
        <v>0</v>
      </c>
      <c r="F104" s="86">
        <v>0</v>
      </c>
      <c r="G104" s="66">
        <f t="shared" ref="G104:H109" si="46">F104</f>
        <v>0</v>
      </c>
      <c r="H104" s="66">
        <f t="shared" si="46"/>
        <v>0</v>
      </c>
      <c r="I104" s="66">
        <f t="shared" ref="I104:J109" si="47">H104</f>
        <v>0</v>
      </c>
      <c r="J104" s="66">
        <f t="shared" si="47"/>
        <v>0</v>
      </c>
      <c r="K104" s="66">
        <f t="shared" ref="K104:K109" si="48">J104</f>
        <v>0</v>
      </c>
      <c r="L104" s="66">
        <f t="shared" ref="L104:L109" si="49">K104</f>
        <v>0</v>
      </c>
    </row>
    <row r="105" spans="2:12" x14ac:dyDescent="0.35">
      <c r="B105" s="73" t="s">
        <v>61</v>
      </c>
      <c r="C105" s="86">
        <v>-159503</v>
      </c>
      <c r="D105" s="86">
        <v>-405513</v>
      </c>
      <c r="E105" s="155">
        <v>-377193</v>
      </c>
      <c r="F105" s="86">
        <v>0</v>
      </c>
      <c r="G105" s="66">
        <f t="shared" si="46"/>
        <v>0</v>
      </c>
      <c r="H105" s="66">
        <f t="shared" si="46"/>
        <v>0</v>
      </c>
      <c r="I105" s="66">
        <f t="shared" si="47"/>
        <v>0</v>
      </c>
      <c r="J105" s="66">
        <f t="shared" si="47"/>
        <v>0</v>
      </c>
      <c r="K105" s="66">
        <f t="shared" si="48"/>
        <v>0</v>
      </c>
      <c r="L105" s="66">
        <f t="shared" si="49"/>
        <v>0</v>
      </c>
    </row>
    <row r="106" spans="2:12" x14ac:dyDescent="0.35">
      <c r="B106" s="73" t="s">
        <v>62</v>
      </c>
      <c r="C106" s="86">
        <v>1116</v>
      </c>
      <c r="D106" s="86">
        <v>288</v>
      </c>
      <c r="E106" s="155">
        <v>381</v>
      </c>
      <c r="F106" s="86">
        <v>0</v>
      </c>
      <c r="G106" s="66">
        <f t="shared" si="46"/>
        <v>0</v>
      </c>
      <c r="H106" s="66">
        <f t="shared" si="46"/>
        <v>0</v>
      </c>
      <c r="I106" s="66">
        <f t="shared" si="47"/>
        <v>0</v>
      </c>
      <c r="J106" s="66">
        <f t="shared" si="47"/>
        <v>0</v>
      </c>
      <c r="K106" s="66">
        <f t="shared" si="48"/>
        <v>0</v>
      </c>
      <c r="L106" s="66">
        <f t="shared" si="49"/>
        <v>0</v>
      </c>
    </row>
    <row r="107" spans="2:12" x14ac:dyDescent="0.35">
      <c r="B107" s="73" t="s">
        <v>35</v>
      </c>
      <c r="C107" s="86">
        <v>3089</v>
      </c>
      <c r="D107" s="86">
        <v>2057</v>
      </c>
      <c r="E107" s="155">
        <v>2456</v>
      </c>
      <c r="F107" s="86">
        <v>0</v>
      </c>
      <c r="G107" s="66">
        <f t="shared" si="46"/>
        <v>0</v>
      </c>
      <c r="H107" s="66">
        <f t="shared" si="46"/>
        <v>0</v>
      </c>
      <c r="I107" s="66">
        <f t="shared" si="47"/>
        <v>0</v>
      </c>
      <c r="J107" s="66">
        <f t="shared" si="47"/>
        <v>0</v>
      </c>
      <c r="K107" s="66">
        <f t="shared" si="48"/>
        <v>0</v>
      </c>
      <c r="L107" s="66">
        <f t="shared" si="49"/>
        <v>0</v>
      </c>
    </row>
    <row r="108" spans="2:12" x14ac:dyDescent="0.35">
      <c r="B108" s="73" t="s">
        <v>63</v>
      </c>
      <c r="C108" s="86">
        <v>3247</v>
      </c>
      <c r="D108" s="86">
        <v>3525</v>
      </c>
      <c r="E108" s="155">
        <v>3702</v>
      </c>
      <c r="F108" s="86">
        <v>0</v>
      </c>
      <c r="G108" s="66">
        <f t="shared" si="46"/>
        <v>0</v>
      </c>
      <c r="H108" s="66">
        <f t="shared" si="46"/>
        <v>0</v>
      </c>
      <c r="I108" s="66">
        <f t="shared" si="47"/>
        <v>0</v>
      </c>
      <c r="J108" s="66">
        <f t="shared" si="47"/>
        <v>0</v>
      </c>
      <c r="K108" s="66">
        <f t="shared" si="48"/>
        <v>0</v>
      </c>
      <c r="L108" s="66">
        <f t="shared" si="49"/>
        <v>0</v>
      </c>
    </row>
    <row r="109" spans="2:12" x14ac:dyDescent="0.35">
      <c r="B109" s="73" t="s">
        <v>64</v>
      </c>
      <c r="C109" s="86">
        <v>0</v>
      </c>
      <c r="D109" s="86">
        <v>0</v>
      </c>
      <c r="E109" s="155">
        <v>-45</v>
      </c>
      <c r="F109" s="86">
        <v>0</v>
      </c>
      <c r="G109" s="66">
        <f t="shared" si="46"/>
        <v>0</v>
      </c>
      <c r="H109" s="66">
        <f t="shared" si="46"/>
        <v>0</v>
      </c>
      <c r="I109" s="66">
        <f t="shared" si="47"/>
        <v>0</v>
      </c>
      <c r="J109" s="66">
        <f t="shared" si="47"/>
        <v>0</v>
      </c>
      <c r="K109" s="66">
        <f t="shared" si="48"/>
        <v>0</v>
      </c>
      <c r="L109" s="66">
        <f t="shared" si="49"/>
        <v>0</v>
      </c>
    </row>
    <row r="110" spans="2:12" s="70" customFormat="1" x14ac:dyDescent="0.35">
      <c r="B110" s="78" t="s">
        <v>65</v>
      </c>
      <c r="C110" s="76">
        <f t="shared" ref="C110:L110" si="50">SUM(C96:C109)</f>
        <v>-52514</v>
      </c>
      <c r="D110" s="76">
        <f t="shared" si="50"/>
        <v>-107237</v>
      </c>
      <c r="E110" s="156">
        <f t="shared" si="50"/>
        <v>-349382</v>
      </c>
      <c r="F110" s="76">
        <f t="shared" ca="1" si="50"/>
        <v>-30224.399514300956</v>
      </c>
      <c r="G110" s="76">
        <f t="shared" ca="1" si="50"/>
        <v>-146747.29543005739</v>
      </c>
      <c r="H110" s="76">
        <f t="shared" ca="1" si="50"/>
        <v>-197407.04067657539</v>
      </c>
      <c r="I110" s="76">
        <f t="shared" ca="1" si="50"/>
        <v>-275179.18339706946</v>
      </c>
      <c r="J110" s="76">
        <f t="shared" ca="1" si="50"/>
        <v>-315510.43501598807</v>
      </c>
      <c r="K110" s="76">
        <f t="shared" ca="1" si="50"/>
        <v>-356418.47492226993</v>
      </c>
      <c r="L110" s="76">
        <f t="shared" ca="1" si="50"/>
        <v>-401553.78346656042</v>
      </c>
    </row>
    <row r="111" spans="2:12" x14ac:dyDescent="0.35">
      <c r="E111" s="153"/>
    </row>
    <row r="112" spans="2:12" x14ac:dyDescent="0.35">
      <c r="B112" s="66" t="s">
        <v>66</v>
      </c>
      <c r="C112" s="66">
        <f>C84+C92+C110</f>
        <v>71248</v>
      </c>
      <c r="D112" s="66">
        <f>D84+D92+D110</f>
        <v>45393</v>
      </c>
      <c r="E112" s="205" t="s">
        <v>303</v>
      </c>
      <c r="F112" s="66">
        <f t="shared" ref="F112:L112" ca="1" si="51">F84+F92+F110</f>
        <v>0</v>
      </c>
      <c r="G112" s="66">
        <f t="shared" ca="1" si="51"/>
        <v>0</v>
      </c>
      <c r="H112" s="66">
        <f t="shared" ca="1" si="51"/>
        <v>0</v>
      </c>
      <c r="I112" s="66">
        <f t="shared" ca="1" si="51"/>
        <v>0</v>
      </c>
      <c r="J112" s="66">
        <f t="shared" ca="1" si="51"/>
        <v>0</v>
      </c>
      <c r="K112" s="66">
        <f t="shared" ca="1" si="51"/>
        <v>0</v>
      </c>
      <c r="L112" s="66">
        <f t="shared" ca="1" si="51"/>
        <v>0</v>
      </c>
    </row>
    <row r="113" spans="1:12" x14ac:dyDescent="0.35">
      <c r="B113" s="66" t="s">
        <v>67</v>
      </c>
      <c r="C113" s="86">
        <v>125245</v>
      </c>
      <c r="D113" s="88">
        <f>C114</f>
        <v>196493</v>
      </c>
      <c r="E113" s="206" t="s">
        <v>303</v>
      </c>
      <c r="F113" s="88">
        <f t="shared" ref="F113:L113" si="52">E114</f>
        <v>21341.550000000003</v>
      </c>
      <c r="G113" s="88">
        <f t="shared" ca="1" si="52"/>
        <v>21341.550000000003</v>
      </c>
      <c r="H113" s="88">
        <f t="shared" ca="1" si="52"/>
        <v>21341.550000000003</v>
      </c>
      <c r="I113" s="88">
        <f t="shared" ca="1" si="52"/>
        <v>21341.550000000003</v>
      </c>
      <c r="J113" s="88">
        <f t="shared" ca="1" si="52"/>
        <v>21341.550000000003</v>
      </c>
      <c r="K113" s="88">
        <f t="shared" ca="1" si="52"/>
        <v>21341.550000000003</v>
      </c>
      <c r="L113" s="88">
        <f t="shared" ca="1" si="52"/>
        <v>21341.550000000003</v>
      </c>
    </row>
    <row r="114" spans="1:12" s="70" customFormat="1" x14ac:dyDescent="0.35">
      <c r="B114" s="70" t="s">
        <v>68</v>
      </c>
      <c r="C114" s="76">
        <f>C112+C113</f>
        <v>196493</v>
      </c>
      <c r="D114" s="76">
        <f>D112+D113</f>
        <v>241886</v>
      </c>
      <c r="E114" s="156">
        <f>E127</f>
        <v>21341.550000000003</v>
      </c>
      <c r="F114" s="76">
        <f t="shared" ref="F114:L114" ca="1" si="53">F112+F113</f>
        <v>21341.550000000003</v>
      </c>
      <c r="G114" s="76">
        <f t="shared" ca="1" si="53"/>
        <v>21341.550000000003</v>
      </c>
      <c r="H114" s="76">
        <f t="shared" ca="1" si="53"/>
        <v>21341.550000000003</v>
      </c>
      <c r="I114" s="76">
        <f t="shared" ca="1" si="53"/>
        <v>21341.550000000003</v>
      </c>
      <c r="J114" s="76">
        <f t="shared" ca="1" si="53"/>
        <v>21341.550000000003</v>
      </c>
      <c r="K114" s="76">
        <f t="shared" ca="1" si="53"/>
        <v>21341.550000000003</v>
      </c>
      <c r="L114" s="76">
        <f t="shared" ca="1" si="53"/>
        <v>21341.550000000003</v>
      </c>
    </row>
    <row r="115" spans="1:12" s="70" customFormat="1" x14ac:dyDescent="0.35">
      <c r="C115" s="77"/>
      <c r="D115" s="77"/>
      <c r="E115" s="169"/>
    </row>
    <row r="116" spans="1:12" x14ac:dyDescent="0.35">
      <c r="B116" s="66" t="s">
        <v>283</v>
      </c>
      <c r="E116" s="153"/>
      <c r="F116" s="66">
        <f ca="1">SUM(F84,F92,F99,F104:F109)</f>
        <v>30224.399514300952</v>
      </c>
      <c r="G116" s="66">
        <f t="shared" ref="G116:L116" ca="1" si="54">SUM(G84,G92,G99,G104:G109)</f>
        <v>146747.29543005736</v>
      </c>
      <c r="H116" s="66">
        <f t="shared" ca="1" si="54"/>
        <v>197407.04067657536</v>
      </c>
      <c r="I116" s="66">
        <f t="shared" ca="1" si="54"/>
        <v>275179.18339706946</v>
      </c>
      <c r="J116" s="66">
        <f t="shared" ca="1" si="54"/>
        <v>315510.43501598807</v>
      </c>
      <c r="K116" s="66">
        <f t="shared" ca="1" si="54"/>
        <v>356418.47492226993</v>
      </c>
      <c r="L116" s="66">
        <f t="shared" ca="1" si="54"/>
        <v>401553.78346656042</v>
      </c>
    </row>
    <row r="117" spans="1:12" s="70" customFormat="1" x14ac:dyDescent="0.35">
      <c r="C117" s="77"/>
      <c r="D117" s="77"/>
      <c r="E117" s="169"/>
    </row>
    <row r="118" spans="1:12" s="70" customFormat="1" x14ac:dyDescent="0.35">
      <c r="B118" s="70" t="s">
        <v>133</v>
      </c>
      <c r="C118" s="77"/>
      <c r="D118" s="89">
        <f>ROUND(D114-D127,2)</f>
        <v>0</v>
      </c>
      <c r="E118" s="207" t="s">
        <v>185</v>
      </c>
      <c r="F118" s="89">
        <f t="shared" ref="F118:L118" ca="1" si="55">ROUND(F114-F127,2)</f>
        <v>0</v>
      </c>
      <c r="G118" s="89">
        <f t="shared" ca="1" si="55"/>
        <v>0</v>
      </c>
      <c r="H118" s="89">
        <f t="shared" ca="1" si="55"/>
        <v>0</v>
      </c>
      <c r="I118" s="89">
        <f t="shared" ca="1" si="55"/>
        <v>0</v>
      </c>
      <c r="J118" s="89">
        <f t="shared" ca="1" si="55"/>
        <v>0</v>
      </c>
      <c r="K118" s="89">
        <f t="shared" ca="1" si="55"/>
        <v>0</v>
      </c>
      <c r="L118" s="89">
        <f t="shared" ca="1" si="55"/>
        <v>0</v>
      </c>
    </row>
    <row r="119" spans="1:12" s="70" customFormat="1" ht="5.15" customHeight="1" thickBot="1" x14ac:dyDescent="0.4">
      <c r="B119" s="183"/>
      <c r="C119" s="183"/>
      <c r="D119" s="183"/>
      <c r="E119" s="183"/>
      <c r="F119" s="183"/>
      <c r="G119" s="183"/>
      <c r="H119" s="183"/>
      <c r="I119" s="183"/>
      <c r="J119" s="183"/>
      <c r="K119" s="183"/>
      <c r="L119" s="183"/>
    </row>
    <row r="120" spans="1:12" ht="16" thickTop="1" x14ac:dyDescent="0.35"/>
    <row r="121" spans="1:12" x14ac:dyDescent="0.35">
      <c r="A121" s="66" t="s">
        <v>31</v>
      </c>
      <c r="B121" s="70" t="s">
        <v>132</v>
      </c>
      <c r="C121" s="70"/>
      <c r="D121" s="70"/>
      <c r="E121" s="70"/>
      <c r="F121" s="70"/>
      <c r="G121" s="70"/>
      <c r="H121" s="70"/>
      <c r="I121" s="70"/>
      <c r="J121" s="71"/>
      <c r="K121" s="71"/>
      <c r="L121" s="71" t="s">
        <v>110</v>
      </c>
    </row>
    <row r="122" spans="1:12" x14ac:dyDescent="0.35">
      <c r="B122" s="66" t="s">
        <v>237</v>
      </c>
      <c r="J122" s="72"/>
      <c r="K122" s="72"/>
      <c r="L122" s="72" t="s">
        <v>130</v>
      </c>
    </row>
    <row r="123" spans="1:12" x14ac:dyDescent="0.35">
      <c r="B123" s="67"/>
      <c r="C123" s="68" t="s">
        <v>109</v>
      </c>
      <c r="D123" s="151"/>
      <c r="E123" s="159" t="s">
        <v>193</v>
      </c>
      <c r="F123" s="68" t="s">
        <v>128</v>
      </c>
      <c r="G123" s="68"/>
      <c r="H123" s="68"/>
      <c r="I123" s="68"/>
      <c r="J123" s="68"/>
      <c r="K123" s="68"/>
      <c r="L123" s="68"/>
    </row>
    <row r="124" spans="1:12" x14ac:dyDescent="0.35">
      <c r="B124" s="69"/>
      <c r="C124" s="187">
        <v>42003</v>
      </c>
      <c r="D124" s="188">
        <v>42367</v>
      </c>
      <c r="E124" s="190">
        <v>42731</v>
      </c>
      <c r="F124" s="189">
        <f t="shared" ref="F124:L124" si="56">DATE(YEAR(E124)+1,MONTH(E124),DAY(E124))</f>
        <v>43096</v>
      </c>
      <c r="G124" s="189">
        <f t="shared" si="56"/>
        <v>43461</v>
      </c>
      <c r="H124" s="189">
        <f t="shared" si="56"/>
        <v>43826</v>
      </c>
      <c r="I124" s="189">
        <f t="shared" si="56"/>
        <v>44192</v>
      </c>
      <c r="J124" s="189">
        <f t="shared" si="56"/>
        <v>44557</v>
      </c>
      <c r="K124" s="189">
        <f t="shared" si="56"/>
        <v>44922</v>
      </c>
      <c r="L124" s="189">
        <f t="shared" si="56"/>
        <v>45287</v>
      </c>
    </row>
    <row r="125" spans="1:12" s="70" customFormat="1" x14ac:dyDescent="0.35">
      <c r="B125" s="70" t="s">
        <v>218</v>
      </c>
      <c r="C125" s="82"/>
      <c r="D125" s="152"/>
      <c r="E125" s="160"/>
      <c r="F125" s="83"/>
      <c r="G125" s="83"/>
      <c r="H125" s="83"/>
      <c r="I125" s="83"/>
      <c r="J125" s="83"/>
      <c r="K125" s="83"/>
      <c r="L125" s="83"/>
    </row>
    <row r="126" spans="1:12" x14ac:dyDescent="0.35">
      <c r="B126" s="78" t="s">
        <v>69</v>
      </c>
      <c r="D126" s="153"/>
      <c r="E126" s="161"/>
    </row>
    <row r="127" spans="1:12" x14ac:dyDescent="0.35">
      <c r="B127" s="79" t="s">
        <v>70</v>
      </c>
      <c r="D127" s="154">
        <v>241886</v>
      </c>
      <c r="E127" s="162">
        <f t="shared" ref="E127:E133" si="57">F181</f>
        <v>21341.550000000003</v>
      </c>
      <c r="F127" s="75">
        <f t="shared" ref="F127:L127" ca="1" si="58">E127+F112</f>
        <v>21341.550000000003</v>
      </c>
      <c r="G127" s="75">
        <f t="shared" ca="1" si="58"/>
        <v>21341.550000000003</v>
      </c>
      <c r="H127" s="75">
        <f t="shared" ca="1" si="58"/>
        <v>21341.550000000003</v>
      </c>
      <c r="I127" s="75">
        <f t="shared" ca="1" si="58"/>
        <v>21341.550000000003</v>
      </c>
      <c r="J127" s="75">
        <f t="shared" ca="1" si="58"/>
        <v>21341.550000000003</v>
      </c>
      <c r="K127" s="75">
        <f t="shared" ca="1" si="58"/>
        <v>21341.550000000003</v>
      </c>
      <c r="L127" s="75">
        <f t="shared" ca="1" si="58"/>
        <v>21341.550000000003</v>
      </c>
    </row>
    <row r="128" spans="1:12" x14ac:dyDescent="0.35">
      <c r="B128" s="79" t="s">
        <v>71</v>
      </c>
      <c r="D128" s="155">
        <v>38211</v>
      </c>
      <c r="E128" s="161">
        <f t="shared" si="57"/>
        <v>53519</v>
      </c>
      <c r="F128" s="66">
        <f t="shared" ref="F128:L128" ca="1" si="59">E128-F73</f>
        <v>56779.901761252462</v>
      </c>
      <c r="G128" s="66">
        <f t="shared" ca="1" si="59"/>
        <v>66455.868454011768</v>
      </c>
      <c r="H128" s="66">
        <f t="shared" ca="1" si="59"/>
        <v>78346.295890410984</v>
      </c>
      <c r="I128" s="66">
        <f t="shared" ca="1" si="59"/>
        <v>98832.819398907101</v>
      </c>
      <c r="J128" s="66">
        <f t="shared" ca="1" si="59"/>
        <v>112864.8197260274</v>
      </c>
      <c r="K128" s="66">
        <f t="shared" ca="1" si="59"/>
        <v>128121.3166115882</v>
      </c>
      <c r="L128" s="66">
        <f t="shared" ca="1" si="59"/>
        <v>145265.18330417378</v>
      </c>
    </row>
    <row r="129" spans="2:14" x14ac:dyDescent="0.35">
      <c r="B129" s="79" t="s">
        <v>72</v>
      </c>
      <c r="D129" s="155">
        <v>77575</v>
      </c>
      <c r="E129" s="161">
        <f t="shared" si="57"/>
        <v>59404</v>
      </c>
      <c r="F129" s="66">
        <f t="shared" ref="F129:L129" si="60">E129</f>
        <v>59404</v>
      </c>
      <c r="G129" s="66">
        <f t="shared" si="60"/>
        <v>59404</v>
      </c>
      <c r="H129" s="66">
        <f t="shared" si="60"/>
        <v>59404</v>
      </c>
      <c r="I129" s="66">
        <f t="shared" si="60"/>
        <v>59404</v>
      </c>
      <c r="J129" s="66">
        <f t="shared" si="60"/>
        <v>59404</v>
      </c>
      <c r="K129" s="66">
        <f t="shared" si="60"/>
        <v>59404</v>
      </c>
      <c r="L129" s="66">
        <f t="shared" si="60"/>
        <v>59404</v>
      </c>
    </row>
    <row r="130" spans="2:14" x14ac:dyDescent="0.35">
      <c r="B130" s="79" t="s">
        <v>40</v>
      </c>
      <c r="D130" s="155">
        <v>22482</v>
      </c>
      <c r="E130" s="161">
        <f t="shared" si="57"/>
        <v>23775</v>
      </c>
      <c r="F130" s="66">
        <f t="shared" ref="F130:L131" ca="1" si="61">E130-F74</f>
        <v>23084.969570254405</v>
      </c>
      <c r="G130" s="66">
        <f t="shared" ca="1" si="61"/>
        <v>24884.866317495111</v>
      </c>
      <c r="H130" s="66">
        <f t="shared" ca="1" si="61"/>
        <v>26970.71633972603</v>
      </c>
      <c r="I130" s="66">
        <f t="shared" ca="1" si="61"/>
        <v>31134.62715081967</v>
      </c>
      <c r="J130" s="66">
        <f t="shared" ca="1" si="61"/>
        <v>33829.239434520547</v>
      </c>
      <c r="K130" s="66">
        <f t="shared" ca="1" si="61"/>
        <v>36825.229578845399</v>
      </c>
      <c r="L130" s="66">
        <f t="shared" ca="1" si="61"/>
        <v>40191.851420797662</v>
      </c>
    </row>
    <row r="131" spans="2:14" x14ac:dyDescent="0.35">
      <c r="B131" s="79" t="s">
        <v>41</v>
      </c>
      <c r="D131" s="155">
        <v>59457</v>
      </c>
      <c r="E131" s="161">
        <f t="shared" si="57"/>
        <v>69194</v>
      </c>
      <c r="F131" s="66">
        <f t="shared" ca="1" si="61"/>
        <v>63866.836628571436</v>
      </c>
      <c r="G131" s="66">
        <f t="shared" ca="1" si="61"/>
        <v>69185.760977142869</v>
      </c>
      <c r="H131" s="66">
        <f t="shared" ca="1" si="61"/>
        <v>75721.98480000002</v>
      </c>
      <c r="I131" s="66">
        <f t="shared" ca="1" si="61"/>
        <v>87221.834040000016</v>
      </c>
      <c r="J131" s="66">
        <f t="shared" ca="1" si="61"/>
        <v>94696.979520000008</v>
      </c>
      <c r="K131" s="66">
        <f t="shared" ca="1" si="61"/>
        <v>103083.54753281038</v>
      </c>
      <c r="L131" s="66">
        <f t="shared" ca="1" si="61"/>
        <v>112507.61159538027</v>
      </c>
    </row>
    <row r="132" spans="2:14" x14ac:dyDescent="0.35">
      <c r="B132" s="79" t="s">
        <v>36</v>
      </c>
      <c r="D132" s="155">
        <v>0</v>
      </c>
      <c r="E132" s="161">
        <f t="shared" si="57"/>
        <v>0</v>
      </c>
      <c r="F132" s="66">
        <f t="shared" ref="F132:L132" ca="1" si="62">E132-F69</f>
        <v>9242.4574312525729</v>
      </c>
      <c r="G132" s="66">
        <f t="shared" ca="1" si="62"/>
        <v>2124.5731377403354</v>
      </c>
      <c r="H132" s="66">
        <f t="shared" ca="1" si="62"/>
        <v>0</v>
      </c>
      <c r="I132" s="66">
        <f t="shared" ca="1" si="62"/>
        <v>0</v>
      </c>
      <c r="J132" s="66">
        <f t="shared" ca="1" si="62"/>
        <v>0</v>
      </c>
      <c r="K132" s="66">
        <f t="shared" ca="1" si="62"/>
        <v>0</v>
      </c>
      <c r="L132" s="66">
        <f t="shared" ca="1" si="62"/>
        <v>0</v>
      </c>
    </row>
    <row r="133" spans="2:14" x14ac:dyDescent="0.35">
      <c r="B133" s="79" t="s">
        <v>73</v>
      </c>
      <c r="D133" s="155">
        <v>28699</v>
      </c>
      <c r="E133" s="161">
        <f t="shared" si="57"/>
        <v>0</v>
      </c>
      <c r="F133" s="66">
        <f t="shared" ref="F133:L133" si="63">E133</f>
        <v>0</v>
      </c>
      <c r="G133" s="66">
        <f t="shared" si="63"/>
        <v>0</v>
      </c>
      <c r="H133" s="66">
        <f t="shared" si="63"/>
        <v>0</v>
      </c>
      <c r="I133" s="66">
        <f t="shared" si="63"/>
        <v>0</v>
      </c>
      <c r="J133" s="66">
        <f t="shared" si="63"/>
        <v>0</v>
      </c>
      <c r="K133" s="66">
        <f t="shared" si="63"/>
        <v>0</v>
      </c>
      <c r="L133" s="66">
        <f t="shared" si="63"/>
        <v>0</v>
      </c>
    </row>
    <row r="134" spans="2:14" s="70" customFormat="1" x14ac:dyDescent="0.35">
      <c r="B134" s="80" t="s">
        <v>74</v>
      </c>
      <c r="D134" s="156">
        <f t="shared" ref="D134:L134" si="64">SUM(D127:D133)</f>
        <v>468310</v>
      </c>
      <c r="E134" s="163">
        <f t="shared" si="64"/>
        <v>227233.55</v>
      </c>
      <c r="F134" s="174">
        <f t="shared" ca="1" si="64"/>
        <v>233719.71539133092</v>
      </c>
      <c r="G134" s="76">
        <f t="shared" ca="1" si="64"/>
        <v>243396.61888639012</v>
      </c>
      <c r="H134" s="76">
        <f t="shared" ca="1" si="64"/>
        <v>261784.54703013704</v>
      </c>
      <c r="I134" s="76">
        <f t="shared" ca="1" si="64"/>
        <v>297934.8305897268</v>
      </c>
      <c r="J134" s="76">
        <f t="shared" ca="1" si="64"/>
        <v>322136.58868054795</v>
      </c>
      <c r="K134" s="76">
        <f t="shared" ca="1" si="64"/>
        <v>348775.64372324402</v>
      </c>
      <c r="L134" s="76">
        <f t="shared" ca="1" si="64"/>
        <v>378710.19632035168</v>
      </c>
    </row>
    <row r="135" spans="2:14" x14ac:dyDescent="0.35">
      <c r="B135" s="73" t="s">
        <v>75</v>
      </c>
      <c r="D135" s="155">
        <v>776248</v>
      </c>
      <c r="E135" s="161">
        <f t="shared" ref="E135:E140" si="65">F189</f>
        <v>802759</v>
      </c>
      <c r="F135" s="66">
        <f t="shared" ref="F135:L135" ca="1" si="66">E135-F66-F87-F90</f>
        <v>851268.46428571432</v>
      </c>
      <c r="G135" s="66">
        <f t="shared" ca="1" si="66"/>
        <v>883625.53571428568</v>
      </c>
      <c r="H135" s="66">
        <f t="shared" ca="1" si="66"/>
        <v>899231.5357142858</v>
      </c>
      <c r="I135" s="66">
        <f t="shared" ca="1" si="66"/>
        <v>889220.5357142858</v>
      </c>
      <c r="J135" s="66">
        <f t="shared" ca="1" si="66"/>
        <v>861471.53571428568</v>
      </c>
      <c r="K135" s="66">
        <f t="shared" ca="1" si="66"/>
        <v>837085.87473254709</v>
      </c>
      <c r="L135" s="66">
        <f t="shared" ca="1" si="66"/>
        <v>816823.83890866139</v>
      </c>
    </row>
    <row r="136" spans="2:14" x14ac:dyDescent="0.35">
      <c r="B136" s="73" t="s">
        <v>77</v>
      </c>
      <c r="D136" s="155">
        <v>121791</v>
      </c>
      <c r="E136" s="161">
        <f t="shared" ca="1" si="65"/>
        <v>2961033.1265000463</v>
      </c>
      <c r="F136" s="66">
        <f t="shared" ref="F136:L136" ca="1" si="67">E136</f>
        <v>2961033.1265000463</v>
      </c>
      <c r="G136" s="66">
        <f t="shared" ca="1" si="67"/>
        <v>2961033.1265000463</v>
      </c>
      <c r="H136" s="66">
        <f t="shared" ca="1" si="67"/>
        <v>2961033.1265000463</v>
      </c>
      <c r="I136" s="66">
        <f t="shared" ca="1" si="67"/>
        <v>2961033.1265000463</v>
      </c>
      <c r="J136" s="66">
        <f t="shared" ca="1" si="67"/>
        <v>2961033.1265000463</v>
      </c>
      <c r="K136" s="66">
        <f t="shared" ca="1" si="67"/>
        <v>2961033.1265000463</v>
      </c>
      <c r="L136" s="66">
        <f t="shared" ca="1" si="67"/>
        <v>2961033.1265000463</v>
      </c>
    </row>
    <row r="137" spans="2:14" x14ac:dyDescent="0.35">
      <c r="B137" s="73" t="s">
        <v>78</v>
      </c>
      <c r="D137" s="155">
        <v>63877</v>
      </c>
      <c r="E137" s="161">
        <f t="shared" si="65"/>
        <v>54819</v>
      </c>
      <c r="F137" s="66">
        <f>E137</f>
        <v>54819</v>
      </c>
      <c r="G137" s="66">
        <f t="shared" ref="G137:L137" si="68">F137</f>
        <v>54819</v>
      </c>
      <c r="H137" s="66">
        <f t="shared" si="68"/>
        <v>54819</v>
      </c>
      <c r="I137" s="66">
        <f t="shared" si="68"/>
        <v>54819</v>
      </c>
      <c r="J137" s="66">
        <f t="shared" si="68"/>
        <v>54819</v>
      </c>
      <c r="K137" s="66">
        <f t="shared" si="68"/>
        <v>54819</v>
      </c>
      <c r="L137" s="66">
        <f t="shared" si="68"/>
        <v>54819</v>
      </c>
      <c r="N137" s="66" t="s">
        <v>743</v>
      </c>
    </row>
    <row r="138" spans="2:14" x14ac:dyDescent="0.35">
      <c r="B138" s="73" t="s">
        <v>42</v>
      </c>
      <c r="D138" s="155">
        <v>10613</v>
      </c>
      <c r="E138" s="161">
        <f t="shared" si="65"/>
        <v>10235</v>
      </c>
      <c r="F138" s="66">
        <f t="shared" ref="F138:L138" si="69">E138-F79</f>
        <v>10235</v>
      </c>
      <c r="G138" s="66">
        <f t="shared" si="69"/>
        <v>10235</v>
      </c>
      <c r="H138" s="66">
        <f t="shared" si="69"/>
        <v>10235</v>
      </c>
      <c r="I138" s="66">
        <f t="shared" si="69"/>
        <v>10235</v>
      </c>
      <c r="J138" s="66">
        <f t="shared" si="69"/>
        <v>10235</v>
      </c>
      <c r="K138" s="66">
        <f t="shared" si="69"/>
        <v>10235</v>
      </c>
      <c r="L138" s="66">
        <f t="shared" si="69"/>
        <v>10235</v>
      </c>
    </row>
    <row r="139" spans="2:14" x14ac:dyDescent="0.35">
      <c r="B139" s="73" t="s">
        <v>238</v>
      </c>
      <c r="D139" s="155">
        <v>0</v>
      </c>
      <c r="E139" s="161">
        <f t="shared" ca="1" si="65"/>
        <v>67500.027837172034</v>
      </c>
      <c r="F139" s="66">
        <f t="shared" ref="F139:L140" ca="1" si="70">E139-F82</f>
        <v>61714.31112199471</v>
      </c>
      <c r="G139" s="66">
        <f t="shared" ca="1" si="70"/>
        <v>55928.594406817385</v>
      </c>
      <c r="H139" s="66">
        <f t="shared" ca="1" si="70"/>
        <v>50142.87769164006</v>
      </c>
      <c r="I139" s="66">
        <f t="shared" ca="1" si="70"/>
        <v>44357.160976462736</v>
      </c>
      <c r="J139" s="66">
        <f t="shared" ca="1" si="70"/>
        <v>38571.444261285411</v>
      </c>
      <c r="K139" s="66">
        <f t="shared" ca="1" si="70"/>
        <v>32785.727546108086</v>
      </c>
      <c r="L139" s="66">
        <f t="shared" ca="1" si="70"/>
        <v>27000.010830930765</v>
      </c>
    </row>
    <row r="140" spans="2:14" x14ac:dyDescent="0.35">
      <c r="B140" s="73" t="s">
        <v>307</v>
      </c>
      <c r="D140" s="155">
        <v>0</v>
      </c>
      <c r="E140" s="161">
        <f t="shared" ca="1" si="65"/>
        <v>3925090.4235000606</v>
      </c>
      <c r="F140" s="66">
        <f t="shared" ca="1" si="70"/>
        <v>3794254.0760500585</v>
      </c>
      <c r="G140" s="66">
        <f t="shared" ca="1" si="70"/>
        <v>3663417.7286000564</v>
      </c>
      <c r="H140" s="66">
        <f t="shared" ca="1" si="70"/>
        <v>3532581.3811500543</v>
      </c>
      <c r="I140" s="66">
        <f t="shared" ca="1" si="70"/>
        <v>3401745.0337000522</v>
      </c>
      <c r="J140" s="66">
        <f t="shared" ca="1" si="70"/>
        <v>3270908.6862500501</v>
      </c>
      <c r="K140" s="66">
        <f t="shared" ca="1" si="70"/>
        <v>3140072.338800048</v>
      </c>
      <c r="L140" s="66">
        <f t="shared" ca="1" si="70"/>
        <v>3009235.9913500459</v>
      </c>
    </row>
    <row r="141" spans="2:14" s="70" customFormat="1" x14ac:dyDescent="0.35">
      <c r="B141" s="78" t="s">
        <v>80</v>
      </c>
      <c r="D141" s="156">
        <f>SUM(D134:D140)</f>
        <v>1440839</v>
      </c>
      <c r="E141" s="163">
        <f t="shared" ref="E141:L141" ca="1" si="71">SUM(E134:E140)</f>
        <v>8048670.1278372798</v>
      </c>
      <c r="F141" s="174">
        <f t="shared" ca="1" si="71"/>
        <v>7967043.6933491454</v>
      </c>
      <c r="G141" s="76">
        <f t="shared" ca="1" si="71"/>
        <v>7872455.604107596</v>
      </c>
      <c r="H141" s="76">
        <f t="shared" ca="1" si="71"/>
        <v>7769827.4680861644</v>
      </c>
      <c r="I141" s="76">
        <f t="shared" ca="1" si="71"/>
        <v>7659344.6874805745</v>
      </c>
      <c r="J141" s="76">
        <f t="shared" ca="1" si="71"/>
        <v>7519175.381406216</v>
      </c>
      <c r="K141" s="76">
        <f t="shared" ca="1" si="71"/>
        <v>7384806.7113019936</v>
      </c>
      <c r="L141" s="76">
        <f t="shared" ca="1" si="71"/>
        <v>7257857.163910035</v>
      </c>
    </row>
    <row r="142" spans="2:14" x14ac:dyDescent="0.35">
      <c r="D142" s="153"/>
      <c r="E142" s="161"/>
    </row>
    <row r="143" spans="2:14" s="70" customFormat="1" x14ac:dyDescent="0.35">
      <c r="B143" s="70" t="s">
        <v>221</v>
      </c>
      <c r="D143" s="157"/>
      <c r="E143" s="164"/>
    </row>
    <row r="144" spans="2:14" x14ac:dyDescent="0.35">
      <c r="B144" s="78" t="s">
        <v>81</v>
      </c>
      <c r="D144" s="153"/>
      <c r="E144" s="161"/>
    </row>
    <row r="145" spans="2:14" x14ac:dyDescent="0.35">
      <c r="B145" s="79" t="s">
        <v>43</v>
      </c>
      <c r="D145" s="155">
        <v>19805</v>
      </c>
      <c r="E145" s="161">
        <f>F199</f>
        <v>22455</v>
      </c>
      <c r="F145" s="66">
        <f t="shared" ref="F145:L146" ca="1" si="72">E145+F76</f>
        <v>21262.471972602743</v>
      </c>
      <c r="G145" s="66">
        <f t="shared" ca="1" si="72"/>
        <v>22920.271608219184</v>
      </c>
      <c r="H145" s="66">
        <f t="shared" ca="1" si="72"/>
        <v>24841.449260273977</v>
      </c>
      <c r="I145" s="66">
        <f t="shared" ca="1" si="72"/>
        <v>28676.630270491805</v>
      </c>
      <c r="J145" s="66">
        <f t="shared" ca="1" si="72"/>
        <v>31158.510005479449</v>
      </c>
      <c r="K145" s="66">
        <f t="shared" ca="1" si="72"/>
        <v>33917.974612094447</v>
      </c>
      <c r="L145" s="66">
        <f t="shared" ca="1" si="72"/>
        <v>37018.810519155741</v>
      </c>
    </row>
    <row r="146" spans="2:14" x14ac:dyDescent="0.35">
      <c r="B146" s="79" t="s">
        <v>44</v>
      </c>
      <c r="D146" s="155">
        <v>359464</v>
      </c>
      <c r="E146" s="161">
        <f>F200</f>
        <v>408637</v>
      </c>
      <c r="F146" s="66">
        <f t="shared" ca="1" si="72"/>
        <v>384834.51428571431</v>
      </c>
      <c r="G146" s="66">
        <f t="shared" ca="1" si="72"/>
        <v>414999.10857142869</v>
      </c>
      <c r="H146" s="66">
        <f t="shared" ca="1" si="72"/>
        <v>450131.20000000007</v>
      </c>
      <c r="I146" s="66">
        <f t="shared" ca="1" si="72"/>
        <v>520846.56</v>
      </c>
      <c r="J146" s="66">
        <f t="shared" ca="1" si="72"/>
        <v>564465.27999999991</v>
      </c>
      <c r="K146" s="66">
        <f t="shared" ca="1" si="72"/>
        <v>614455.5382488413</v>
      </c>
      <c r="L146" s="66">
        <f t="shared" ca="1" si="72"/>
        <v>670630.05391745328</v>
      </c>
    </row>
    <row r="147" spans="2:14" x14ac:dyDescent="0.35">
      <c r="B147" s="79" t="s">
        <v>82</v>
      </c>
      <c r="D147" s="155">
        <v>17229</v>
      </c>
      <c r="E147" s="161">
        <f>F201</f>
        <v>0</v>
      </c>
      <c r="F147" s="66">
        <f t="shared" ref="F147:L147" si="73">E147+F98</f>
        <v>0</v>
      </c>
      <c r="G147" s="66">
        <f t="shared" si="73"/>
        <v>0</v>
      </c>
      <c r="H147" s="66">
        <f t="shared" si="73"/>
        <v>0</v>
      </c>
      <c r="I147" s="66">
        <f t="shared" si="73"/>
        <v>0</v>
      </c>
      <c r="J147" s="66">
        <f t="shared" si="73"/>
        <v>0</v>
      </c>
      <c r="K147" s="66">
        <f t="shared" si="73"/>
        <v>0</v>
      </c>
      <c r="L147" s="66">
        <f t="shared" si="73"/>
        <v>0</v>
      </c>
    </row>
    <row r="148" spans="2:14" x14ac:dyDescent="0.35">
      <c r="B148" s="79" t="s">
        <v>83</v>
      </c>
      <c r="D148" s="155">
        <v>2945</v>
      </c>
      <c r="E148" s="161">
        <f>F202</f>
        <v>0</v>
      </c>
      <c r="F148" s="66">
        <f t="shared" ref="F148:L148" si="74">E148</f>
        <v>0</v>
      </c>
      <c r="G148" s="66">
        <f t="shared" si="74"/>
        <v>0</v>
      </c>
      <c r="H148" s="66">
        <f t="shared" si="74"/>
        <v>0</v>
      </c>
      <c r="I148" s="66">
        <f t="shared" si="74"/>
        <v>0</v>
      </c>
      <c r="J148" s="66">
        <f t="shared" si="74"/>
        <v>0</v>
      </c>
      <c r="K148" s="66">
        <f t="shared" si="74"/>
        <v>0</v>
      </c>
      <c r="L148" s="66">
        <f t="shared" si="74"/>
        <v>0</v>
      </c>
    </row>
    <row r="149" spans="2:14" s="70" customFormat="1" x14ac:dyDescent="0.35">
      <c r="B149" s="80" t="s">
        <v>84</v>
      </c>
      <c r="D149" s="156">
        <f t="shared" ref="D149:L149" si="75">SUM(D145:D148)</f>
        <v>399443</v>
      </c>
      <c r="E149" s="163">
        <f t="shared" si="75"/>
        <v>431092</v>
      </c>
      <c r="F149" s="174">
        <f t="shared" ca="1" si="75"/>
        <v>406096.98625831708</v>
      </c>
      <c r="G149" s="76">
        <f t="shared" ca="1" si="75"/>
        <v>437919.38017964788</v>
      </c>
      <c r="H149" s="76">
        <f t="shared" ca="1" si="75"/>
        <v>474972.64926027402</v>
      </c>
      <c r="I149" s="76">
        <f t="shared" ca="1" si="75"/>
        <v>549523.19027049176</v>
      </c>
      <c r="J149" s="76">
        <f t="shared" ca="1" si="75"/>
        <v>595623.79000547936</v>
      </c>
      <c r="K149" s="76">
        <f t="shared" ca="1" si="75"/>
        <v>648373.51286093576</v>
      </c>
      <c r="L149" s="76">
        <f t="shared" ca="1" si="75"/>
        <v>707648.86443660897</v>
      </c>
    </row>
    <row r="150" spans="2:14" x14ac:dyDescent="0.35">
      <c r="B150" s="73" t="s">
        <v>85</v>
      </c>
      <c r="D150" s="155">
        <v>388971</v>
      </c>
      <c r="E150" s="161">
        <f t="shared" ref="E150:E156" si="76">F204</f>
        <v>0</v>
      </c>
      <c r="F150" s="66">
        <f t="shared" ref="F150:L150" si="77">E150+F96+F97+F88</f>
        <v>0</v>
      </c>
      <c r="G150" s="66">
        <f t="shared" si="77"/>
        <v>0</v>
      </c>
      <c r="H150" s="66">
        <f t="shared" si="77"/>
        <v>0</v>
      </c>
      <c r="I150" s="66">
        <f t="shared" si="77"/>
        <v>0</v>
      </c>
      <c r="J150" s="66">
        <f t="shared" si="77"/>
        <v>0</v>
      </c>
      <c r="K150" s="66">
        <f t="shared" si="77"/>
        <v>0</v>
      </c>
      <c r="L150" s="66">
        <f t="shared" si="77"/>
        <v>0</v>
      </c>
    </row>
    <row r="151" spans="2:14" x14ac:dyDescent="0.35">
      <c r="B151" s="73" t="s">
        <v>239</v>
      </c>
      <c r="D151" s="155">
        <v>0</v>
      </c>
      <c r="E151" s="161">
        <f t="shared" ca="1" si="76"/>
        <v>750000.33463008085</v>
      </c>
      <c r="F151" s="66">
        <f t="shared" ref="F151:L153" ca="1" si="78">E151+F101</f>
        <v>719775.93511577987</v>
      </c>
      <c r="G151" s="66">
        <f t="shared" ca="1" si="78"/>
        <v>573028.63968572253</v>
      </c>
      <c r="H151" s="66">
        <f t="shared" ca="1" si="78"/>
        <v>375621.59900914715</v>
      </c>
      <c r="I151" s="66">
        <f t="shared" ca="1" si="78"/>
        <v>100442.41561207769</v>
      </c>
      <c r="J151" s="66">
        <f t="shared" ca="1" si="78"/>
        <v>0</v>
      </c>
      <c r="K151" s="66">
        <f t="shared" ca="1" si="78"/>
        <v>0</v>
      </c>
      <c r="L151" s="66">
        <f t="shared" ca="1" si="78"/>
        <v>0</v>
      </c>
    </row>
    <row r="152" spans="2:14" x14ac:dyDescent="0.35">
      <c r="B152" s="73" t="s">
        <v>240</v>
      </c>
      <c r="D152" s="155">
        <v>0</v>
      </c>
      <c r="E152" s="161">
        <f t="shared" ca="1" si="76"/>
        <v>2250000.9025775655</v>
      </c>
      <c r="F152" s="66">
        <f t="shared" ca="1" si="78"/>
        <v>2250000.9025775655</v>
      </c>
      <c r="G152" s="66">
        <f t="shared" ca="1" si="78"/>
        <v>2250000.9025775655</v>
      </c>
      <c r="H152" s="66">
        <f t="shared" ca="1" si="78"/>
        <v>2250000.9025775655</v>
      </c>
      <c r="I152" s="66">
        <f t="shared" ca="1" si="78"/>
        <v>2250000.9025775655</v>
      </c>
      <c r="J152" s="66">
        <f t="shared" ca="1" si="78"/>
        <v>2034932.8831736553</v>
      </c>
      <c r="K152" s="66">
        <f t="shared" ca="1" si="78"/>
        <v>1678514.4082513852</v>
      </c>
      <c r="L152" s="66">
        <f t="shared" ca="1" si="78"/>
        <v>1276960.6247848249</v>
      </c>
    </row>
    <row r="153" spans="2:14" x14ac:dyDescent="0.35">
      <c r="B153" s="73" t="s">
        <v>241</v>
      </c>
      <c r="D153" s="155">
        <v>0</v>
      </c>
      <c r="E153" s="161">
        <f t="shared" ca="1" si="76"/>
        <v>0</v>
      </c>
      <c r="F153" s="66">
        <f t="shared" ca="1" si="78"/>
        <v>0</v>
      </c>
      <c r="G153" s="66">
        <f t="shared" ca="1" si="78"/>
        <v>0</v>
      </c>
      <c r="H153" s="66">
        <f t="shared" ca="1" si="78"/>
        <v>0</v>
      </c>
      <c r="I153" s="66">
        <f t="shared" ca="1" si="78"/>
        <v>0</v>
      </c>
      <c r="J153" s="66">
        <f t="shared" ca="1" si="78"/>
        <v>0</v>
      </c>
      <c r="K153" s="66">
        <f t="shared" ca="1" si="78"/>
        <v>0</v>
      </c>
      <c r="L153" s="66">
        <f t="shared" ca="1" si="78"/>
        <v>0</v>
      </c>
    </row>
    <row r="154" spans="2:14" x14ac:dyDescent="0.35">
      <c r="B154" s="73" t="s">
        <v>45</v>
      </c>
      <c r="D154" s="155">
        <v>62610</v>
      </c>
      <c r="E154" s="161">
        <f t="shared" si="76"/>
        <v>63369</v>
      </c>
      <c r="F154" s="66">
        <f t="shared" ref="F154:L154" si="79">E154+F80</f>
        <v>63369</v>
      </c>
      <c r="G154" s="66">
        <f t="shared" si="79"/>
        <v>63369</v>
      </c>
      <c r="H154" s="66">
        <f t="shared" si="79"/>
        <v>63369</v>
      </c>
      <c r="I154" s="66">
        <f t="shared" si="79"/>
        <v>63369</v>
      </c>
      <c r="J154" s="66">
        <f t="shared" si="79"/>
        <v>63369</v>
      </c>
      <c r="K154" s="66">
        <f t="shared" si="79"/>
        <v>63369</v>
      </c>
      <c r="L154" s="66">
        <f t="shared" si="79"/>
        <v>63369</v>
      </c>
    </row>
    <row r="155" spans="2:14" x14ac:dyDescent="0.35">
      <c r="B155" s="73" t="s">
        <v>36</v>
      </c>
      <c r="D155" s="155">
        <v>35968</v>
      </c>
      <c r="E155" s="161">
        <f t="shared" si="76"/>
        <v>32301</v>
      </c>
      <c r="F155" s="66">
        <f t="shared" ref="F155:L155" si="80">E155</f>
        <v>32301</v>
      </c>
      <c r="G155" s="66">
        <f t="shared" si="80"/>
        <v>32301</v>
      </c>
      <c r="H155" s="66">
        <f t="shared" si="80"/>
        <v>32301</v>
      </c>
      <c r="I155" s="66">
        <f t="shared" si="80"/>
        <v>32301</v>
      </c>
      <c r="J155" s="66">
        <f t="shared" si="80"/>
        <v>32301</v>
      </c>
      <c r="K155" s="66">
        <f t="shared" si="80"/>
        <v>32301</v>
      </c>
      <c r="L155" s="66">
        <f t="shared" si="80"/>
        <v>32301</v>
      </c>
    </row>
    <row r="156" spans="2:14" x14ac:dyDescent="0.35">
      <c r="B156" s="73" t="s">
        <v>46</v>
      </c>
      <c r="D156" s="155">
        <v>52566</v>
      </c>
      <c r="E156" s="161">
        <f t="shared" si="76"/>
        <v>54636</v>
      </c>
      <c r="F156" s="66">
        <f t="shared" ref="F156:L156" si="81">E156+F81</f>
        <v>54636</v>
      </c>
      <c r="G156" s="66">
        <f t="shared" si="81"/>
        <v>54636</v>
      </c>
      <c r="H156" s="66">
        <f t="shared" si="81"/>
        <v>54636</v>
      </c>
      <c r="I156" s="66">
        <f t="shared" si="81"/>
        <v>54636</v>
      </c>
      <c r="J156" s="66">
        <f t="shared" si="81"/>
        <v>54636</v>
      </c>
      <c r="K156" s="66">
        <f t="shared" si="81"/>
        <v>54636</v>
      </c>
      <c r="L156" s="66">
        <f t="shared" si="81"/>
        <v>54636</v>
      </c>
    </row>
    <row r="157" spans="2:14" s="70" customFormat="1" x14ac:dyDescent="0.35">
      <c r="B157" s="78" t="s">
        <v>86</v>
      </c>
      <c r="D157" s="156">
        <f t="shared" ref="D157:L157" si="82">SUM(D149:D156)</f>
        <v>939558</v>
      </c>
      <c r="E157" s="163">
        <f t="shared" ca="1" si="82"/>
        <v>3581399.2372076465</v>
      </c>
      <c r="F157" s="174">
        <f t="shared" ca="1" si="82"/>
        <v>3526179.8239516625</v>
      </c>
      <c r="G157" s="76">
        <f t="shared" ca="1" si="82"/>
        <v>3411254.9224429359</v>
      </c>
      <c r="H157" s="76">
        <f t="shared" ca="1" si="82"/>
        <v>3250901.1508469866</v>
      </c>
      <c r="I157" s="76">
        <f t="shared" ca="1" si="82"/>
        <v>3050272.5084601352</v>
      </c>
      <c r="J157" s="76">
        <f t="shared" ca="1" si="82"/>
        <v>2780862.6731791347</v>
      </c>
      <c r="K157" s="76">
        <f t="shared" ca="1" si="82"/>
        <v>2477193.9211123209</v>
      </c>
      <c r="L157" s="76">
        <f t="shared" ca="1" si="82"/>
        <v>2134915.4892214341</v>
      </c>
    </row>
    <row r="158" spans="2:14" s="70" customFormat="1" x14ac:dyDescent="0.35">
      <c r="B158" s="70" t="s">
        <v>220</v>
      </c>
      <c r="D158" s="153"/>
      <c r="E158" s="161"/>
    </row>
    <row r="159" spans="2:14" x14ac:dyDescent="0.35">
      <c r="B159" s="73" t="s">
        <v>88</v>
      </c>
      <c r="D159" s="155">
        <v>3981</v>
      </c>
      <c r="E159" s="161">
        <f>F213</f>
        <v>3603</v>
      </c>
      <c r="F159" s="66">
        <f t="shared" ref="F159:J167" si="83">E159</f>
        <v>3603</v>
      </c>
      <c r="G159" s="66">
        <f t="shared" si="83"/>
        <v>3603</v>
      </c>
      <c r="H159" s="66">
        <f t="shared" si="83"/>
        <v>3603</v>
      </c>
      <c r="I159" s="66">
        <f t="shared" si="83"/>
        <v>3603</v>
      </c>
      <c r="J159" s="66">
        <f t="shared" si="83"/>
        <v>3603</v>
      </c>
      <c r="K159" s="66">
        <f>J159</f>
        <v>3603</v>
      </c>
      <c r="L159" s="66">
        <f>K159</f>
        <v>3603</v>
      </c>
      <c r="N159" s="66" t="s">
        <v>236</v>
      </c>
    </row>
    <row r="160" spans="2:14" x14ac:dyDescent="0.35">
      <c r="B160" s="70" t="s">
        <v>219</v>
      </c>
      <c r="D160" s="153"/>
      <c r="E160" s="161"/>
    </row>
    <row r="161" spans="1:12" x14ac:dyDescent="0.35">
      <c r="B161" s="73" t="s">
        <v>192</v>
      </c>
      <c r="D161" s="155">
        <v>0</v>
      </c>
      <c r="E161" s="161">
        <f t="shared" ref="E161:E168" si="84">F215</f>
        <v>0</v>
      </c>
      <c r="F161" s="66">
        <f t="shared" si="83"/>
        <v>0</v>
      </c>
      <c r="G161" s="66">
        <f t="shared" si="83"/>
        <v>0</v>
      </c>
      <c r="H161" s="66">
        <f t="shared" si="83"/>
        <v>0</v>
      </c>
      <c r="I161" s="66">
        <f t="shared" si="83"/>
        <v>0</v>
      </c>
      <c r="J161" s="66">
        <f t="shared" si="83"/>
        <v>0</v>
      </c>
      <c r="K161" s="66">
        <f t="shared" ref="K161:L167" si="85">J161</f>
        <v>0</v>
      </c>
      <c r="L161" s="66">
        <f t="shared" si="85"/>
        <v>0</v>
      </c>
    </row>
    <row r="162" spans="1:12" x14ac:dyDescent="0.35">
      <c r="B162" s="73" t="s">
        <v>222</v>
      </c>
      <c r="D162" s="155">
        <v>3</v>
      </c>
      <c r="E162" s="161">
        <f t="shared" si="84"/>
        <v>0</v>
      </c>
      <c r="F162" s="66">
        <f t="shared" si="83"/>
        <v>0</v>
      </c>
      <c r="G162" s="66">
        <f t="shared" si="83"/>
        <v>0</v>
      </c>
      <c r="H162" s="66">
        <f t="shared" si="83"/>
        <v>0</v>
      </c>
      <c r="I162" s="66">
        <f t="shared" si="83"/>
        <v>0</v>
      </c>
      <c r="J162" s="66">
        <f t="shared" si="83"/>
        <v>0</v>
      </c>
      <c r="K162" s="66">
        <f t="shared" si="85"/>
        <v>0</v>
      </c>
      <c r="L162" s="66">
        <f t="shared" si="85"/>
        <v>0</v>
      </c>
    </row>
    <row r="163" spans="1:12" x14ac:dyDescent="0.35">
      <c r="B163" s="73" t="s">
        <v>190</v>
      </c>
      <c r="D163" s="155">
        <v>-1111586</v>
      </c>
      <c r="E163" s="161">
        <f t="shared" si="84"/>
        <v>0</v>
      </c>
      <c r="F163" s="66">
        <f t="shared" si="83"/>
        <v>0</v>
      </c>
      <c r="G163" s="66">
        <f t="shared" si="83"/>
        <v>0</v>
      </c>
      <c r="H163" s="66">
        <f t="shared" si="83"/>
        <v>0</v>
      </c>
      <c r="I163" s="66">
        <f t="shared" si="83"/>
        <v>0</v>
      </c>
      <c r="J163" s="66">
        <f t="shared" si="83"/>
        <v>0</v>
      </c>
      <c r="K163" s="66">
        <f t="shared" si="85"/>
        <v>0</v>
      </c>
      <c r="L163" s="66">
        <f t="shared" si="85"/>
        <v>0</v>
      </c>
    </row>
    <row r="164" spans="1:12" x14ac:dyDescent="0.35">
      <c r="B164" s="73" t="s">
        <v>191</v>
      </c>
      <c r="D164" s="155">
        <v>0</v>
      </c>
      <c r="E164" s="161">
        <f t="shared" si="84"/>
        <v>0</v>
      </c>
      <c r="F164" s="66">
        <f t="shared" si="83"/>
        <v>0</v>
      </c>
      <c r="G164" s="66">
        <f t="shared" si="83"/>
        <v>0</v>
      </c>
      <c r="H164" s="66">
        <f t="shared" si="83"/>
        <v>0</v>
      </c>
      <c r="I164" s="66">
        <f t="shared" si="83"/>
        <v>0</v>
      </c>
      <c r="J164" s="66">
        <f t="shared" si="83"/>
        <v>0</v>
      </c>
      <c r="K164" s="66">
        <f t="shared" si="85"/>
        <v>0</v>
      </c>
      <c r="L164" s="66">
        <f t="shared" si="85"/>
        <v>0</v>
      </c>
    </row>
    <row r="165" spans="1:12" x14ac:dyDescent="0.35">
      <c r="B165" s="73" t="s">
        <v>92</v>
      </c>
      <c r="D165" s="155">
        <v>235393</v>
      </c>
      <c r="E165" s="161">
        <f t="shared" si="84"/>
        <v>0</v>
      </c>
      <c r="F165" s="66">
        <f t="shared" si="83"/>
        <v>0</v>
      </c>
      <c r="G165" s="66">
        <f t="shared" si="83"/>
        <v>0</v>
      </c>
      <c r="H165" s="66">
        <f t="shared" si="83"/>
        <v>0</v>
      </c>
      <c r="I165" s="66">
        <f t="shared" si="83"/>
        <v>0</v>
      </c>
      <c r="J165" s="66">
        <f t="shared" si="83"/>
        <v>0</v>
      </c>
      <c r="K165" s="66">
        <f t="shared" si="85"/>
        <v>0</v>
      </c>
      <c r="L165" s="66">
        <f t="shared" si="85"/>
        <v>0</v>
      </c>
    </row>
    <row r="166" spans="1:12" x14ac:dyDescent="0.35">
      <c r="B166" s="73" t="s">
        <v>93</v>
      </c>
      <c r="D166" s="155">
        <v>-5029</v>
      </c>
      <c r="E166" s="161">
        <f t="shared" si="84"/>
        <v>0</v>
      </c>
      <c r="F166" s="66">
        <f t="shared" si="83"/>
        <v>0</v>
      </c>
      <c r="G166" s="66">
        <f t="shared" si="83"/>
        <v>0</v>
      </c>
      <c r="H166" s="66">
        <f t="shared" si="83"/>
        <v>0</v>
      </c>
      <c r="I166" s="66">
        <f t="shared" si="83"/>
        <v>0</v>
      </c>
      <c r="J166" s="66">
        <f t="shared" si="83"/>
        <v>0</v>
      </c>
      <c r="K166" s="66">
        <f t="shared" si="85"/>
        <v>0</v>
      </c>
      <c r="L166" s="66">
        <f t="shared" si="85"/>
        <v>0</v>
      </c>
    </row>
    <row r="167" spans="1:12" x14ac:dyDescent="0.35">
      <c r="B167" s="73" t="s">
        <v>94</v>
      </c>
      <c r="D167" s="155">
        <v>1378519</v>
      </c>
      <c r="E167" s="161">
        <f t="shared" si="84"/>
        <v>0</v>
      </c>
      <c r="F167" s="66">
        <f t="shared" si="83"/>
        <v>0</v>
      </c>
      <c r="G167" s="66">
        <f t="shared" si="83"/>
        <v>0</v>
      </c>
      <c r="H167" s="66">
        <f t="shared" si="83"/>
        <v>0</v>
      </c>
      <c r="I167" s="66">
        <f t="shared" si="83"/>
        <v>0</v>
      </c>
      <c r="J167" s="66">
        <f t="shared" si="83"/>
        <v>0</v>
      </c>
      <c r="K167" s="66">
        <f t="shared" si="85"/>
        <v>0</v>
      </c>
      <c r="L167" s="66">
        <f t="shared" si="85"/>
        <v>0</v>
      </c>
    </row>
    <row r="168" spans="1:12" x14ac:dyDescent="0.35">
      <c r="B168" s="73" t="s">
        <v>198</v>
      </c>
      <c r="D168" s="155">
        <v>0</v>
      </c>
      <c r="E168" s="161">
        <f t="shared" ca="1" si="84"/>
        <v>4463667.8906296333</v>
      </c>
      <c r="F168" s="66">
        <f t="shared" ref="F168:L168" ca="1" si="86">E168+F65+F67+F68+F70+F89+F91+F99+F104+F105+F106+F107+F108+F109</f>
        <v>4437260.8693974828</v>
      </c>
      <c r="G168" s="66">
        <f t="shared" ca="1" si="86"/>
        <v>4457597.6816646606</v>
      </c>
      <c r="H168" s="66">
        <f t="shared" ca="1" si="86"/>
        <v>4515323.3172391774</v>
      </c>
      <c r="I168" s="66">
        <f t="shared" ca="1" si="86"/>
        <v>4605469.1790204393</v>
      </c>
      <c r="J168" s="66">
        <f t="shared" ca="1" si="86"/>
        <v>4734709.7082270812</v>
      </c>
      <c r="K168" s="66">
        <f t="shared" ca="1" si="86"/>
        <v>4904009.7901896732</v>
      </c>
      <c r="L168" s="66">
        <f t="shared" ca="1" si="86"/>
        <v>5119338.6746886028</v>
      </c>
    </row>
    <row r="169" spans="1:12" s="70" customFormat="1" x14ac:dyDescent="0.35">
      <c r="B169" s="78" t="s">
        <v>95</v>
      </c>
      <c r="D169" s="158">
        <f t="shared" ref="D169:L169" si="87">SUM(D161:D168)</f>
        <v>497300</v>
      </c>
      <c r="E169" s="165">
        <f t="shared" ca="1" si="87"/>
        <v>4463667.8906296333</v>
      </c>
      <c r="F169" s="173">
        <f t="shared" ca="1" si="87"/>
        <v>4437260.8693974828</v>
      </c>
      <c r="G169" s="74">
        <f t="shared" ca="1" si="87"/>
        <v>4457597.6816646606</v>
      </c>
      <c r="H169" s="74">
        <f t="shared" ca="1" si="87"/>
        <v>4515323.3172391774</v>
      </c>
      <c r="I169" s="74">
        <f t="shared" ca="1" si="87"/>
        <v>4605469.1790204393</v>
      </c>
      <c r="J169" s="74">
        <f t="shared" ca="1" si="87"/>
        <v>4734709.7082270812</v>
      </c>
      <c r="K169" s="74">
        <f t="shared" ca="1" si="87"/>
        <v>4904009.7901896732</v>
      </c>
      <c r="L169" s="74">
        <f t="shared" ca="1" si="87"/>
        <v>5119338.6746886028</v>
      </c>
    </row>
    <row r="170" spans="1:12" s="70" customFormat="1" x14ac:dyDescent="0.35">
      <c r="B170" s="70" t="s">
        <v>96</v>
      </c>
      <c r="D170" s="158">
        <f t="shared" ref="D170:L170" si="88">D157+D159+D169</f>
        <v>1440839</v>
      </c>
      <c r="E170" s="165">
        <f t="shared" ca="1" si="88"/>
        <v>8048670.1278372798</v>
      </c>
      <c r="F170" s="173">
        <f t="shared" ca="1" si="88"/>
        <v>7967043.6933491454</v>
      </c>
      <c r="G170" s="74">
        <f t="shared" ca="1" si="88"/>
        <v>7872455.604107596</v>
      </c>
      <c r="H170" s="74">
        <f t="shared" ca="1" si="88"/>
        <v>7769827.4680861644</v>
      </c>
      <c r="I170" s="74">
        <f t="shared" ca="1" si="88"/>
        <v>7659344.6874805745</v>
      </c>
      <c r="J170" s="74">
        <f t="shared" ca="1" si="88"/>
        <v>7519175.381406216</v>
      </c>
      <c r="K170" s="74">
        <f t="shared" ca="1" si="88"/>
        <v>7384806.7113019936</v>
      </c>
      <c r="L170" s="74">
        <f t="shared" ca="1" si="88"/>
        <v>7257857.1639100369</v>
      </c>
    </row>
    <row r="172" spans="1:12" s="70" customFormat="1" x14ac:dyDescent="0.35">
      <c r="B172" s="70" t="s">
        <v>134</v>
      </c>
      <c r="D172" s="89">
        <f t="shared" ref="D172:L172" si="89">ROUND(D141-D170,2)</f>
        <v>0</v>
      </c>
      <c r="E172" s="89">
        <f t="shared" ca="1" si="89"/>
        <v>0</v>
      </c>
      <c r="F172" s="89">
        <f t="shared" ca="1" si="89"/>
        <v>0</v>
      </c>
      <c r="G172" s="89">
        <f t="shared" ca="1" si="89"/>
        <v>0</v>
      </c>
      <c r="H172" s="89">
        <f t="shared" ca="1" si="89"/>
        <v>0</v>
      </c>
      <c r="I172" s="89">
        <f t="shared" ca="1" si="89"/>
        <v>0</v>
      </c>
      <c r="J172" s="89">
        <f t="shared" ca="1" si="89"/>
        <v>0</v>
      </c>
      <c r="K172" s="89">
        <f t="shared" ca="1" si="89"/>
        <v>0</v>
      </c>
      <c r="L172" s="89">
        <f t="shared" ca="1" si="89"/>
        <v>0</v>
      </c>
    </row>
    <row r="173" spans="1:12" s="70" customFormat="1" ht="5.15" customHeight="1" thickBot="1" x14ac:dyDescent="0.4">
      <c r="B173" s="183"/>
      <c r="C173" s="183"/>
      <c r="D173" s="198"/>
      <c r="E173" s="198"/>
      <c r="F173" s="198"/>
      <c r="G173" s="198"/>
      <c r="H173" s="198"/>
      <c r="I173" s="198"/>
      <c r="J173" s="198"/>
      <c r="K173" s="198"/>
      <c r="L173" s="198"/>
    </row>
    <row r="174" spans="1:12" ht="16" thickTop="1" x14ac:dyDescent="0.35"/>
    <row r="175" spans="1:12" x14ac:dyDescent="0.35">
      <c r="A175" s="66" t="s">
        <v>31</v>
      </c>
      <c r="B175" s="70" t="s">
        <v>189</v>
      </c>
      <c r="F175" s="71" t="s">
        <v>110</v>
      </c>
    </row>
    <row r="176" spans="1:12" x14ac:dyDescent="0.35">
      <c r="B176" s="66" t="s">
        <v>400</v>
      </c>
      <c r="F176" s="72" t="s">
        <v>130</v>
      </c>
    </row>
    <row r="177" spans="2:8" x14ac:dyDescent="0.35">
      <c r="B177" s="67"/>
      <c r="C177" s="171"/>
      <c r="D177" s="67"/>
      <c r="E177" s="171"/>
      <c r="F177" s="67"/>
    </row>
    <row r="178" spans="2:8" x14ac:dyDescent="0.35">
      <c r="B178" s="69"/>
      <c r="C178" s="188">
        <v>42731</v>
      </c>
      <c r="D178" s="191" t="s">
        <v>231</v>
      </c>
      <c r="E178" s="192"/>
      <c r="F178" s="193">
        <v>42731</v>
      </c>
    </row>
    <row r="179" spans="2:8" x14ac:dyDescent="0.35">
      <c r="B179" s="70" t="s">
        <v>218</v>
      </c>
      <c r="C179" s="152"/>
      <c r="D179" s="97"/>
      <c r="E179" s="172"/>
      <c r="F179" s="147"/>
      <c r="G179" s="70"/>
      <c r="H179" s="70"/>
    </row>
    <row r="180" spans="2:8" x14ac:dyDescent="0.35">
      <c r="B180" s="78" t="s">
        <v>69</v>
      </c>
      <c r="C180" s="153"/>
      <c r="E180" s="153"/>
    </row>
    <row r="181" spans="2:8" x14ac:dyDescent="0.35">
      <c r="B181" s="79" t="s">
        <v>70</v>
      </c>
      <c r="C181" s="154">
        <v>105529</v>
      </c>
      <c r="D181" s="134">
        <f>-'Transaction Summary'!C11</f>
        <v>-84187.45</v>
      </c>
      <c r="E181" s="153"/>
      <c r="F181" s="75">
        <f>C181+D181+E181</f>
        <v>21341.550000000003</v>
      </c>
    </row>
    <row r="182" spans="2:8" x14ac:dyDescent="0.35">
      <c r="B182" s="79" t="s">
        <v>71</v>
      </c>
      <c r="C182" s="155">
        <v>53519</v>
      </c>
      <c r="E182" s="153"/>
      <c r="F182" s="66">
        <f t="shared" ref="F182:F192" si="90">C182+D182+E182</f>
        <v>53519</v>
      </c>
    </row>
    <row r="183" spans="2:8" x14ac:dyDescent="0.35">
      <c r="B183" s="79" t="s">
        <v>72</v>
      </c>
      <c r="C183" s="155">
        <v>59404</v>
      </c>
      <c r="E183" s="153"/>
      <c r="F183" s="66">
        <f t="shared" si="90"/>
        <v>59404</v>
      </c>
    </row>
    <row r="184" spans="2:8" x14ac:dyDescent="0.35">
      <c r="B184" s="79" t="s">
        <v>40</v>
      </c>
      <c r="C184" s="155">
        <v>23775</v>
      </c>
      <c r="E184" s="153"/>
      <c r="F184" s="66">
        <f t="shared" si="90"/>
        <v>23775</v>
      </c>
    </row>
    <row r="185" spans="2:8" x14ac:dyDescent="0.35">
      <c r="B185" s="79" t="s">
        <v>41</v>
      </c>
      <c r="C185" s="155">
        <v>69194</v>
      </c>
      <c r="E185" s="153"/>
      <c r="F185" s="66">
        <f t="shared" si="90"/>
        <v>69194</v>
      </c>
    </row>
    <row r="186" spans="2:8" x14ac:dyDescent="0.35">
      <c r="B186" s="79" t="s">
        <v>36</v>
      </c>
      <c r="C186" s="155">
        <v>0</v>
      </c>
      <c r="E186" s="153"/>
      <c r="F186" s="66">
        <f t="shared" si="90"/>
        <v>0</v>
      </c>
    </row>
    <row r="187" spans="2:8" x14ac:dyDescent="0.35">
      <c r="B187" s="79" t="s">
        <v>73</v>
      </c>
      <c r="C187" s="155">
        <v>0</v>
      </c>
      <c r="E187" s="153"/>
      <c r="F187" s="66">
        <f t="shared" si="90"/>
        <v>0</v>
      </c>
    </row>
    <row r="188" spans="2:8" x14ac:dyDescent="0.35">
      <c r="B188" s="80" t="s">
        <v>74</v>
      </c>
      <c r="C188" s="156">
        <f>SUM(C181:C187)</f>
        <v>311421</v>
      </c>
      <c r="D188" s="173"/>
      <c r="E188" s="158"/>
      <c r="F188" s="76">
        <f>SUM(F181:F187)</f>
        <v>227233.55</v>
      </c>
      <c r="G188" s="70"/>
      <c r="H188" s="70"/>
    </row>
    <row r="189" spans="2:8" x14ac:dyDescent="0.35">
      <c r="B189" s="73" t="s">
        <v>75</v>
      </c>
      <c r="C189" s="155">
        <v>802759</v>
      </c>
      <c r="E189" s="178"/>
      <c r="F189" s="66">
        <f t="shared" si="90"/>
        <v>802759</v>
      </c>
    </row>
    <row r="190" spans="2:8" x14ac:dyDescent="0.35">
      <c r="B190" s="73" t="s">
        <v>77</v>
      </c>
      <c r="C190" s="86">
        <v>122377</v>
      </c>
      <c r="D190" s="209">
        <f>-C190</f>
        <v>-122377</v>
      </c>
      <c r="E190" s="178">
        <f ca="1">'Transaction Summary'!C79</f>
        <v>2961033.1265000463</v>
      </c>
      <c r="F190" s="66">
        <f t="shared" ca="1" si="90"/>
        <v>2961033.1265000463</v>
      </c>
    </row>
    <row r="191" spans="2:8" x14ac:dyDescent="0.35">
      <c r="B191" s="73" t="s">
        <v>78</v>
      </c>
      <c r="C191" s="155">
        <v>54819</v>
      </c>
      <c r="E191" s="178"/>
      <c r="F191" s="66">
        <f t="shared" si="90"/>
        <v>54819</v>
      </c>
    </row>
    <row r="192" spans="2:8" x14ac:dyDescent="0.35">
      <c r="B192" s="73" t="s">
        <v>42</v>
      </c>
      <c r="C192" s="155">
        <v>10235</v>
      </c>
      <c r="E192" s="153"/>
      <c r="F192" s="66">
        <f t="shared" si="90"/>
        <v>10235</v>
      </c>
    </row>
    <row r="193" spans="2:8" x14ac:dyDescent="0.35">
      <c r="B193" s="73" t="s">
        <v>308</v>
      </c>
      <c r="C193" s="155">
        <v>0</v>
      </c>
      <c r="E193" s="178">
        <f ca="1">'Transaction Summary'!H17</f>
        <v>67500.027837172034</v>
      </c>
      <c r="F193" s="66">
        <f ca="1">C193+D193+E193</f>
        <v>67500.027837172034</v>
      </c>
    </row>
    <row r="194" spans="2:8" x14ac:dyDescent="0.35">
      <c r="B194" s="73" t="s">
        <v>307</v>
      </c>
      <c r="C194" s="155">
        <v>0</v>
      </c>
      <c r="E194" s="178">
        <f ca="1">'Transaction Summary'!H76</f>
        <v>3925090.4235000606</v>
      </c>
      <c r="F194" s="66">
        <f ca="1">C194+D194+E194</f>
        <v>3925090.4235000606</v>
      </c>
    </row>
    <row r="195" spans="2:8" x14ac:dyDescent="0.35">
      <c r="B195" s="78" t="s">
        <v>80</v>
      </c>
      <c r="C195" s="156">
        <f>SUM(C188:C194)</f>
        <v>1301611</v>
      </c>
      <c r="D195" s="173"/>
      <c r="E195" s="158"/>
      <c r="F195" s="76">
        <f ca="1">SUM(F188:F194)</f>
        <v>8048670.1278372798</v>
      </c>
      <c r="G195" s="70"/>
      <c r="H195" s="70"/>
    </row>
    <row r="196" spans="2:8" x14ac:dyDescent="0.35">
      <c r="C196" s="153"/>
      <c r="E196" s="153"/>
    </row>
    <row r="197" spans="2:8" x14ac:dyDescent="0.35">
      <c r="B197" s="70" t="s">
        <v>221</v>
      </c>
      <c r="C197" s="157"/>
      <c r="D197" s="70"/>
      <c r="E197" s="157"/>
      <c r="F197" s="70"/>
      <c r="G197" s="70"/>
      <c r="H197" s="70"/>
    </row>
    <row r="198" spans="2:8" x14ac:dyDescent="0.35">
      <c r="B198" s="78" t="s">
        <v>81</v>
      </c>
      <c r="C198" s="153"/>
      <c r="E198" s="153"/>
    </row>
    <row r="199" spans="2:8" x14ac:dyDescent="0.35">
      <c r="B199" s="79" t="s">
        <v>43</v>
      </c>
      <c r="C199" s="155">
        <v>22455</v>
      </c>
      <c r="E199" s="153"/>
      <c r="F199" s="66">
        <f t="shared" ref="F199:F210" si="91">C199+D199+E199</f>
        <v>22455</v>
      </c>
    </row>
    <row r="200" spans="2:8" x14ac:dyDescent="0.35">
      <c r="B200" s="79" t="s">
        <v>44</v>
      </c>
      <c r="C200" s="155">
        <v>408637</v>
      </c>
      <c r="E200" s="153"/>
      <c r="F200" s="66">
        <f t="shared" si="91"/>
        <v>408637</v>
      </c>
    </row>
    <row r="201" spans="2:8" x14ac:dyDescent="0.35">
      <c r="B201" s="79" t="s">
        <v>82</v>
      </c>
      <c r="C201" s="155">
        <v>17229</v>
      </c>
      <c r="D201" s="88">
        <f>-C201</f>
        <v>-17229</v>
      </c>
      <c r="E201" s="153"/>
      <c r="F201" s="66">
        <f t="shared" si="91"/>
        <v>0</v>
      </c>
    </row>
    <row r="202" spans="2:8" x14ac:dyDescent="0.35">
      <c r="B202" s="79" t="s">
        <v>83</v>
      </c>
      <c r="C202" s="155">
        <v>0</v>
      </c>
      <c r="E202" s="153"/>
      <c r="F202" s="66">
        <f t="shared" si="91"/>
        <v>0</v>
      </c>
    </row>
    <row r="203" spans="2:8" x14ac:dyDescent="0.35">
      <c r="B203" s="80" t="s">
        <v>84</v>
      </c>
      <c r="C203" s="156">
        <f>SUM(C199:C202)</f>
        <v>448321</v>
      </c>
      <c r="D203" s="173"/>
      <c r="E203" s="158"/>
      <c r="F203" s="76">
        <f>SUM(F199:F202)</f>
        <v>431092</v>
      </c>
      <c r="G203" s="70"/>
      <c r="H203" s="70"/>
    </row>
    <row r="204" spans="2:8" x14ac:dyDescent="0.35">
      <c r="B204" s="73" t="s">
        <v>85</v>
      </c>
      <c r="C204" s="155">
        <v>410594</v>
      </c>
      <c r="D204" s="66">
        <f>-C204</f>
        <v>-410594</v>
      </c>
      <c r="E204" s="153"/>
      <c r="F204" s="66">
        <f t="shared" si="91"/>
        <v>0</v>
      </c>
    </row>
    <row r="205" spans="2:8" x14ac:dyDescent="0.35">
      <c r="B205" s="73" t="s">
        <v>239</v>
      </c>
      <c r="C205" s="155">
        <v>0</v>
      </c>
      <c r="E205" s="178">
        <f ca="1">'Transaction Summary'!C12</f>
        <v>750000.33463008085</v>
      </c>
      <c r="F205" s="66">
        <f t="shared" ca="1" si="91"/>
        <v>750000.33463008085</v>
      </c>
    </row>
    <row r="206" spans="2:8" x14ac:dyDescent="0.35">
      <c r="B206" s="73" t="s">
        <v>240</v>
      </c>
      <c r="C206" s="155">
        <v>0</v>
      </c>
      <c r="E206" s="178">
        <f ca="1">'Transaction Summary'!C13</f>
        <v>2250000.9025775655</v>
      </c>
      <c r="F206" s="66">
        <f t="shared" ca="1" si="91"/>
        <v>2250000.9025775655</v>
      </c>
    </row>
    <row r="207" spans="2:8" x14ac:dyDescent="0.35">
      <c r="B207" s="73" t="s">
        <v>241</v>
      </c>
      <c r="C207" s="155">
        <v>0</v>
      </c>
      <c r="E207" s="178">
        <f ca="1">'Transaction Summary'!C14</f>
        <v>0</v>
      </c>
      <c r="F207" s="66">
        <f t="shared" ca="1" si="91"/>
        <v>0</v>
      </c>
    </row>
    <row r="208" spans="2:8" x14ac:dyDescent="0.35">
      <c r="B208" s="73" t="s">
        <v>45</v>
      </c>
      <c r="C208" s="155">
        <v>63369</v>
      </c>
      <c r="E208" s="153"/>
      <c r="F208" s="66">
        <f t="shared" si="91"/>
        <v>63369</v>
      </c>
    </row>
    <row r="209" spans="2:8" x14ac:dyDescent="0.35">
      <c r="B209" s="73" t="s">
        <v>36</v>
      </c>
      <c r="C209" s="155">
        <v>32301</v>
      </c>
      <c r="E209" s="153"/>
      <c r="F209" s="66">
        <f t="shared" si="91"/>
        <v>32301</v>
      </c>
    </row>
    <row r="210" spans="2:8" x14ac:dyDescent="0.35">
      <c r="B210" s="73" t="s">
        <v>46</v>
      </c>
      <c r="C210" s="155">
        <v>54636</v>
      </c>
      <c r="E210" s="153"/>
      <c r="F210" s="66">
        <f t="shared" si="91"/>
        <v>54636</v>
      </c>
    </row>
    <row r="211" spans="2:8" x14ac:dyDescent="0.35">
      <c r="B211" s="78" t="s">
        <v>86</v>
      </c>
      <c r="C211" s="156">
        <f>SUM(C203:C210)</f>
        <v>1009221</v>
      </c>
      <c r="D211" s="173"/>
      <c r="E211" s="158"/>
      <c r="F211" s="76">
        <f ca="1">SUM(F203:F210)</f>
        <v>3581399.2372076465</v>
      </c>
      <c r="G211" s="70"/>
      <c r="H211" s="70"/>
    </row>
    <row r="212" spans="2:8" x14ac:dyDescent="0.35">
      <c r="B212" s="70" t="s">
        <v>220</v>
      </c>
      <c r="C212" s="153"/>
      <c r="D212" s="70"/>
      <c r="E212" s="157"/>
      <c r="F212" s="70"/>
      <c r="G212" s="70"/>
      <c r="H212" s="70"/>
    </row>
    <row r="213" spans="2:8" x14ac:dyDescent="0.35">
      <c r="B213" s="73" t="s">
        <v>88</v>
      </c>
      <c r="C213" s="155">
        <v>3603</v>
      </c>
      <c r="E213" s="153"/>
      <c r="F213" s="66">
        <f>C213+D213+E213</f>
        <v>3603</v>
      </c>
    </row>
    <row r="214" spans="2:8" x14ac:dyDescent="0.35">
      <c r="B214" s="70" t="s">
        <v>219</v>
      </c>
      <c r="C214" s="153"/>
      <c r="E214" s="153"/>
    </row>
    <row r="215" spans="2:8" x14ac:dyDescent="0.35">
      <c r="B215" s="73" t="s">
        <v>192</v>
      </c>
      <c r="C215" s="155">
        <v>0</v>
      </c>
      <c r="D215" s="66">
        <f t="shared" ref="D215:D221" si="92">-C215</f>
        <v>0</v>
      </c>
      <c r="E215" s="153"/>
      <c r="F215" s="66">
        <f t="shared" ref="F215:F221" si="93">C215+D215+E215</f>
        <v>0</v>
      </c>
    </row>
    <row r="216" spans="2:8" x14ac:dyDescent="0.35">
      <c r="B216" s="73" t="s">
        <v>222</v>
      </c>
      <c r="C216" s="155">
        <v>3</v>
      </c>
      <c r="D216" s="66">
        <f t="shared" si="92"/>
        <v>-3</v>
      </c>
      <c r="E216" s="153"/>
      <c r="F216" s="66">
        <f t="shared" si="93"/>
        <v>0</v>
      </c>
    </row>
    <row r="217" spans="2:8" x14ac:dyDescent="0.35">
      <c r="B217" s="73" t="s">
        <v>190</v>
      </c>
      <c r="C217" s="155">
        <v>-1488779</v>
      </c>
      <c r="D217" s="66">
        <f t="shared" si="92"/>
        <v>1488779</v>
      </c>
      <c r="E217" s="153"/>
      <c r="F217" s="66">
        <f t="shared" si="93"/>
        <v>0</v>
      </c>
    </row>
    <row r="218" spans="2:8" x14ac:dyDescent="0.35">
      <c r="B218" s="73" t="s">
        <v>191</v>
      </c>
      <c r="C218" s="155">
        <v>0</v>
      </c>
      <c r="D218" s="66">
        <f t="shared" si="92"/>
        <v>0</v>
      </c>
      <c r="E218" s="153"/>
      <c r="F218" s="66">
        <f t="shared" si="93"/>
        <v>0</v>
      </c>
    </row>
    <row r="219" spans="2:8" x14ac:dyDescent="0.35">
      <c r="B219" s="73" t="s">
        <v>92</v>
      </c>
      <c r="C219" s="155">
        <v>257594</v>
      </c>
      <c r="D219" s="66">
        <f t="shared" si="92"/>
        <v>-257594</v>
      </c>
      <c r="E219" s="153"/>
      <c r="F219" s="66">
        <f t="shared" si="93"/>
        <v>0</v>
      </c>
    </row>
    <row r="220" spans="2:8" x14ac:dyDescent="0.35">
      <c r="B220" s="73" t="s">
        <v>93</v>
      </c>
      <c r="C220" s="155">
        <v>-4124</v>
      </c>
      <c r="D220" s="66">
        <f t="shared" si="92"/>
        <v>4124</v>
      </c>
      <c r="E220" s="153"/>
      <c r="F220" s="66">
        <f t="shared" si="93"/>
        <v>0</v>
      </c>
    </row>
    <row r="221" spans="2:8" x14ac:dyDescent="0.35">
      <c r="B221" s="73" t="s">
        <v>94</v>
      </c>
      <c r="C221" s="155">
        <v>1524093</v>
      </c>
      <c r="D221" s="66">
        <f t="shared" si="92"/>
        <v>-1524093</v>
      </c>
      <c r="E221" s="153"/>
      <c r="F221" s="66">
        <f t="shared" si="93"/>
        <v>0</v>
      </c>
    </row>
    <row r="222" spans="2:8" x14ac:dyDescent="0.35">
      <c r="B222" s="73" t="s">
        <v>198</v>
      </c>
      <c r="C222" s="155">
        <v>0</v>
      </c>
      <c r="D222" s="134">
        <f ca="1">-'Transaction Summary'!C23</f>
        <v>-70525.335500001078</v>
      </c>
      <c r="E222" s="178">
        <f ca="1">'Transaction Summary'!C16</f>
        <v>4534193.2261296343</v>
      </c>
      <c r="F222" s="66">
        <f ca="1">C222+D222+E222</f>
        <v>4463667.8906296333</v>
      </c>
    </row>
    <row r="223" spans="2:8" x14ac:dyDescent="0.35">
      <c r="B223" s="78" t="s">
        <v>95</v>
      </c>
      <c r="C223" s="156">
        <f>SUM(C215:C222)</f>
        <v>288787</v>
      </c>
      <c r="D223" s="174"/>
      <c r="E223" s="156"/>
      <c r="F223" s="76">
        <f ca="1">SUM(F215:F222)</f>
        <v>4463667.8906296333</v>
      </c>
      <c r="G223" s="70"/>
      <c r="H223" s="70"/>
    </row>
    <row r="224" spans="2:8" x14ac:dyDescent="0.35">
      <c r="B224" s="70" t="s">
        <v>96</v>
      </c>
      <c r="C224" s="156">
        <f>C211+C213+C223</f>
        <v>1301611</v>
      </c>
      <c r="D224" s="174"/>
      <c r="E224" s="156"/>
      <c r="F224" s="76">
        <f ca="1">F211+F213+F223</f>
        <v>8048670.1278372798</v>
      </c>
      <c r="G224" s="70"/>
      <c r="H224" s="70"/>
    </row>
    <row r="226" spans="1:12" x14ac:dyDescent="0.35">
      <c r="B226" s="70" t="s">
        <v>134</v>
      </c>
      <c r="C226" s="89">
        <f>C195-C224</f>
        <v>0</v>
      </c>
      <c r="D226" s="70"/>
      <c r="E226" s="70"/>
      <c r="F226" s="89">
        <f ca="1">F195-F224</f>
        <v>0</v>
      </c>
      <c r="G226" s="70"/>
      <c r="H226" s="70"/>
    </row>
    <row r="227" spans="1:12" ht="5.15" customHeight="1" thickBot="1" x14ac:dyDescent="0.4">
      <c r="B227" s="183"/>
      <c r="C227" s="198"/>
      <c r="D227" s="183"/>
      <c r="E227" s="183"/>
      <c r="F227" s="198"/>
      <c r="G227" s="70"/>
      <c r="H227" s="70"/>
    </row>
    <row r="228" spans="1:12" ht="16" thickTop="1" x14ac:dyDescent="0.35"/>
    <row r="229" spans="1:12" x14ac:dyDescent="0.35">
      <c r="A229" s="66" t="s">
        <v>31</v>
      </c>
      <c r="B229" s="70" t="s">
        <v>242</v>
      </c>
      <c r="C229" s="70"/>
      <c r="D229" s="70"/>
      <c r="E229" s="70"/>
      <c r="F229" s="70"/>
      <c r="G229" s="70"/>
      <c r="H229" s="70"/>
      <c r="I229" s="70"/>
      <c r="L229" s="71" t="s">
        <v>110</v>
      </c>
    </row>
    <row r="230" spans="1:12" x14ac:dyDescent="0.35">
      <c r="B230" s="66" t="s">
        <v>237</v>
      </c>
      <c r="L230" s="72" t="s">
        <v>130</v>
      </c>
    </row>
    <row r="231" spans="1:12" x14ac:dyDescent="0.35">
      <c r="B231" s="67"/>
      <c r="C231" s="68" t="s">
        <v>109</v>
      </c>
      <c r="D231" s="68"/>
      <c r="E231" s="151"/>
      <c r="F231" s="68" t="s">
        <v>128</v>
      </c>
      <c r="G231" s="68"/>
      <c r="H231" s="68"/>
      <c r="I231" s="68"/>
      <c r="J231" s="68"/>
      <c r="K231" s="68"/>
      <c r="L231" s="68"/>
    </row>
    <row r="232" spans="1:12" x14ac:dyDescent="0.35">
      <c r="B232" s="69"/>
      <c r="C232" s="187">
        <v>42003</v>
      </c>
      <c r="D232" s="187">
        <v>42367</v>
      </c>
      <c r="E232" s="188">
        <v>42731</v>
      </c>
      <c r="F232" s="189">
        <f t="shared" ref="F232:L232" si="94">DATE(YEAR(E232)+1,MONTH(E232),DAY(E232))</f>
        <v>43096</v>
      </c>
      <c r="G232" s="189">
        <f t="shared" si="94"/>
        <v>43461</v>
      </c>
      <c r="H232" s="189">
        <f t="shared" si="94"/>
        <v>43826</v>
      </c>
      <c r="I232" s="189">
        <f t="shared" si="94"/>
        <v>44192</v>
      </c>
      <c r="J232" s="189">
        <f t="shared" si="94"/>
        <v>44557</v>
      </c>
      <c r="K232" s="189">
        <f t="shared" si="94"/>
        <v>44922</v>
      </c>
      <c r="L232" s="189">
        <f t="shared" si="94"/>
        <v>45287</v>
      </c>
    </row>
    <row r="233" spans="1:12" x14ac:dyDescent="0.35">
      <c r="B233" s="66" t="s">
        <v>107</v>
      </c>
      <c r="C233" s="75">
        <f t="shared" ref="C233:L233" si="95">C10</f>
        <v>2529195</v>
      </c>
      <c r="D233" s="75">
        <f t="shared" si="95"/>
        <v>2681580</v>
      </c>
      <c r="E233" s="167">
        <f t="shared" si="95"/>
        <v>2795365</v>
      </c>
      <c r="F233" s="75">
        <f t="shared" ca="1" si="95"/>
        <v>2846115.7142857146</v>
      </c>
      <c r="G233" s="75">
        <f t="shared" ca="1" si="95"/>
        <v>3083144.4285714291</v>
      </c>
      <c r="H233" s="75">
        <f t="shared" ca="1" si="95"/>
        <v>3374420.0000000005</v>
      </c>
      <c r="I233" s="75">
        <f t="shared" ca="1" si="95"/>
        <v>3886891.0000000005</v>
      </c>
      <c r="J233" s="75">
        <f t="shared" ca="1" si="95"/>
        <v>4220008</v>
      </c>
      <c r="K233" s="75">
        <f t="shared" ca="1" si="95"/>
        <v>4593740.9773979662</v>
      </c>
      <c r="L233" s="75">
        <f t="shared" ca="1" si="95"/>
        <v>5013708.1816123109</v>
      </c>
    </row>
    <row r="234" spans="1:12" x14ac:dyDescent="0.35">
      <c r="B234" s="66" t="s">
        <v>259</v>
      </c>
      <c r="C234" s="66">
        <f t="shared" ref="C234:L234" si="96">C19</f>
        <v>1982376</v>
      </c>
      <c r="D234" s="66">
        <f t="shared" si="96"/>
        <v>2135487</v>
      </c>
      <c r="E234" s="153">
        <f t="shared" si="96"/>
        <v>2205400</v>
      </c>
      <c r="F234" s="66">
        <f t="shared" ca="1" si="96"/>
        <v>2217372.0771428575</v>
      </c>
      <c r="G234" s="66">
        <f t="shared" ca="1" si="96"/>
        <v>2390256.8962857146</v>
      </c>
      <c r="H234" s="66">
        <f t="shared" ca="1" si="96"/>
        <v>2590608.2800000003</v>
      </c>
      <c r="I234" s="66">
        <f t="shared" ca="1" si="96"/>
        <v>2998756.1940000001</v>
      </c>
      <c r="J234" s="66">
        <f t="shared" ca="1" si="96"/>
        <v>3249387.4719999996</v>
      </c>
      <c r="K234" s="66">
        <f t="shared" ca="1" si="96"/>
        <v>3537160.2095469926</v>
      </c>
      <c r="L234" s="66">
        <f t="shared" ca="1" si="96"/>
        <v>3860533.0969976699</v>
      </c>
    </row>
    <row r="235" spans="1:12" x14ac:dyDescent="0.35">
      <c r="B235" s="66" t="s">
        <v>269</v>
      </c>
      <c r="C235" s="66">
        <f t="shared" ref="C235:L235" si="97">C22+C23</f>
        <v>146767</v>
      </c>
      <c r="D235" s="66">
        <f t="shared" si="97"/>
        <v>151993</v>
      </c>
      <c r="E235" s="153">
        <f t="shared" si="97"/>
        <v>186775</v>
      </c>
      <c r="F235" s="66">
        <f t="shared" ca="1" si="97"/>
        <v>187843.63714285716</v>
      </c>
      <c r="G235" s="66">
        <f t="shared" ca="1" si="97"/>
        <v>203487.53228571432</v>
      </c>
      <c r="H235" s="66">
        <f t="shared" ca="1" si="97"/>
        <v>222711.72000000003</v>
      </c>
      <c r="I235" s="66">
        <f t="shared" ca="1" si="97"/>
        <v>256534.80600000004</v>
      </c>
      <c r="J235" s="66">
        <f t="shared" ca="1" si="97"/>
        <v>278520.52799999999</v>
      </c>
      <c r="K235" s="66">
        <f t="shared" ca="1" si="97"/>
        <v>303186.90450826578</v>
      </c>
      <c r="L235" s="66">
        <f t="shared" ca="1" si="97"/>
        <v>330904.73998641252</v>
      </c>
    </row>
    <row r="236" spans="1:12" x14ac:dyDescent="0.35">
      <c r="E236" s="153"/>
    </row>
    <row r="237" spans="1:12" x14ac:dyDescent="0.35">
      <c r="B237" s="66" t="s">
        <v>258</v>
      </c>
      <c r="C237" s="101">
        <f>C232-DATE(2013,12,31)</f>
        <v>364</v>
      </c>
      <c r="D237" s="101">
        <f t="shared" ref="D237:J237" si="98">D232-C232</f>
        <v>364</v>
      </c>
      <c r="E237" s="184">
        <f t="shared" si="98"/>
        <v>364</v>
      </c>
      <c r="F237" s="101">
        <f t="shared" si="98"/>
        <v>365</v>
      </c>
      <c r="G237" s="101">
        <f t="shared" si="98"/>
        <v>365</v>
      </c>
      <c r="H237" s="101">
        <f t="shared" si="98"/>
        <v>365</v>
      </c>
      <c r="I237" s="101">
        <f t="shared" si="98"/>
        <v>366</v>
      </c>
      <c r="J237" s="101">
        <f t="shared" si="98"/>
        <v>365</v>
      </c>
      <c r="K237" s="101">
        <f>K232-J232</f>
        <v>365</v>
      </c>
      <c r="L237" s="101">
        <f>L232-K232</f>
        <v>365</v>
      </c>
    </row>
    <row r="238" spans="1:12" x14ac:dyDescent="0.35">
      <c r="E238" s="153"/>
    </row>
    <row r="239" spans="1:12" x14ac:dyDescent="0.35">
      <c r="B239" s="179" t="s">
        <v>263</v>
      </c>
      <c r="E239" s="153"/>
    </row>
    <row r="240" spans="1:12" x14ac:dyDescent="0.35">
      <c r="B240" s="73" t="s">
        <v>39</v>
      </c>
      <c r="C240" s="86">
        <f>36584+70069</f>
        <v>106653</v>
      </c>
      <c r="D240" s="66">
        <f>D128+D129</f>
        <v>115786</v>
      </c>
      <c r="E240" s="153">
        <f>E128+E129</f>
        <v>112923</v>
      </c>
      <c r="F240" s="66">
        <f t="shared" ref="F240:L240" ca="1" si="99">F241/F237*F233</f>
        <v>116183.90176125246</v>
      </c>
      <c r="G240" s="66">
        <f t="shared" ca="1" si="99"/>
        <v>125859.86845401177</v>
      </c>
      <c r="H240" s="66">
        <f t="shared" ca="1" si="99"/>
        <v>137750.29589041098</v>
      </c>
      <c r="I240" s="66">
        <f t="shared" ca="1" si="99"/>
        <v>158236.8193989071</v>
      </c>
      <c r="J240" s="66">
        <f t="shared" ca="1" si="99"/>
        <v>172268.8197260274</v>
      </c>
      <c r="K240" s="66">
        <f t="shared" ca="1" si="99"/>
        <v>187525.3166115882</v>
      </c>
      <c r="L240" s="66">
        <f t="shared" ca="1" si="99"/>
        <v>204669.18330417378</v>
      </c>
    </row>
    <row r="241" spans="2:12" s="127" customFormat="1" x14ac:dyDescent="0.35">
      <c r="B241" s="181" t="s">
        <v>260</v>
      </c>
      <c r="C241" s="182"/>
      <c r="D241" s="127">
        <f>AVERAGE(C240:D240)/D233*D237</f>
        <v>15.097031600772679</v>
      </c>
      <c r="E241" s="185">
        <f>AVERAGE(D240:E240)/E233*E237</f>
        <v>14.890734483689966</v>
      </c>
      <c r="F241" s="182">
        <v>14.9</v>
      </c>
      <c r="G241" s="127">
        <f t="shared" ref="G241:L241" si="100">F241</f>
        <v>14.9</v>
      </c>
      <c r="H241" s="127">
        <f t="shared" si="100"/>
        <v>14.9</v>
      </c>
      <c r="I241" s="127">
        <f t="shared" si="100"/>
        <v>14.9</v>
      </c>
      <c r="J241" s="127">
        <f t="shared" si="100"/>
        <v>14.9</v>
      </c>
      <c r="K241" s="127">
        <f t="shared" si="100"/>
        <v>14.9</v>
      </c>
      <c r="L241" s="127">
        <f t="shared" si="100"/>
        <v>14.9</v>
      </c>
    </row>
    <row r="242" spans="2:12" x14ac:dyDescent="0.35">
      <c r="B242" s="73" t="s">
        <v>40</v>
      </c>
      <c r="C242" s="86">
        <v>22811</v>
      </c>
      <c r="D242" s="66">
        <f>D130</f>
        <v>22482</v>
      </c>
      <c r="E242" s="153">
        <f>E130</f>
        <v>23775</v>
      </c>
      <c r="F242" s="66">
        <f t="shared" ref="F242:L242" ca="1" si="101">F243/F237*F234</f>
        <v>23084.969570254405</v>
      </c>
      <c r="G242" s="66">
        <f t="shared" ca="1" si="101"/>
        <v>24884.866317495111</v>
      </c>
      <c r="H242" s="66">
        <f t="shared" ca="1" si="101"/>
        <v>26970.71633972603</v>
      </c>
      <c r="I242" s="66">
        <f t="shared" ca="1" si="101"/>
        <v>31134.62715081967</v>
      </c>
      <c r="J242" s="66">
        <f t="shared" ca="1" si="101"/>
        <v>33829.239434520547</v>
      </c>
      <c r="K242" s="66">
        <f t="shared" ca="1" si="101"/>
        <v>36825.229578845399</v>
      </c>
      <c r="L242" s="66">
        <f t="shared" ca="1" si="101"/>
        <v>40191.851420797662</v>
      </c>
    </row>
    <row r="243" spans="2:12" s="127" customFormat="1" x14ac:dyDescent="0.35">
      <c r="B243" s="181" t="s">
        <v>270</v>
      </c>
      <c r="C243" s="182"/>
      <c r="D243" s="127">
        <f>AVERAGE(C242:D242)/D234*D237</f>
        <v>3.8601621082216839</v>
      </c>
      <c r="E243" s="185">
        <f>AVERAGE(D242:E242)/E234*E237</f>
        <v>3.8173456062392308</v>
      </c>
      <c r="F243" s="182">
        <v>3.8</v>
      </c>
      <c r="G243" s="127">
        <f t="shared" ref="G243:L243" si="102">F243</f>
        <v>3.8</v>
      </c>
      <c r="H243" s="127">
        <f t="shared" si="102"/>
        <v>3.8</v>
      </c>
      <c r="I243" s="127">
        <f t="shared" si="102"/>
        <v>3.8</v>
      </c>
      <c r="J243" s="127">
        <f t="shared" si="102"/>
        <v>3.8</v>
      </c>
      <c r="K243" s="127">
        <f t="shared" si="102"/>
        <v>3.8</v>
      </c>
      <c r="L243" s="127">
        <f t="shared" si="102"/>
        <v>3.8</v>
      </c>
    </row>
    <row r="244" spans="2:12" x14ac:dyDescent="0.35">
      <c r="B244" s="73" t="s">
        <v>41</v>
      </c>
      <c r="C244" s="86">
        <v>51588</v>
      </c>
      <c r="D244" s="66">
        <f>D131</f>
        <v>59457</v>
      </c>
      <c r="E244" s="153">
        <f>E131</f>
        <v>69194</v>
      </c>
      <c r="F244" s="66">
        <f t="shared" ref="F244:L244" ca="1" si="103">F245*F235</f>
        <v>63866.836628571436</v>
      </c>
      <c r="G244" s="66">
        <f t="shared" ca="1" si="103"/>
        <v>69185.760977142869</v>
      </c>
      <c r="H244" s="66">
        <f t="shared" ca="1" si="103"/>
        <v>75721.98480000002</v>
      </c>
      <c r="I244" s="66">
        <f t="shared" ca="1" si="103"/>
        <v>87221.834040000016</v>
      </c>
      <c r="J244" s="66">
        <f t="shared" ca="1" si="103"/>
        <v>94696.979520000008</v>
      </c>
      <c r="K244" s="66">
        <f t="shared" ca="1" si="103"/>
        <v>103083.54753281038</v>
      </c>
      <c r="L244" s="66">
        <f t="shared" ca="1" si="103"/>
        <v>112507.61159538027</v>
      </c>
    </row>
    <row r="245" spans="2:12" s="127" customFormat="1" x14ac:dyDescent="0.35">
      <c r="B245" s="181" t="s">
        <v>261</v>
      </c>
      <c r="C245" s="182"/>
      <c r="D245" s="129">
        <f>AVERAGE(C244:D244)/D235</f>
        <v>0.36529642812497942</v>
      </c>
      <c r="E245" s="176">
        <f>AVERAGE(D244:E244)/E235</f>
        <v>0.34440101726676481</v>
      </c>
      <c r="F245" s="129">
        <v>0.34</v>
      </c>
      <c r="G245" s="129">
        <f t="shared" ref="G245:L245" si="104">F245</f>
        <v>0.34</v>
      </c>
      <c r="H245" s="129">
        <f t="shared" si="104"/>
        <v>0.34</v>
      </c>
      <c r="I245" s="129">
        <f t="shared" si="104"/>
        <v>0.34</v>
      </c>
      <c r="J245" s="129">
        <f t="shared" si="104"/>
        <v>0.34</v>
      </c>
      <c r="K245" s="129">
        <f t="shared" si="104"/>
        <v>0.34</v>
      </c>
      <c r="L245" s="129">
        <f t="shared" si="104"/>
        <v>0.34</v>
      </c>
    </row>
    <row r="246" spans="2:12" s="70" customFormat="1" x14ac:dyDescent="0.35">
      <c r="B246" s="78" t="s">
        <v>264</v>
      </c>
      <c r="C246" s="180">
        <f t="shared" ref="C246:L246" si="105">C240+C242+C244</f>
        <v>181052</v>
      </c>
      <c r="D246" s="180">
        <f t="shared" si="105"/>
        <v>197725</v>
      </c>
      <c r="E246" s="186">
        <f t="shared" si="105"/>
        <v>205892</v>
      </c>
      <c r="F246" s="180">
        <f t="shared" ca="1" si="105"/>
        <v>203135.70796007832</v>
      </c>
      <c r="G246" s="180">
        <f t="shared" ca="1" si="105"/>
        <v>219930.49574864976</v>
      </c>
      <c r="H246" s="180">
        <f t="shared" ca="1" si="105"/>
        <v>240442.99703013705</v>
      </c>
      <c r="I246" s="180">
        <f t="shared" ca="1" si="105"/>
        <v>276593.28058972675</v>
      </c>
      <c r="J246" s="180">
        <f t="shared" ca="1" si="105"/>
        <v>300795.03868054796</v>
      </c>
      <c r="K246" s="180">
        <f t="shared" ca="1" si="105"/>
        <v>327434.09372324398</v>
      </c>
      <c r="L246" s="180">
        <f t="shared" ca="1" si="105"/>
        <v>357368.64632035175</v>
      </c>
    </row>
    <row r="247" spans="2:12" s="70" customFormat="1" x14ac:dyDescent="0.35">
      <c r="B247" s="179" t="s">
        <v>265</v>
      </c>
      <c r="E247" s="157"/>
    </row>
    <row r="248" spans="2:12" x14ac:dyDescent="0.35">
      <c r="B248" s="73" t="s">
        <v>43</v>
      </c>
      <c r="C248" s="86">
        <v>19511</v>
      </c>
      <c r="D248" s="66">
        <f>D145</f>
        <v>19805</v>
      </c>
      <c r="E248" s="153">
        <f>E145</f>
        <v>22455</v>
      </c>
      <c r="F248" s="66">
        <f t="shared" ref="F248:L248" ca="1" si="106">F249/F237*F234</f>
        <v>21262.471972602743</v>
      </c>
      <c r="G248" s="66">
        <f t="shared" ca="1" si="106"/>
        <v>22920.271608219184</v>
      </c>
      <c r="H248" s="66">
        <f t="shared" ca="1" si="106"/>
        <v>24841.449260273977</v>
      </c>
      <c r="I248" s="66">
        <f t="shared" ca="1" si="106"/>
        <v>28676.630270491805</v>
      </c>
      <c r="J248" s="66">
        <f t="shared" ca="1" si="106"/>
        <v>31158.510005479449</v>
      </c>
      <c r="K248" s="66">
        <f t="shared" ca="1" si="106"/>
        <v>33917.974612094447</v>
      </c>
      <c r="L248" s="66">
        <f t="shared" ca="1" si="106"/>
        <v>37018.810519155741</v>
      </c>
    </row>
    <row r="249" spans="2:12" s="127" customFormat="1" x14ac:dyDescent="0.35">
      <c r="B249" s="181" t="s">
        <v>262</v>
      </c>
      <c r="C249" s="182"/>
      <c r="D249" s="127">
        <f>AVERAGE(C248:D248)/D234*D237</f>
        <v>3.3507635494854333</v>
      </c>
      <c r="E249" s="185">
        <f>AVERAGE(D248:E248)/E234*E237</f>
        <v>3.4874943320939513</v>
      </c>
      <c r="F249" s="182">
        <v>3.5</v>
      </c>
      <c r="G249" s="127">
        <f t="shared" ref="G249:L249" si="107">F249</f>
        <v>3.5</v>
      </c>
      <c r="H249" s="127">
        <f t="shared" si="107"/>
        <v>3.5</v>
      </c>
      <c r="I249" s="127">
        <f t="shared" si="107"/>
        <v>3.5</v>
      </c>
      <c r="J249" s="127">
        <f t="shared" si="107"/>
        <v>3.5</v>
      </c>
      <c r="K249" s="127">
        <f t="shared" si="107"/>
        <v>3.5</v>
      </c>
      <c r="L249" s="127">
        <f t="shared" si="107"/>
        <v>3.5</v>
      </c>
    </row>
    <row r="250" spans="2:12" x14ac:dyDescent="0.35">
      <c r="B250" s="73" t="s">
        <v>44</v>
      </c>
      <c r="C250" s="86">
        <v>333201</v>
      </c>
      <c r="D250" s="66">
        <f>D146</f>
        <v>359464</v>
      </c>
      <c r="E250" s="153">
        <f>E146</f>
        <v>408637</v>
      </c>
      <c r="F250" s="66">
        <f t="shared" ref="F250:L250" ca="1" si="108">F251*(F234+F235)</f>
        <v>384834.51428571431</v>
      </c>
      <c r="G250" s="66">
        <f t="shared" ca="1" si="108"/>
        <v>414999.10857142869</v>
      </c>
      <c r="H250" s="66">
        <f t="shared" ca="1" si="108"/>
        <v>450131.20000000007</v>
      </c>
      <c r="I250" s="66">
        <f t="shared" ca="1" si="108"/>
        <v>520846.56</v>
      </c>
      <c r="J250" s="66">
        <f t="shared" ca="1" si="108"/>
        <v>564465.27999999991</v>
      </c>
      <c r="K250" s="66">
        <f t="shared" ca="1" si="108"/>
        <v>614455.5382488413</v>
      </c>
      <c r="L250" s="66">
        <f t="shared" ca="1" si="108"/>
        <v>670630.05391745328</v>
      </c>
    </row>
    <row r="251" spans="2:12" s="127" customFormat="1" x14ac:dyDescent="0.35">
      <c r="B251" s="181" t="s">
        <v>271</v>
      </c>
      <c r="C251" s="182"/>
      <c r="D251" s="129">
        <f>AVERAGE(C250:D250)/(D234+D235)</f>
        <v>0.15140350953888121</v>
      </c>
      <c r="E251" s="168">
        <f>AVERAGE(D250:E250)/(E234+E235)</f>
        <v>0.1605444835766614</v>
      </c>
      <c r="F251" s="130">
        <v>0.16</v>
      </c>
      <c r="G251" s="129">
        <f t="shared" ref="G251:L251" si="109">F251</f>
        <v>0.16</v>
      </c>
      <c r="H251" s="129">
        <f t="shared" si="109"/>
        <v>0.16</v>
      </c>
      <c r="I251" s="129">
        <f t="shared" si="109"/>
        <v>0.16</v>
      </c>
      <c r="J251" s="129">
        <f t="shared" si="109"/>
        <v>0.16</v>
      </c>
      <c r="K251" s="129">
        <f t="shared" si="109"/>
        <v>0.16</v>
      </c>
      <c r="L251" s="129">
        <f t="shared" si="109"/>
        <v>0.16</v>
      </c>
    </row>
    <row r="252" spans="2:12" s="70" customFormat="1" x14ac:dyDescent="0.35">
      <c r="B252" s="78" t="s">
        <v>266</v>
      </c>
      <c r="C252" s="76">
        <f t="shared" ref="C252:L252" si="110">C248+C250</f>
        <v>352712</v>
      </c>
      <c r="D252" s="76">
        <f t="shared" si="110"/>
        <v>379269</v>
      </c>
      <c r="E252" s="156">
        <f t="shared" si="110"/>
        <v>431092</v>
      </c>
      <c r="F252" s="76">
        <f t="shared" ca="1" si="110"/>
        <v>406096.98625831708</v>
      </c>
      <c r="G252" s="76">
        <f t="shared" ca="1" si="110"/>
        <v>437919.38017964788</v>
      </c>
      <c r="H252" s="76">
        <f t="shared" ca="1" si="110"/>
        <v>474972.64926027402</v>
      </c>
      <c r="I252" s="76">
        <f t="shared" ca="1" si="110"/>
        <v>549523.19027049176</v>
      </c>
      <c r="J252" s="76">
        <f t="shared" ca="1" si="110"/>
        <v>595623.79000547936</v>
      </c>
      <c r="K252" s="76">
        <f t="shared" ca="1" si="110"/>
        <v>648373.51286093576</v>
      </c>
      <c r="L252" s="76">
        <f t="shared" ca="1" si="110"/>
        <v>707648.86443660897</v>
      </c>
    </row>
    <row r="253" spans="2:12" s="70" customFormat="1" x14ac:dyDescent="0.35">
      <c r="B253" s="78"/>
      <c r="E253" s="157"/>
    </row>
    <row r="254" spans="2:12" s="70" customFormat="1" x14ac:dyDescent="0.35">
      <c r="B254" s="179" t="s">
        <v>267</v>
      </c>
      <c r="C254" s="77">
        <f>C246-C252</f>
        <v>-171660</v>
      </c>
      <c r="D254" s="77">
        <f t="shared" ref="D254:J254" si="111">D246-D252</f>
        <v>-181544</v>
      </c>
      <c r="E254" s="169">
        <f t="shared" si="111"/>
        <v>-225200</v>
      </c>
      <c r="F254" s="77">
        <f t="shared" ca="1" si="111"/>
        <v>-202961.27829823876</v>
      </c>
      <c r="G254" s="77">
        <f t="shared" ca="1" si="111"/>
        <v>-217988.88443099812</v>
      </c>
      <c r="H254" s="77">
        <f t="shared" ca="1" si="111"/>
        <v>-234529.65223013697</v>
      </c>
      <c r="I254" s="77">
        <f t="shared" ca="1" si="111"/>
        <v>-272929.90968076501</v>
      </c>
      <c r="J254" s="77">
        <f t="shared" ca="1" si="111"/>
        <v>-294828.75132493139</v>
      </c>
      <c r="K254" s="77">
        <f ca="1">K246-K252</f>
        <v>-320939.41913769179</v>
      </c>
      <c r="L254" s="77">
        <f ca="1">L246-L252</f>
        <v>-350280.21811625722</v>
      </c>
    </row>
    <row r="255" spans="2:12" x14ac:dyDescent="0.35">
      <c r="B255" s="66" t="s">
        <v>268</v>
      </c>
      <c r="D255" s="66">
        <f>C254-D254</f>
        <v>9884</v>
      </c>
      <c r="E255" s="153">
        <f t="shared" ref="E255:J255" si="112">D254-E254</f>
        <v>43656</v>
      </c>
      <c r="F255" s="66">
        <f ca="1">E254-F254</f>
        <v>-22238.721701761242</v>
      </c>
      <c r="G255" s="66">
        <f t="shared" ca="1" si="112"/>
        <v>15027.606132759363</v>
      </c>
      <c r="H255" s="66">
        <f t="shared" ca="1" si="112"/>
        <v>16540.767799138848</v>
      </c>
      <c r="I255" s="66">
        <f t="shared" ca="1" si="112"/>
        <v>38400.257450628036</v>
      </c>
      <c r="J255" s="66">
        <f t="shared" ca="1" si="112"/>
        <v>21898.841644166387</v>
      </c>
      <c r="K255" s="66">
        <f ca="1">J254-K254</f>
        <v>26110.667812760395</v>
      </c>
      <c r="L255" s="66">
        <f ca="1">K254-L254</f>
        <v>29340.798978565435</v>
      </c>
    </row>
    <row r="256" spans="2:12" x14ac:dyDescent="0.35">
      <c r="E256" s="153"/>
    </row>
    <row r="257" spans="1:12" s="70" customFormat="1" x14ac:dyDescent="0.35">
      <c r="B257" s="70" t="s">
        <v>223</v>
      </c>
      <c r="C257" s="97"/>
      <c r="D257" s="97"/>
      <c r="E257" s="172"/>
      <c r="F257" s="89">
        <f t="shared" ref="F257:L257" ca="1" si="113">ROUND(F255-F78,2)</f>
        <v>0</v>
      </c>
      <c r="G257" s="89">
        <f t="shared" ca="1" si="113"/>
        <v>0</v>
      </c>
      <c r="H257" s="89">
        <f t="shared" ca="1" si="113"/>
        <v>0</v>
      </c>
      <c r="I257" s="89">
        <f t="shared" ca="1" si="113"/>
        <v>0</v>
      </c>
      <c r="J257" s="89">
        <f t="shared" ca="1" si="113"/>
        <v>0</v>
      </c>
      <c r="K257" s="89">
        <f t="shared" ca="1" si="113"/>
        <v>0</v>
      </c>
      <c r="L257" s="89">
        <f t="shared" ca="1" si="113"/>
        <v>0</v>
      </c>
    </row>
    <row r="258" spans="1:12" ht="5.15" customHeight="1" thickBot="1" x14ac:dyDescent="0.4">
      <c r="B258" s="125"/>
      <c r="C258" s="125"/>
      <c r="D258" s="125"/>
      <c r="E258" s="125"/>
      <c r="F258" s="125"/>
      <c r="G258" s="125"/>
      <c r="H258" s="125"/>
      <c r="I258" s="125"/>
      <c r="J258" s="125"/>
      <c r="K258" s="125"/>
      <c r="L258" s="125"/>
    </row>
    <row r="259" spans="1:12" ht="16" thickTop="1" x14ac:dyDescent="0.35">
      <c r="B259" s="66" t="s">
        <v>272</v>
      </c>
    </row>
    <row r="261" spans="1:12" x14ac:dyDescent="0.35">
      <c r="A261" s="66" t="s">
        <v>31</v>
      </c>
      <c r="B261" s="70" t="s">
        <v>273</v>
      </c>
      <c r="C261" s="70"/>
      <c r="D261" s="70"/>
      <c r="E261" s="70"/>
      <c r="F261" s="70"/>
      <c r="G261" s="70"/>
      <c r="H261" s="70"/>
      <c r="I261" s="70"/>
      <c r="L261" s="71" t="s">
        <v>110</v>
      </c>
    </row>
    <row r="262" spans="1:12" x14ac:dyDescent="0.35">
      <c r="B262" s="66" t="s">
        <v>237</v>
      </c>
      <c r="L262" s="72" t="s">
        <v>130</v>
      </c>
    </row>
    <row r="263" spans="1:12" x14ac:dyDescent="0.35">
      <c r="B263" s="67"/>
      <c r="C263" s="68" t="s">
        <v>109</v>
      </c>
      <c r="D263" s="68"/>
      <c r="E263" s="151"/>
      <c r="F263" s="68" t="s">
        <v>128</v>
      </c>
      <c r="G263" s="68"/>
      <c r="H263" s="68"/>
      <c r="I263" s="68"/>
      <c r="J263" s="68"/>
      <c r="K263" s="68"/>
      <c r="L263" s="68"/>
    </row>
    <row r="264" spans="1:12" x14ac:dyDescent="0.35">
      <c r="B264" s="69"/>
      <c r="C264" s="187">
        <v>42003</v>
      </c>
      <c r="D264" s="187">
        <v>42367</v>
      </c>
      <c r="E264" s="188">
        <v>42731</v>
      </c>
      <c r="F264" s="189">
        <f t="shared" ref="F264:L264" si="114">DATE(YEAR(E264)+1,MONTH(E264),DAY(E264))</f>
        <v>43096</v>
      </c>
      <c r="G264" s="189">
        <f t="shared" si="114"/>
        <v>43461</v>
      </c>
      <c r="H264" s="189">
        <f t="shared" si="114"/>
        <v>43826</v>
      </c>
      <c r="I264" s="189">
        <f t="shared" si="114"/>
        <v>44192</v>
      </c>
      <c r="J264" s="189">
        <f t="shared" si="114"/>
        <v>44557</v>
      </c>
      <c r="K264" s="189">
        <f t="shared" si="114"/>
        <v>44922</v>
      </c>
      <c r="L264" s="189">
        <f t="shared" si="114"/>
        <v>45287</v>
      </c>
    </row>
    <row r="265" spans="1:12" x14ac:dyDescent="0.35">
      <c r="B265" s="66" t="s">
        <v>274</v>
      </c>
      <c r="E265" s="171"/>
      <c r="F265" s="196">
        <v>1</v>
      </c>
      <c r="G265" s="101">
        <f t="shared" ref="G265:L265" si="115">F265+1</f>
        <v>2</v>
      </c>
      <c r="H265" s="101">
        <f t="shared" si="115"/>
        <v>3</v>
      </c>
      <c r="I265" s="101">
        <f t="shared" si="115"/>
        <v>4</v>
      </c>
      <c r="J265" s="101">
        <f t="shared" si="115"/>
        <v>5</v>
      </c>
      <c r="K265" s="101">
        <f t="shared" si="115"/>
        <v>6</v>
      </c>
      <c r="L265" s="101">
        <f t="shared" si="115"/>
        <v>7</v>
      </c>
    </row>
    <row r="266" spans="1:12" x14ac:dyDescent="0.35">
      <c r="E266" s="153"/>
    </row>
    <row r="267" spans="1:12" x14ac:dyDescent="0.35">
      <c r="B267" s="66" t="s">
        <v>275</v>
      </c>
      <c r="D267" s="66">
        <f>D135</f>
        <v>776248</v>
      </c>
      <c r="E267" s="153">
        <f>E135</f>
        <v>802759</v>
      </c>
    </row>
    <row r="268" spans="1:12" x14ac:dyDescent="0.35">
      <c r="B268" s="66" t="s">
        <v>276</v>
      </c>
      <c r="C268" s="66">
        <f>-C87</f>
        <v>224217</v>
      </c>
      <c r="D268" s="66">
        <f>-D87</f>
        <v>223932</v>
      </c>
      <c r="E268" s="153">
        <f>-E87</f>
        <v>200063</v>
      </c>
      <c r="F268" s="66">
        <f t="shared" ref="F268:L268" ca="1" si="116">F10*F269</f>
        <v>210893.75000000003</v>
      </c>
      <c r="G268" s="66">
        <f t="shared" ca="1" si="116"/>
        <v>199771.50000000003</v>
      </c>
      <c r="H268" s="66">
        <f t="shared" ca="1" si="116"/>
        <v>195884.00000000003</v>
      </c>
      <c r="I268" s="66">
        <f t="shared" ca="1" si="116"/>
        <v>196364</v>
      </c>
      <c r="J268" s="66">
        <f t="shared" ca="1" si="116"/>
        <v>192704</v>
      </c>
      <c r="K268" s="66">
        <f t="shared" ca="1" si="116"/>
        <v>215591.13045806772</v>
      </c>
      <c r="L268" s="66">
        <f t="shared" ca="1" si="116"/>
        <v>241653.8206770923</v>
      </c>
    </row>
    <row r="269" spans="1:12" s="127" customFormat="1" x14ac:dyDescent="0.35">
      <c r="B269" s="194" t="s">
        <v>280</v>
      </c>
      <c r="C269" s="129">
        <f>C268/C10</f>
        <v>8.8651527462295321E-2</v>
      </c>
      <c r="D269" s="129">
        <f>D268/D10</f>
        <v>8.3507484393529188E-2</v>
      </c>
      <c r="E269" s="176">
        <f>E268/E10</f>
        <v>7.1569544585411926E-2</v>
      </c>
      <c r="F269" s="501">
        <f ca="1">'LBO Model'!I420</f>
        <v>7.409879680627382E-2</v>
      </c>
      <c r="G269" s="501">
        <f ca="1">'LBO Model'!J420</f>
        <v>6.4794726496988628E-2</v>
      </c>
      <c r="H269" s="501">
        <f ca="1">'LBO Model'!K420</f>
        <v>5.804967964865073E-2</v>
      </c>
      <c r="I269" s="501">
        <f ca="1">'LBO Model'!L420</f>
        <v>5.0519554060044387E-2</v>
      </c>
      <c r="J269" s="501">
        <f ca="1">'LBO Model'!M420</f>
        <v>4.566436840878027E-2</v>
      </c>
      <c r="K269" s="501">
        <f ca="1">'LBO Model'!N420</f>
        <v>4.6931494727024216E-2</v>
      </c>
      <c r="L269" s="501">
        <f ca="1">'LBO Model'!O420</f>
        <v>4.8198621045268161E-2</v>
      </c>
    </row>
    <row r="270" spans="1:12" x14ac:dyDescent="0.35">
      <c r="E270" s="153"/>
    </row>
    <row r="271" spans="1:12" x14ac:dyDescent="0.35">
      <c r="B271" s="66" t="s">
        <v>279</v>
      </c>
      <c r="E271" s="155">
        <v>7</v>
      </c>
    </row>
    <row r="272" spans="1:12" x14ac:dyDescent="0.35">
      <c r="E272" s="153"/>
    </row>
    <row r="273" spans="1:14" s="70" customFormat="1" x14ac:dyDescent="0.35">
      <c r="B273" s="70" t="s">
        <v>281</v>
      </c>
      <c r="E273" s="157"/>
    </row>
    <row r="274" spans="1:14" x14ac:dyDescent="0.35">
      <c r="B274" s="73" t="s">
        <v>278</v>
      </c>
      <c r="E274" s="153"/>
      <c r="F274" s="66">
        <f t="shared" ref="F274:L274" si="117">IF($E$271&gt;(F$265-$F$265),$E$267/$E$271,0)</f>
        <v>114679.85714285714</v>
      </c>
      <c r="G274" s="66">
        <f t="shared" si="117"/>
        <v>114679.85714285714</v>
      </c>
      <c r="H274" s="66">
        <f t="shared" si="117"/>
        <v>114679.85714285714</v>
      </c>
      <c r="I274" s="66">
        <f t="shared" si="117"/>
        <v>114679.85714285714</v>
      </c>
      <c r="J274" s="66">
        <f t="shared" si="117"/>
        <v>114679.85714285714</v>
      </c>
      <c r="K274" s="66">
        <f t="shared" si="117"/>
        <v>114679.85714285714</v>
      </c>
      <c r="L274" s="66">
        <f t="shared" si="117"/>
        <v>114679.85714285714</v>
      </c>
    </row>
    <row r="275" spans="1:14" x14ac:dyDescent="0.35">
      <c r="B275" s="195">
        <f>DATE(YEAR(F264),MONTH(F264),DAY(F264))</f>
        <v>43096</v>
      </c>
      <c r="E275" s="153"/>
      <c r="F275" s="66">
        <f t="shared" ref="F275:L275" ca="1" si="118">IF($E$271&gt;(F$265-$F$265),$F$268/$E$271,0)</f>
        <v>30127.678571428576</v>
      </c>
      <c r="G275" s="66">
        <f t="shared" ca="1" si="118"/>
        <v>30127.678571428576</v>
      </c>
      <c r="H275" s="66">
        <f t="shared" ca="1" si="118"/>
        <v>30127.678571428576</v>
      </c>
      <c r="I275" s="66">
        <f t="shared" ca="1" si="118"/>
        <v>30127.678571428576</v>
      </c>
      <c r="J275" s="66">
        <f t="shared" ca="1" si="118"/>
        <v>30127.678571428576</v>
      </c>
      <c r="K275" s="66">
        <f t="shared" ca="1" si="118"/>
        <v>30127.678571428576</v>
      </c>
      <c r="L275" s="66">
        <f t="shared" ca="1" si="118"/>
        <v>30127.678571428576</v>
      </c>
    </row>
    <row r="276" spans="1:14" x14ac:dyDescent="0.35">
      <c r="B276" s="195">
        <f>DATE(YEAR(B275)+1,MONTH(B275),DAY(B275))</f>
        <v>43461</v>
      </c>
      <c r="E276" s="153"/>
      <c r="G276" s="66">
        <f t="shared" ref="G276:L276" ca="1" si="119">IF($E$271&gt;(G$265-$G$265),$G$268/$E$271,0)</f>
        <v>28538.785714285717</v>
      </c>
      <c r="H276" s="66">
        <f t="shared" ca="1" si="119"/>
        <v>28538.785714285717</v>
      </c>
      <c r="I276" s="66">
        <f t="shared" ca="1" si="119"/>
        <v>28538.785714285717</v>
      </c>
      <c r="J276" s="66">
        <f t="shared" ca="1" si="119"/>
        <v>28538.785714285717</v>
      </c>
      <c r="K276" s="66">
        <f t="shared" ca="1" si="119"/>
        <v>28538.785714285717</v>
      </c>
      <c r="L276" s="66">
        <f t="shared" ca="1" si="119"/>
        <v>28538.785714285717</v>
      </c>
    </row>
    <row r="277" spans="1:14" x14ac:dyDescent="0.35">
      <c r="B277" s="195">
        <f>DATE(YEAR(B276)+1,MONTH(B276),DAY(B276))</f>
        <v>43826</v>
      </c>
      <c r="E277" s="153"/>
      <c r="H277" s="66">
        <f ca="1">IF($E$271&gt;(H$265-$H$265),$H$268/$E$271,0)</f>
        <v>27983.428571428576</v>
      </c>
      <c r="I277" s="66">
        <f ca="1">IF($E$271&gt;(I$265-$H$265),$H$268/$E$271,0)</f>
        <v>27983.428571428576</v>
      </c>
      <c r="J277" s="66">
        <f ca="1">IF($E$271&gt;(J$265-$H$265),$H$268/$E$271,0)</f>
        <v>27983.428571428576</v>
      </c>
      <c r="K277" s="66">
        <f ca="1">IF($E$271&gt;(K$265-$H$265),$H$268/$E$271,0)</f>
        <v>27983.428571428576</v>
      </c>
      <c r="L277" s="66">
        <f ca="1">IF($E$271&gt;(L$265-$H$265),$H$268/$E$271,0)</f>
        <v>27983.428571428576</v>
      </c>
    </row>
    <row r="278" spans="1:14" x14ac:dyDescent="0.35">
      <c r="B278" s="195">
        <f>DATE(YEAR(B277)+1,MONTH(B277),DAY(B277))</f>
        <v>44192</v>
      </c>
      <c r="E278" s="153"/>
      <c r="I278" s="66">
        <f ca="1">IF($E$271&gt;(I$265-$I$265),$I$268/$E$271,0)</f>
        <v>28052</v>
      </c>
      <c r="J278" s="66">
        <f ca="1">IF($E$271&gt;(J$265-$I$265),$I$268/$E$271,0)</f>
        <v>28052</v>
      </c>
      <c r="K278" s="66">
        <f ca="1">IF($E$271&gt;(K$265-$I$265),$I$268/$E$271,0)</f>
        <v>28052</v>
      </c>
      <c r="L278" s="66">
        <f ca="1">IF($E$271&gt;(L$265-$I$265),$I$268/$E$271,0)</f>
        <v>28052</v>
      </c>
    </row>
    <row r="279" spans="1:14" x14ac:dyDescent="0.35">
      <c r="B279" s="195">
        <f>DATE(YEAR(B278)+1,MONTH(B278),DAY(B278))</f>
        <v>44557</v>
      </c>
      <c r="E279" s="153"/>
      <c r="J279" s="66">
        <f ca="1">IF($E$271&gt;(J$265-$J$265),$J$268/$E$271,0)</f>
        <v>27529.142857142859</v>
      </c>
      <c r="K279" s="66">
        <f ca="1">IF($E$271&gt;(K$265-$J$265),$J$268/$E$271,0)</f>
        <v>27529.142857142859</v>
      </c>
      <c r="L279" s="66">
        <f ca="1">IF($E$271&gt;(L$265-$J$265),$J$268/$E$271,0)</f>
        <v>27529.142857142859</v>
      </c>
      <c r="N279" s="97" t="s">
        <v>666</v>
      </c>
    </row>
    <row r="280" spans="1:14" s="70" customFormat="1" x14ac:dyDescent="0.35">
      <c r="B280" s="70" t="s">
        <v>277</v>
      </c>
      <c r="C280" s="76">
        <f>C66</f>
        <v>124109</v>
      </c>
      <c r="D280" s="76">
        <f>D66</f>
        <v>135398</v>
      </c>
      <c r="E280" s="156">
        <f>E66</f>
        <v>154355</v>
      </c>
      <c r="F280" s="76">
        <f ca="1">IF($N$280="PPE + CapEx",SUM(F274:F279),F10*'LBO Model'!I421)</f>
        <v>162384.28571428568</v>
      </c>
      <c r="G280" s="76">
        <f ca="1">IF($N$280="PPE + CapEx",SUM(G274:G279),G10*'LBO Model'!J421)</f>
        <v>167414.42857142861</v>
      </c>
      <c r="H280" s="76">
        <f ca="1">IF($N$280="PPE + CapEx",SUM(H274:H279),H10*'LBO Model'!K421)</f>
        <v>180277.99999999991</v>
      </c>
      <c r="I280" s="76">
        <f ca="1">IF($N$280="PPE + CapEx",SUM(I274:I279),I10*'LBO Model'!L421)</f>
        <v>206375.00000000003</v>
      </c>
      <c r="J280" s="76">
        <f ca="1">IF($N$280="PPE + CapEx",SUM(J274:J279),J10*'LBO Model'!M421)</f>
        <v>220453.00000000006</v>
      </c>
      <c r="K280" s="76">
        <f ca="1">IF($N$280="PPE + CapEx",SUM(K274:K279),K10*'LBO Model'!N421)</f>
        <v>239976.79143980629</v>
      </c>
      <c r="L280" s="76">
        <f ca="1">IF($N$280="PPE + CapEx",SUM(L274:L279),L10*'LBO Model'!O421)</f>
        <v>261915.85650097797</v>
      </c>
      <c r="N280" s="502" t="s">
        <v>667</v>
      </c>
    </row>
    <row r="281" spans="1:14" s="127" customFormat="1" x14ac:dyDescent="0.35">
      <c r="B281" s="194" t="s">
        <v>280</v>
      </c>
      <c r="C281" s="129">
        <f t="shared" ref="C281:L281" si="120">C280/C10</f>
        <v>4.90705540695755E-2</v>
      </c>
      <c r="D281" s="129">
        <f t="shared" si="120"/>
        <v>5.0491874193572449E-2</v>
      </c>
      <c r="E281" s="176">
        <f t="shared" si="120"/>
        <v>5.5218191542070534E-2</v>
      </c>
      <c r="F281" s="104">
        <f t="shared" ca="1" si="120"/>
        <v>5.7054702624780324E-2</v>
      </c>
      <c r="G281" s="104">
        <f t="shared" ca="1" si="120"/>
        <v>5.4299898188356961E-2</v>
      </c>
      <c r="H281" s="104">
        <f t="shared" ca="1" si="120"/>
        <v>5.3424884869103399E-2</v>
      </c>
      <c r="I281" s="104">
        <f t="shared" ca="1" si="120"/>
        <v>5.3095134388898478E-2</v>
      </c>
      <c r="J281" s="104">
        <f t="shared" ca="1" si="120"/>
        <v>5.2239948360287482E-2</v>
      </c>
      <c r="K281" s="104">
        <f t="shared" ca="1" si="120"/>
        <v>5.2239948360287482E-2</v>
      </c>
      <c r="L281" s="104">
        <f t="shared" ca="1" si="120"/>
        <v>5.2239948360287482E-2</v>
      </c>
    </row>
    <row r="282" spans="1:14" ht="5.15" customHeight="1" thickBot="1" x14ac:dyDescent="0.4">
      <c r="B282" s="125"/>
      <c r="C282" s="125"/>
      <c r="D282" s="125"/>
      <c r="E282" s="125"/>
      <c r="F282" s="125"/>
      <c r="G282" s="125"/>
      <c r="H282" s="125"/>
      <c r="I282" s="125"/>
      <c r="J282" s="125"/>
      <c r="K282" s="125"/>
      <c r="L282" s="125"/>
    </row>
    <row r="283" spans="1:14" ht="16" thickTop="1" x14ac:dyDescent="0.35"/>
    <row r="284" spans="1:14" x14ac:dyDescent="0.35">
      <c r="A284" s="66" t="s">
        <v>31</v>
      </c>
      <c r="B284" s="70" t="s">
        <v>282</v>
      </c>
      <c r="C284" s="70"/>
      <c r="D284" s="70"/>
      <c r="E284" s="70"/>
      <c r="F284" s="70"/>
      <c r="G284" s="70"/>
      <c r="H284" s="70"/>
      <c r="I284" s="70"/>
      <c r="L284" s="71" t="s">
        <v>110</v>
      </c>
    </row>
    <row r="285" spans="1:14" x14ac:dyDescent="0.35">
      <c r="B285" s="66" t="s">
        <v>237</v>
      </c>
      <c r="L285" s="72" t="s">
        <v>130</v>
      </c>
    </row>
    <row r="286" spans="1:14" x14ac:dyDescent="0.35">
      <c r="B286" s="67"/>
      <c r="C286" s="68" t="s">
        <v>109</v>
      </c>
      <c r="D286" s="68"/>
      <c r="E286" s="151"/>
      <c r="F286" s="68" t="s">
        <v>128</v>
      </c>
      <c r="G286" s="68"/>
      <c r="H286" s="68"/>
      <c r="I286" s="68"/>
      <c r="J286" s="68"/>
      <c r="K286" s="68"/>
      <c r="L286" s="68"/>
    </row>
    <row r="287" spans="1:14" x14ac:dyDescent="0.35">
      <c r="B287" s="69"/>
      <c r="C287" s="187">
        <v>42003</v>
      </c>
      <c r="D287" s="187">
        <v>42367</v>
      </c>
      <c r="E287" s="188">
        <v>42731</v>
      </c>
      <c r="F287" s="189">
        <f t="shared" ref="F287:L287" si="121">DATE(YEAR(E287)+1,MONTH(E287),DAY(E287))</f>
        <v>43096</v>
      </c>
      <c r="G287" s="189">
        <f t="shared" si="121"/>
        <v>43461</v>
      </c>
      <c r="H287" s="189">
        <f t="shared" si="121"/>
        <v>43826</v>
      </c>
      <c r="I287" s="189">
        <f t="shared" si="121"/>
        <v>44192</v>
      </c>
      <c r="J287" s="189">
        <f t="shared" si="121"/>
        <v>44557</v>
      </c>
      <c r="K287" s="189">
        <f t="shared" si="121"/>
        <v>44922</v>
      </c>
      <c r="L287" s="189">
        <f t="shared" si="121"/>
        <v>45287</v>
      </c>
    </row>
    <row r="288" spans="1:14" x14ac:dyDescent="0.35">
      <c r="B288" s="66" t="s">
        <v>295</v>
      </c>
      <c r="E288" s="171"/>
      <c r="F288" s="75">
        <f>E315</f>
        <v>21341.550000000003</v>
      </c>
      <c r="G288" s="75">
        <f t="shared" ref="G288:L288" ca="1" si="122">F127</f>
        <v>21341.550000000003</v>
      </c>
      <c r="H288" s="75">
        <f t="shared" ca="1" si="122"/>
        <v>21341.550000000003</v>
      </c>
      <c r="I288" s="75">
        <f t="shared" ca="1" si="122"/>
        <v>21341.550000000003</v>
      </c>
      <c r="J288" s="75">
        <f t="shared" ca="1" si="122"/>
        <v>21341.550000000003</v>
      </c>
      <c r="K288" s="75">
        <f t="shared" ca="1" si="122"/>
        <v>21341.550000000003</v>
      </c>
      <c r="L288" s="75">
        <f t="shared" ca="1" si="122"/>
        <v>21341.550000000003</v>
      </c>
    </row>
    <row r="289" spans="2:14" x14ac:dyDescent="0.35">
      <c r="B289" s="66" t="s">
        <v>283</v>
      </c>
      <c r="E289" s="153"/>
      <c r="F289" s="66">
        <f t="shared" ref="F289:L289" ca="1" si="123">F116</f>
        <v>30224.399514300952</v>
      </c>
      <c r="G289" s="66">
        <f t="shared" ca="1" si="123"/>
        <v>146747.29543005736</v>
      </c>
      <c r="H289" s="66">
        <f t="shared" ca="1" si="123"/>
        <v>197407.04067657536</v>
      </c>
      <c r="I289" s="66">
        <f t="shared" ca="1" si="123"/>
        <v>275179.18339706946</v>
      </c>
      <c r="J289" s="66">
        <f t="shared" ca="1" si="123"/>
        <v>315510.43501598807</v>
      </c>
      <c r="K289" s="66">
        <f t="shared" ca="1" si="123"/>
        <v>356418.47492226993</v>
      </c>
      <c r="L289" s="66">
        <f t="shared" ca="1" si="123"/>
        <v>401553.78346656042</v>
      </c>
    </row>
    <row r="290" spans="2:14" x14ac:dyDescent="0.35">
      <c r="B290" s="66" t="s">
        <v>284</v>
      </c>
      <c r="E290" s="153"/>
      <c r="F290" s="134">
        <f>'Transaction Summary'!I6</f>
        <v>21341.55</v>
      </c>
      <c r="G290" s="66">
        <f t="shared" ref="G290:L290" si="124">F290</f>
        <v>21341.55</v>
      </c>
      <c r="H290" s="66">
        <f t="shared" si="124"/>
        <v>21341.55</v>
      </c>
      <c r="I290" s="66">
        <f t="shared" si="124"/>
        <v>21341.55</v>
      </c>
      <c r="J290" s="66">
        <f t="shared" si="124"/>
        <v>21341.55</v>
      </c>
      <c r="K290" s="66">
        <f t="shared" si="124"/>
        <v>21341.55</v>
      </c>
      <c r="L290" s="66">
        <f t="shared" si="124"/>
        <v>21341.55</v>
      </c>
    </row>
    <row r="291" spans="2:14" s="70" customFormat="1" x14ac:dyDescent="0.35">
      <c r="B291" s="70" t="s">
        <v>744</v>
      </c>
      <c r="E291" s="157"/>
      <c r="F291" s="76">
        <f t="shared" ref="F291:L291" ca="1" si="125">F288+F289-F290</f>
        <v>30224.399514300956</v>
      </c>
      <c r="G291" s="76">
        <f t="shared" ca="1" si="125"/>
        <v>146747.29543005739</v>
      </c>
      <c r="H291" s="76">
        <f t="shared" ca="1" si="125"/>
        <v>197407.04067657539</v>
      </c>
      <c r="I291" s="76">
        <f t="shared" ca="1" si="125"/>
        <v>275179.18339706946</v>
      </c>
      <c r="J291" s="76">
        <f t="shared" ca="1" si="125"/>
        <v>315510.43501598807</v>
      </c>
      <c r="K291" s="76">
        <f t="shared" ca="1" si="125"/>
        <v>356418.47492226993</v>
      </c>
      <c r="L291" s="76">
        <f t="shared" ca="1" si="125"/>
        <v>401553.78346656042</v>
      </c>
    </row>
    <row r="292" spans="2:14" x14ac:dyDescent="0.35">
      <c r="E292" s="153"/>
    </row>
    <row r="293" spans="2:14" s="70" customFormat="1" x14ac:dyDescent="0.35">
      <c r="B293" s="70" t="s">
        <v>195</v>
      </c>
      <c r="E293" s="157"/>
    </row>
    <row r="294" spans="2:14" x14ac:dyDescent="0.35">
      <c r="B294" s="73" t="s">
        <v>285</v>
      </c>
      <c r="E294" s="153"/>
      <c r="F294" s="66">
        <f t="shared" ref="F294:L294" ca="1" si="126">E296</f>
        <v>750000.33463008085</v>
      </c>
      <c r="G294" s="66">
        <f t="shared" ca="1" si="126"/>
        <v>719775.93511577987</v>
      </c>
      <c r="H294" s="66">
        <f t="shared" ca="1" si="126"/>
        <v>573028.63968572253</v>
      </c>
      <c r="I294" s="66">
        <f t="shared" ca="1" si="126"/>
        <v>375621.59900914715</v>
      </c>
      <c r="J294" s="66">
        <f t="shared" ca="1" si="126"/>
        <v>100442.41561207769</v>
      </c>
      <c r="K294" s="66">
        <f t="shared" ca="1" si="126"/>
        <v>0</v>
      </c>
      <c r="L294" s="66">
        <f t="shared" ca="1" si="126"/>
        <v>0</v>
      </c>
      <c r="N294" s="97" t="s">
        <v>288</v>
      </c>
    </row>
    <row r="295" spans="2:14" x14ac:dyDescent="0.35">
      <c r="B295" s="73" t="s">
        <v>298</v>
      </c>
      <c r="E295" s="153"/>
      <c r="F295" s="66">
        <f ca="1">-MIN(F291,F294*$N$295)</f>
        <v>-30224.399514300956</v>
      </c>
      <c r="G295" s="66">
        <f t="shared" ref="G295:L295" ca="1" si="127">-MIN(G291,G294*$N$295)</f>
        <v>-146747.29543005739</v>
      </c>
      <c r="H295" s="66">
        <f t="shared" ca="1" si="127"/>
        <v>-197407.04067657539</v>
      </c>
      <c r="I295" s="66">
        <f t="shared" ca="1" si="127"/>
        <v>-275179.18339706946</v>
      </c>
      <c r="J295" s="66">
        <f t="shared" ca="1" si="127"/>
        <v>-100442.41561207769</v>
      </c>
      <c r="K295" s="66">
        <f t="shared" ca="1" si="127"/>
        <v>0</v>
      </c>
      <c r="L295" s="66">
        <f t="shared" ca="1" si="127"/>
        <v>0</v>
      </c>
      <c r="N295" s="200">
        <v>1</v>
      </c>
    </row>
    <row r="296" spans="2:14" s="70" customFormat="1" x14ac:dyDescent="0.35">
      <c r="B296" s="78" t="s">
        <v>286</v>
      </c>
      <c r="E296" s="156">
        <f ca="1">E151</f>
        <v>750000.33463008085</v>
      </c>
      <c r="F296" s="76">
        <f t="shared" ref="F296:L296" ca="1" si="128">SUM(F294:F295)</f>
        <v>719775.93511577987</v>
      </c>
      <c r="G296" s="76">
        <f t="shared" ca="1" si="128"/>
        <v>573028.63968572253</v>
      </c>
      <c r="H296" s="76">
        <f t="shared" ca="1" si="128"/>
        <v>375621.59900914715</v>
      </c>
      <c r="I296" s="76">
        <f t="shared" ca="1" si="128"/>
        <v>100442.41561207769</v>
      </c>
      <c r="J296" s="76">
        <f t="shared" ca="1" si="128"/>
        <v>0</v>
      </c>
      <c r="K296" s="76">
        <f t="shared" ca="1" si="128"/>
        <v>0</v>
      </c>
      <c r="L296" s="76">
        <f t="shared" ca="1" si="128"/>
        <v>0</v>
      </c>
    </row>
    <row r="297" spans="2:14" x14ac:dyDescent="0.35">
      <c r="B297" s="79" t="s">
        <v>18</v>
      </c>
      <c r="E297" s="153"/>
      <c r="F297" s="66">
        <f t="shared" ref="F297:L297" ca="1" si="129">AVERAGE(E296:F296)*F298</f>
        <v>27190.860990298421</v>
      </c>
      <c r="G297" s="66">
        <f t="shared" ca="1" si="129"/>
        <v>23916.884633827791</v>
      </c>
      <c r="H297" s="66">
        <f t="shared" ca="1" si="129"/>
        <v>17550.02941585509</v>
      </c>
      <c r="I297" s="66">
        <f t="shared" ca="1" si="129"/>
        <v>8807.1842704926585</v>
      </c>
      <c r="J297" s="66">
        <f t="shared" ca="1" si="129"/>
        <v>1858.1846888234372</v>
      </c>
      <c r="K297" s="66">
        <f t="shared" ca="1" si="129"/>
        <v>0</v>
      </c>
      <c r="L297" s="66">
        <f t="shared" ca="1" si="129"/>
        <v>0</v>
      </c>
    </row>
    <row r="298" spans="2:14" s="127" customFormat="1" x14ac:dyDescent="0.35">
      <c r="B298" s="181" t="s">
        <v>287</v>
      </c>
      <c r="E298" s="185"/>
      <c r="F298" s="199">
        <f>'Transaction Summary'!E12</f>
        <v>3.6999999999999998E-2</v>
      </c>
      <c r="G298" s="104">
        <f t="shared" ref="G298:L298" si="130">F298</f>
        <v>3.6999999999999998E-2</v>
      </c>
      <c r="H298" s="104">
        <f t="shared" si="130"/>
        <v>3.6999999999999998E-2</v>
      </c>
      <c r="I298" s="104">
        <f t="shared" si="130"/>
        <v>3.6999999999999998E-2</v>
      </c>
      <c r="J298" s="104">
        <f t="shared" si="130"/>
        <v>3.6999999999999998E-2</v>
      </c>
      <c r="K298" s="104">
        <f t="shared" si="130"/>
        <v>3.6999999999999998E-2</v>
      </c>
      <c r="L298" s="104">
        <f t="shared" si="130"/>
        <v>3.6999999999999998E-2</v>
      </c>
    </row>
    <row r="299" spans="2:14" x14ac:dyDescent="0.35">
      <c r="E299" s="153"/>
    </row>
    <row r="300" spans="2:14" s="70" customFormat="1" x14ac:dyDescent="0.35">
      <c r="B300" s="70" t="s">
        <v>196</v>
      </c>
      <c r="E300" s="157"/>
    </row>
    <row r="301" spans="2:14" x14ac:dyDescent="0.35">
      <c r="B301" s="73" t="s">
        <v>289</v>
      </c>
      <c r="E301" s="153"/>
      <c r="F301" s="66">
        <f t="shared" ref="F301:L301" ca="1" si="131">E303</f>
        <v>2250000.9025775655</v>
      </c>
      <c r="G301" s="66">
        <f t="shared" ca="1" si="131"/>
        <v>2250000.9025775655</v>
      </c>
      <c r="H301" s="66">
        <f t="shared" ca="1" si="131"/>
        <v>2250000.9025775655</v>
      </c>
      <c r="I301" s="66">
        <f t="shared" ca="1" si="131"/>
        <v>2250000.9025775655</v>
      </c>
      <c r="J301" s="66">
        <f t="shared" ca="1" si="131"/>
        <v>2250000.9025775655</v>
      </c>
      <c r="K301" s="66">
        <f t="shared" ca="1" si="131"/>
        <v>2034932.8831736553</v>
      </c>
      <c r="L301" s="66">
        <f t="shared" ca="1" si="131"/>
        <v>1678514.4082513852</v>
      </c>
      <c r="N301" s="97" t="s">
        <v>288</v>
      </c>
    </row>
    <row r="302" spans="2:14" x14ac:dyDescent="0.35">
      <c r="B302" s="73" t="s">
        <v>298</v>
      </c>
      <c r="E302" s="153"/>
      <c r="F302" s="66">
        <f ca="1">-MIN(F291+F295,F301*$N$302)</f>
        <v>0</v>
      </c>
      <c r="G302" s="66">
        <f t="shared" ref="G302:L302" ca="1" si="132">-MIN(G291+G295,G301*$N$302)</f>
        <v>0</v>
      </c>
      <c r="H302" s="66">
        <f t="shared" ca="1" si="132"/>
        <v>0</v>
      </c>
      <c r="I302" s="66">
        <f t="shared" ca="1" si="132"/>
        <v>0</v>
      </c>
      <c r="J302" s="66">
        <f t="shared" ca="1" si="132"/>
        <v>-215068.01940391038</v>
      </c>
      <c r="K302" s="66">
        <f t="shared" ca="1" si="132"/>
        <v>-356418.47492226993</v>
      </c>
      <c r="L302" s="66">
        <f t="shared" ca="1" si="132"/>
        <v>-401553.78346656042</v>
      </c>
      <c r="N302" s="200">
        <v>1</v>
      </c>
    </row>
    <row r="303" spans="2:14" s="70" customFormat="1" x14ac:dyDescent="0.35">
      <c r="B303" s="78" t="s">
        <v>290</v>
      </c>
      <c r="E303" s="156">
        <f ca="1">E152</f>
        <v>2250000.9025775655</v>
      </c>
      <c r="F303" s="76">
        <f t="shared" ref="F303:L303" ca="1" si="133">SUM(F301:F302)</f>
        <v>2250000.9025775655</v>
      </c>
      <c r="G303" s="76">
        <f t="shared" ca="1" si="133"/>
        <v>2250000.9025775655</v>
      </c>
      <c r="H303" s="76">
        <f t="shared" ca="1" si="133"/>
        <v>2250000.9025775655</v>
      </c>
      <c r="I303" s="76">
        <f t="shared" ca="1" si="133"/>
        <v>2250000.9025775655</v>
      </c>
      <c r="J303" s="76">
        <f t="shared" ca="1" si="133"/>
        <v>2034932.8831736553</v>
      </c>
      <c r="K303" s="76">
        <f t="shared" ca="1" si="133"/>
        <v>1678514.4082513852</v>
      </c>
      <c r="L303" s="76">
        <f t="shared" ca="1" si="133"/>
        <v>1276960.6247848249</v>
      </c>
    </row>
    <row r="304" spans="2:14" x14ac:dyDescent="0.35">
      <c r="B304" s="79" t="s">
        <v>18</v>
      </c>
      <c r="E304" s="167"/>
      <c r="F304" s="66">
        <f t="shared" ref="F304:L304" ca="1" si="134">AVERAGE(E303:F303)*F305</f>
        <v>141750.05686238664</v>
      </c>
      <c r="G304" s="66">
        <f t="shared" ca="1" si="134"/>
        <v>141750.05686238664</v>
      </c>
      <c r="H304" s="66">
        <f t="shared" ca="1" si="134"/>
        <v>141750.05686238664</v>
      </c>
      <c r="I304" s="66">
        <f t="shared" ca="1" si="134"/>
        <v>141750.05686238664</v>
      </c>
      <c r="J304" s="66">
        <f t="shared" ca="1" si="134"/>
        <v>134975.41425116346</v>
      </c>
      <c r="K304" s="66">
        <f t="shared" ca="1" si="134"/>
        <v>116973.58967988877</v>
      </c>
      <c r="L304" s="66">
        <f t="shared" ca="1" si="134"/>
        <v>93097.463540640616</v>
      </c>
    </row>
    <row r="305" spans="2:14" s="127" customFormat="1" x14ac:dyDescent="0.35">
      <c r="B305" s="181" t="s">
        <v>287</v>
      </c>
      <c r="E305" s="208"/>
      <c r="F305" s="199">
        <f>'Transaction Summary'!E13</f>
        <v>6.3E-2</v>
      </c>
      <c r="G305" s="175">
        <f t="shared" ref="G305:L305" si="135">F305</f>
        <v>6.3E-2</v>
      </c>
      <c r="H305" s="175">
        <f t="shared" si="135"/>
        <v>6.3E-2</v>
      </c>
      <c r="I305" s="175">
        <f t="shared" si="135"/>
        <v>6.3E-2</v>
      </c>
      <c r="J305" s="175">
        <f t="shared" si="135"/>
        <v>6.3E-2</v>
      </c>
      <c r="K305" s="175">
        <f t="shared" si="135"/>
        <v>6.3E-2</v>
      </c>
      <c r="L305" s="175">
        <f t="shared" si="135"/>
        <v>6.3E-2</v>
      </c>
    </row>
    <row r="306" spans="2:14" x14ac:dyDescent="0.35">
      <c r="E306" s="153"/>
    </row>
    <row r="307" spans="2:14" s="70" customFormat="1" x14ac:dyDescent="0.35">
      <c r="B307" s="70" t="s">
        <v>197</v>
      </c>
      <c r="E307" s="157"/>
    </row>
    <row r="308" spans="2:14" x14ac:dyDescent="0.35">
      <c r="B308" s="73" t="s">
        <v>292</v>
      </c>
      <c r="E308" s="153"/>
      <c r="F308" s="66">
        <f t="shared" ref="F308:L308" ca="1" si="136">E310</f>
        <v>0</v>
      </c>
      <c r="G308" s="66">
        <f t="shared" ca="1" si="136"/>
        <v>0</v>
      </c>
      <c r="H308" s="66">
        <f t="shared" ca="1" si="136"/>
        <v>0</v>
      </c>
      <c r="I308" s="66">
        <f t="shared" ca="1" si="136"/>
        <v>0</v>
      </c>
      <c r="J308" s="66">
        <f t="shared" ca="1" si="136"/>
        <v>0</v>
      </c>
      <c r="K308" s="66">
        <f t="shared" ca="1" si="136"/>
        <v>0</v>
      </c>
      <c r="L308" s="66">
        <f t="shared" ca="1" si="136"/>
        <v>0</v>
      </c>
      <c r="N308" s="97" t="s">
        <v>288</v>
      </c>
    </row>
    <row r="309" spans="2:14" x14ac:dyDescent="0.35">
      <c r="B309" s="73" t="s">
        <v>298</v>
      </c>
      <c r="E309" s="153"/>
      <c r="F309" s="66">
        <f ca="1">-MIN(F291+F295+F302,F308*$N$309)</f>
        <v>0</v>
      </c>
      <c r="G309" s="66">
        <f t="shared" ref="G309:L309" ca="1" si="137">-MIN(G291+G295+G302,G308*$N$309)</f>
        <v>0</v>
      </c>
      <c r="H309" s="66">
        <f t="shared" ca="1" si="137"/>
        <v>0</v>
      </c>
      <c r="I309" s="66">
        <f t="shared" ca="1" si="137"/>
        <v>0</v>
      </c>
      <c r="J309" s="66">
        <f t="shared" ca="1" si="137"/>
        <v>0</v>
      </c>
      <c r="K309" s="66">
        <f t="shared" ca="1" si="137"/>
        <v>0</v>
      </c>
      <c r="L309" s="66">
        <f t="shared" ca="1" si="137"/>
        <v>0</v>
      </c>
      <c r="N309" s="200">
        <v>1</v>
      </c>
    </row>
    <row r="310" spans="2:14" s="70" customFormat="1" x14ac:dyDescent="0.35">
      <c r="B310" s="78" t="s">
        <v>291</v>
      </c>
      <c r="E310" s="156">
        <f ca="1">E153</f>
        <v>0</v>
      </c>
      <c r="F310" s="76">
        <f t="shared" ref="F310:L310" ca="1" si="138">SUM(F308:F309)</f>
        <v>0</v>
      </c>
      <c r="G310" s="76">
        <f t="shared" ca="1" si="138"/>
        <v>0</v>
      </c>
      <c r="H310" s="76">
        <f t="shared" ca="1" si="138"/>
        <v>0</v>
      </c>
      <c r="I310" s="76">
        <f t="shared" ca="1" si="138"/>
        <v>0</v>
      </c>
      <c r="J310" s="76">
        <f t="shared" ca="1" si="138"/>
        <v>0</v>
      </c>
      <c r="K310" s="76">
        <f t="shared" ca="1" si="138"/>
        <v>0</v>
      </c>
      <c r="L310" s="76">
        <f t="shared" ca="1" si="138"/>
        <v>0</v>
      </c>
    </row>
    <row r="311" spans="2:14" x14ac:dyDescent="0.35">
      <c r="B311" s="79" t="s">
        <v>18</v>
      </c>
      <c r="E311" s="153"/>
      <c r="F311" s="66">
        <f t="shared" ref="F311:L311" ca="1" si="139">AVERAGE(E310:F310)*F312</f>
        <v>0</v>
      </c>
      <c r="G311" s="66">
        <f t="shared" ca="1" si="139"/>
        <v>0</v>
      </c>
      <c r="H311" s="66">
        <f t="shared" ca="1" si="139"/>
        <v>0</v>
      </c>
      <c r="I311" s="66">
        <f t="shared" ca="1" si="139"/>
        <v>0</v>
      </c>
      <c r="J311" s="66">
        <f t="shared" ca="1" si="139"/>
        <v>0</v>
      </c>
      <c r="K311" s="66">
        <f t="shared" ca="1" si="139"/>
        <v>0</v>
      </c>
      <c r="L311" s="66">
        <f t="shared" ca="1" si="139"/>
        <v>0</v>
      </c>
    </row>
    <row r="312" spans="2:14" s="127" customFormat="1" x14ac:dyDescent="0.35">
      <c r="B312" s="181" t="s">
        <v>287</v>
      </c>
      <c r="E312" s="185"/>
      <c r="F312" s="199">
        <f>'Transaction Summary'!E14</f>
        <v>0.11</v>
      </c>
      <c r="G312" s="104">
        <f t="shared" ref="G312:L312" si="140">F312</f>
        <v>0.11</v>
      </c>
      <c r="H312" s="104">
        <f t="shared" si="140"/>
        <v>0.11</v>
      </c>
      <c r="I312" s="104">
        <f t="shared" si="140"/>
        <v>0.11</v>
      </c>
      <c r="J312" s="104">
        <f t="shared" si="140"/>
        <v>0.11</v>
      </c>
      <c r="K312" s="104">
        <f t="shared" si="140"/>
        <v>0.11</v>
      </c>
      <c r="L312" s="104">
        <f t="shared" si="140"/>
        <v>0.11</v>
      </c>
    </row>
    <row r="313" spans="2:14" x14ac:dyDescent="0.35">
      <c r="E313" s="153"/>
    </row>
    <row r="314" spans="2:14" x14ac:dyDescent="0.35">
      <c r="B314" s="66" t="s">
        <v>293</v>
      </c>
      <c r="E314" s="153"/>
      <c r="F314" s="66">
        <f ca="1">F295+F302+F309</f>
        <v>-30224.399514300956</v>
      </c>
      <c r="G314" s="66">
        <f t="shared" ref="G314:L314" ca="1" si="141">G295+G302+G309</f>
        <v>-146747.29543005739</v>
      </c>
      <c r="H314" s="66">
        <f t="shared" ca="1" si="141"/>
        <v>-197407.04067657539</v>
      </c>
      <c r="I314" s="66">
        <f t="shared" ca="1" si="141"/>
        <v>-275179.18339706946</v>
      </c>
      <c r="J314" s="66">
        <f t="shared" ca="1" si="141"/>
        <v>-315510.43501598807</v>
      </c>
      <c r="K314" s="66">
        <f t="shared" ca="1" si="141"/>
        <v>-356418.47492226993</v>
      </c>
      <c r="L314" s="66">
        <f t="shared" ca="1" si="141"/>
        <v>-401553.78346656042</v>
      </c>
    </row>
    <row r="315" spans="2:14" s="70" customFormat="1" x14ac:dyDescent="0.35">
      <c r="B315" s="70" t="s">
        <v>294</v>
      </c>
      <c r="E315" s="156">
        <f>E127</f>
        <v>21341.550000000003</v>
      </c>
      <c r="F315" s="76">
        <f t="shared" ref="F315:L315" ca="1" si="142">F288+F289+F314</f>
        <v>21341.55</v>
      </c>
      <c r="G315" s="76">
        <f t="shared" ca="1" si="142"/>
        <v>21341.549999999988</v>
      </c>
      <c r="H315" s="76">
        <f t="shared" ca="1" si="142"/>
        <v>21341.549999999988</v>
      </c>
      <c r="I315" s="76">
        <f t="shared" ca="1" si="142"/>
        <v>21341.549999999988</v>
      </c>
      <c r="J315" s="76">
        <f t="shared" ca="1" si="142"/>
        <v>21341.549999999988</v>
      </c>
      <c r="K315" s="76">
        <f t="shared" ca="1" si="142"/>
        <v>21341.549999999988</v>
      </c>
      <c r="L315" s="76">
        <f t="shared" ca="1" si="142"/>
        <v>21341.549999999988</v>
      </c>
    </row>
    <row r="316" spans="2:14" x14ac:dyDescent="0.35">
      <c r="B316" s="73" t="s">
        <v>296</v>
      </c>
      <c r="E316" s="153"/>
      <c r="F316" s="66">
        <f t="shared" ref="F316:L316" ca="1" si="143">AVERAGE(E315:F315)*F317</f>
        <v>640.24650000000008</v>
      </c>
      <c r="G316" s="66">
        <f t="shared" ca="1" si="143"/>
        <v>640.24649999999986</v>
      </c>
      <c r="H316" s="66">
        <f t="shared" ca="1" si="143"/>
        <v>640.24649999999963</v>
      </c>
      <c r="I316" s="66">
        <f t="shared" ca="1" si="143"/>
        <v>640.24649999999963</v>
      </c>
      <c r="J316" s="66">
        <f t="shared" ca="1" si="143"/>
        <v>640.24649999999963</v>
      </c>
      <c r="K316" s="66">
        <f t="shared" ca="1" si="143"/>
        <v>640.24649999999963</v>
      </c>
      <c r="L316" s="66">
        <f t="shared" ca="1" si="143"/>
        <v>640.24649999999963</v>
      </c>
    </row>
    <row r="317" spans="2:14" x14ac:dyDescent="0.35">
      <c r="B317" s="73" t="s">
        <v>287</v>
      </c>
      <c r="E317" s="153"/>
      <c r="F317" s="201">
        <f>'Transaction Summary'!E11</f>
        <v>0.03</v>
      </c>
      <c r="G317" s="64">
        <f t="shared" ref="G317:L317" si="144">F317</f>
        <v>0.03</v>
      </c>
      <c r="H317" s="64">
        <f t="shared" si="144"/>
        <v>0.03</v>
      </c>
      <c r="I317" s="64">
        <f t="shared" si="144"/>
        <v>0.03</v>
      </c>
      <c r="J317" s="64">
        <f t="shared" si="144"/>
        <v>0.03</v>
      </c>
      <c r="K317" s="64">
        <f t="shared" si="144"/>
        <v>0.03</v>
      </c>
      <c r="L317" s="64">
        <f t="shared" si="144"/>
        <v>0.03</v>
      </c>
    </row>
    <row r="318" spans="2:14" x14ac:dyDescent="0.35">
      <c r="E318" s="153"/>
    </row>
    <row r="319" spans="2:14" x14ac:dyDescent="0.35">
      <c r="B319" s="66" t="s">
        <v>297</v>
      </c>
      <c r="E319" s="153"/>
      <c r="F319" s="75">
        <f ca="1">F297+F304+F311-F316</f>
        <v>168300.67135268505</v>
      </c>
      <c r="G319" s="75">
        <f t="shared" ref="G319:L319" ca="1" si="145">G297+G304+G311-G316</f>
        <v>165026.69499621441</v>
      </c>
      <c r="H319" s="75">
        <f t="shared" ca="1" si="145"/>
        <v>158659.83977824173</v>
      </c>
      <c r="I319" s="75">
        <f t="shared" ca="1" si="145"/>
        <v>149916.9946328793</v>
      </c>
      <c r="J319" s="75">
        <f t="shared" ca="1" si="145"/>
        <v>136193.35243998689</v>
      </c>
      <c r="K319" s="75">
        <f t="shared" ca="1" si="145"/>
        <v>116333.34317988878</v>
      </c>
      <c r="L319" s="75">
        <f t="shared" ca="1" si="145"/>
        <v>92457.217040640622</v>
      </c>
    </row>
    <row r="320" spans="2:14" x14ac:dyDescent="0.35">
      <c r="E320" s="153"/>
    </row>
    <row r="321" spans="1:12" s="70" customFormat="1" x14ac:dyDescent="0.35">
      <c r="B321" s="70" t="s">
        <v>223</v>
      </c>
      <c r="E321" s="207">
        <f t="shared" ref="E321:L321" si="146">ROUND(E315-E127,2)</f>
        <v>0</v>
      </c>
      <c r="F321" s="89">
        <f t="shared" ca="1" si="146"/>
        <v>0</v>
      </c>
      <c r="G321" s="89">
        <f t="shared" ca="1" si="146"/>
        <v>0</v>
      </c>
      <c r="H321" s="89">
        <f t="shared" ca="1" si="146"/>
        <v>0</v>
      </c>
      <c r="I321" s="89">
        <f t="shared" ca="1" si="146"/>
        <v>0</v>
      </c>
      <c r="J321" s="89">
        <f t="shared" ca="1" si="146"/>
        <v>0</v>
      </c>
      <c r="K321" s="89">
        <f t="shared" ca="1" si="146"/>
        <v>0</v>
      </c>
      <c r="L321" s="89">
        <f t="shared" ca="1" si="146"/>
        <v>0</v>
      </c>
    </row>
    <row r="322" spans="1:12" ht="5.15" customHeight="1" thickBot="1" x14ac:dyDescent="0.4">
      <c r="B322" s="125"/>
      <c r="C322" s="125"/>
      <c r="D322" s="125"/>
      <c r="E322" s="125"/>
      <c r="F322" s="125"/>
      <c r="G322" s="125"/>
      <c r="H322" s="125"/>
      <c r="I322" s="125"/>
      <c r="J322" s="125"/>
      <c r="K322" s="125"/>
      <c r="L322" s="125"/>
    </row>
    <row r="323" spans="1:12" ht="16" thickTop="1" x14ac:dyDescent="0.35"/>
    <row r="324" spans="1:12" x14ac:dyDescent="0.35">
      <c r="A324" s="66" t="s">
        <v>31</v>
      </c>
      <c r="B324" s="70" t="s">
        <v>489</v>
      </c>
      <c r="C324" s="70"/>
      <c r="D324" s="70"/>
      <c r="E324" s="70"/>
      <c r="F324" s="70"/>
      <c r="G324" s="70"/>
      <c r="H324" s="70"/>
      <c r="I324" s="70"/>
      <c r="L324" s="71" t="s">
        <v>110</v>
      </c>
    </row>
    <row r="325" spans="1:12" x14ac:dyDescent="0.35">
      <c r="B325" s="66" t="s">
        <v>237</v>
      </c>
      <c r="L325" s="72" t="s">
        <v>130</v>
      </c>
    </row>
    <row r="326" spans="1:12" x14ac:dyDescent="0.35">
      <c r="B326" s="67"/>
      <c r="C326" s="68" t="s">
        <v>109</v>
      </c>
      <c r="D326" s="68"/>
      <c r="E326" s="151"/>
      <c r="F326" s="68" t="s">
        <v>128</v>
      </c>
      <c r="G326" s="68"/>
      <c r="H326" s="68"/>
      <c r="I326" s="68"/>
      <c r="J326" s="68"/>
      <c r="K326" s="68"/>
      <c r="L326" s="68"/>
    </row>
    <row r="327" spans="1:12" x14ac:dyDescent="0.35">
      <c r="B327" s="69"/>
      <c r="C327" s="187">
        <v>42003</v>
      </c>
      <c r="D327" s="187">
        <v>42367</v>
      </c>
      <c r="E327" s="188">
        <v>42731</v>
      </c>
      <c r="F327" s="189">
        <f t="shared" ref="F327:L327" si="147">DATE(YEAR(E327)+1,MONTH(E327),DAY(E327))</f>
        <v>43096</v>
      </c>
      <c r="G327" s="189">
        <f t="shared" si="147"/>
        <v>43461</v>
      </c>
      <c r="H327" s="189">
        <f t="shared" si="147"/>
        <v>43826</v>
      </c>
      <c r="I327" s="189">
        <f t="shared" si="147"/>
        <v>44192</v>
      </c>
      <c r="J327" s="189">
        <f t="shared" si="147"/>
        <v>44557</v>
      </c>
      <c r="K327" s="189">
        <f t="shared" si="147"/>
        <v>44922</v>
      </c>
      <c r="L327" s="189">
        <f t="shared" si="147"/>
        <v>45287</v>
      </c>
    </row>
    <row r="328" spans="1:12" s="75" customFormat="1" x14ac:dyDescent="0.35">
      <c r="B328" s="75" t="s">
        <v>126</v>
      </c>
      <c r="F328" s="75">
        <f ca="1">F36</f>
        <v>-26407.021232150208</v>
      </c>
      <c r="G328" s="75">
        <f t="shared" ref="G328:L328" ca="1" si="148">G36</f>
        <v>20336.812267177822</v>
      </c>
      <c r="H328" s="75">
        <f t="shared" ca="1" si="148"/>
        <v>85540.096056579263</v>
      </c>
      <c r="I328" s="75">
        <f t="shared" ca="1" si="148"/>
        <v>138685.94120194169</v>
      </c>
      <c r="J328" s="75">
        <f t="shared" ca="1" si="148"/>
        <v>198831.58339483416</v>
      </c>
      <c r="K328" s="75">
        <f t="shared" ca="1" si="148"/>
        <v>260461.66455783343</v>
      </c>
      <c r="L328" s="75">
        <f t="shared" ca="1" si="148"/>
        <v>331275.2069214306</v>
      </c>
    </row>
    <row r="329" spans="1:12" x14ac:dyDescent="0.35">
      <c r="B329" s="66" t="s">
        <v>490</v>
      </c>
      <c r="F329" s="66">
        <f t="shared" ref="F329:L329" ca="1" si="149">F39</f>
        <v>0</v>
      </c>
      <c r="G329" s="66">
        <f t="shared" ca="1" si="149"/>
        <v>0</v>
      </c>
      <c r="H329" s="66">
        <f t="shared" ca="1" si="149"/>
        <v>27814.460482062408</v>
      </c>
      <c r="I329" s="66">
        <f t="shared" ca="1" si="149"/>
        <v>48540.079420679591</v>
      </c>
      <c r="J329" s="66">
        <f t="shared" ca="1" si="149"/>
        <v>69591.054188191949</v>
      </c>
      <c r="K329" s="66">
        <f t="shared" ca="1" si="149"/>
        <v>91161.582595241693</v>
      </c>
      <c r="L329" s="66">
        <f t="shared" ca="1" si="149"/>
        <v>115946.3224225007</v>
      </c>
    </row>
    <row r="331" spans="1:12" x14ac:dyDescent="0.35">
      <c r="B331" s="66" t="s">
        <v>486</v>
      </c>
      <c r="F331" s="66">
        <f>E334</f>
        <v>0</v>
      </c>
      <c r="G331" s="66">
        <f t="shared" ref="G331:L331" ca="1" si="150">F334</f>
        <v>26407.021232150208</v>
      </c>
      <c r="H331" s="66">
        <f t="shared" ca="1" si="150"/>
        <v>6070.2089649723857</v>
      </c>
      <c r="I331" s="66">
        <f t="shared" ca="1" si="150"/>
        <v>0</v>
      </c>
      <c r="J331" s="66">
        <f t="shared" ca="1" si="150"/>
        <v>0</v>
      </c>
      <c r="K331" s="66">
        <f t="shared" ca="1" si="150"/>
        <v>0</v>
      </c>
      <c r="L331" s="66">
        <f t="shared" ca="1" si="150"/>
        <v>0</v>
      </c>
    </row>
    <row r="332" spans="1:12" x14ac:dyDescent="0.35">
      <c r="B332" s="66" t="s">
        <v>491</v>
      </c>
      <c r="F332" s="66">
        <f ca="1">-MIN(0,F328)</f>
        <v>26407.021232150208</v>
      </c>
      <c r="G332" s="66">
        <f t="shared" ref="G332:L332" ca="1" si="151">-MIN(0,G328)</f>
        <v>0</v>
      </c>
      <c r="H332" s="66">
        <f t="shared" ca="1" si="151"/>
        <v>0</v>
      </c>
      <c r="I332" s="66">
        <f t="shared" ca="1" si="151"/>
        <v>0</v>
      </c>
      <c r="J332" s="66">
        <f t="shared" ca="1" si="151"/>
        <v>0</v>
      </c>
      <c r="K332" s="66">
        <f t="shared" ca="1" si="151"/>
        <v>0</v>
      </c>
      <c r="L332" s="66">
        <f t="shared" ca="1" si="151"/>
        <v>0</v>
      </c>
    </row>
    <row r="333" spans="1:12" x14ac:dyDescent="0.35">
      <c r="B333" s="66" t="s">
        <v>492</v>
      </c>
      <c r="F333" s="66">
        <f ca="1">-MIN(F331+F332,MAX(F328,0))</f>
        <v>0</v>
      </c>
      <c r="G333" s="66">
        <f t="shared" ref="G333:L333" ca="1" si="152">-MIN(G331+G332,MAX(G328,0))</f>
        <v>-20336.812267177822</v>
      </c>
      <c r="H333" s="66">
        <f t="shared" ca="1" si="152"/>
        <v>-6070.2089649723857</v>
      </c>
      <c r="I333" s="66">
        <f t="shared" ca="1" si="152"/>
        <v>0</v>
      </c>
      <c r="J333" s="66">
        <f t="shared" ca="1" si="152"/>
        <v>0</v>
      </c>
      <c r="K333" s="66">
        <f t="shared" ca="1" si="152"/>
        <v>0</v>
      </c>
      <c r="L333" s="66">
        <f t="shared" ca="1" si="152"/>
        <v>0</v>
      </c>
    </row>
    <row r="334" spans="1:12" s="70" customFormat="1" x14ac:dyDescent="0.35">
      <c r="B334" s="70" t="s">
        <v>487</v>
      </c>
      <c r="E334" s="361">
        <v>0</v>
      </c>
      <c r="F334" s="76">
        <f ca="1">SUM(F331:F333)</f>
        <v>26407.021232150208</v>
      </c>
      <c r="G334" s="76">
        <f t="shared" ref="G334:L334" ca="1" si="153">SUM(G331:G333)</f>
        <v>6070.2089649723857</v>
      </c>
      <c r="H334" s="76">
        <f t="shared" ca="1" si="153"/>
        <v>0</v>
      </c>
      <c r="I334" s="76">
        <f t="shared" ca="1" si="153"/>
        <v>0</v>
      </c>
      <c r="J334" s="76">
        <f t="shared" ca="1" si="153"/>
        <v>0</v>
      </c>
      <c r="K334" s="76">
        <f t="shared" ca="1" si="153"/>
        <v>0</v>
      </c>
      <c r="L334" s="76">
        <f t="shared" ca="1" si="153"/>
        <v>0</v>
      </c>
    </row>
    <row r="336" spans="1:12" x14ac:dyDescent="0.35">
      <c r="B336" s="66" t="s">
        <v>493</v>
      </c>
      <c r="F336" s="66">
        <f ca="1">F328+F333</f>
        <v>-26407.021232150208</v>
      </c>
      <c r="G336" s="66">
        <f t="shared" ref="G336:L336" ca="1" si="154">G328+G333</f>
        <v>0</v>
      </c>
      <c r="H336" s="66">
        <f t="shared" ca="1" si="154"/>
        <v>79469.887091606884</v>
      </c>
      <c r="I336" s="66">
        <f t="shared" ca="1" si="154"/>
        <v>138685.94120194169</v>
      </c>
      <c r="J336" s="66">
        <f t="shared" ca="1" si="154"/>
        <v>198831.58339483416</v>
      </c>
      <c r="K336" s="66">
        <f t="shared" ca="1" si="154"/>
        <v>260461.66455783343</v>
      </c>
      <c r="L336" s="66">
        <f t="shared" ca="1" si="154"/>
        <v>331275.2069214306</v>
      </c>
    </row>
    <row r="337" spans="2:12" x14ac:dyDescent="0.35">
      <c r="B337" s="66" t="s">
        <v>494</v>
      </c>
      <c r="F337" s="66">
        <f ca="1">MAX(F336,0)</f>
        <v>0</v>
      </c>
      <c r="G337" s="66">
        <f t="shared" ref="G337:L337" ca="1" si="155">MAX(G336,0)</f>
        <v>0</v>
      </c>
      <c r="H337" s="66">
        <f t="shared" ca="1" si="155"/>
        <v>79469.887091606884</v>
      </c>
      <c r="I337" s="66">
        <f t="shared" ca="1" si="155"/>
        <v>138685.94120194169</v>
      </c>
      <c r="J337" s="66">
        <f t="shared" ca="1" si="155"/>
        <v>198831.58339483416</v>
      </c>
      <c r="K337" s="66">
        <f t="shared" ca="1" si="155"/>
        <v>260461.66455783343</v>
      </c>
      <c r="L337" s="66">
        <f t="shared" ca="1" si="155"/>
        <v>331275.2069214306</v>
      </c>
    </row>
    <row r="339" spans="2:12" x14ac:dyDescent="0.35">
      <c r="B339" s="66" t="s">
        <v>495</v>
      </c>
      <c r="F339" s="66">
        <f ca="1">(F332+F333)*F57</f>
        <v>9242.4574312525729</v>
      </c>
      <c r="G339" s="66">
        <f t="shared" ref="G339:L339" ca="1" si="156">(G332+G333)*G57</f>
        <v>-7117.8842935122375</v>
      </c>
      <c r="H339" s="66">
        <f t="shared" ca="1" si="156"/>
        <v>-2124.5731377403349</v>
      </c>
      <c r="I339" s="66">
        <f t="shared" ca="1" si="156"/>
        <v>0</v>
      </c>
      <c r="J339" s="66">
        <f t="shared" ca="1" si="156"/>
        <v>0</v>
      </c>
      <c r="K339" s="66">
        <f t="shared" ca="1" si="156"/>
        <v>0</v>
      </c>
      <c r="L339" s="66">
        <f t="shared" ca="1" si="156"/>
        <v>0</v>
      </c>
    </row>
    <row r="340" spans="2:12" ht="5.15" customHeight="1" thickBot="1" x14ac:dyDescent="0.4">
      <c r="B340" s="125"/>
      <c r="C340" s="125"/>
      <c r="D340" s="125"/>
      <c r="E340" s="125"/>
      <c r="F340" s="125"/>
      <c r="G340" s="125"/>
      <c r="H340" s="125"/>
      <c r="I340" s="125"/>
      <c r="J340" s="125"/>
      <c r="K340" s="125"/>
      <c r="L340" s="125"/>
    </row>
    <row r="341" spans="2:12" ht="16" thickTop="1" x14ac:dyDescent="0.35"/>
  </sheetData>
  <dataValidations count="1">
    <dataValidation type="list" allowBlank="1" showInputMessage="1" showErrorMessage="1" sqref="N280" xr:uid="{00000000-0002-0000-0D00-000000000000}">
      <formula1>"PPE + CapEx,% of Revenue"</formula1>
    </dataValidation>
  </dataValidations>
  <pageMargins left="0.7" right="0.7" top="0.75" bottom="0.75" header="0.3" footer="0.3"/>
  <pageSetup scale="68" fitToWidth="0" fitToHeight="0" orientation="landscape" horizontalDpi="4294967295" verticalDpi="4294967295" r:id="rId1"/>
  <rowBreaks count="6" manualBreakCount="6">
    <brk id="59" min="1" max="11" man="1"/>
    <brk id="120" min="1" max="11" man="1"/>
    <brk id="174" min="1" max="11" man="1"/>
    <brk id="221" min="1" max="11" man="1"/>
    <brk id="228" min="1" max="11" man="1"/>
    <brk id="283" min="1" max="11" man="1"/>
  </rowBreaks>
  <ignoredErrors>
    <ignoredError sqref="E149 E134:F134 F203 F188 G45:J45 D241:E241 G242:J242 G244:J244 G250:J250 E114 K45:L45 K250:L250 K244:L244 K242:L242" formula="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L45"/>
  <sheetViews>
    <sheetView showGridLines="0" zoomScaleNormal="100" workbookViewId="0">
      <selection activeCell="F25" sqref="F25"/>
    </sheetView>
  </sheetViews>
  <sheetFormatPr baseColWidth="10" defaultColWidth="9" defaultRowHeight="15.5" x14ac:dyDescent="0.35"/>
  <cols>
    <col min="1" max="1" width="9" style="66"/>
    <col min="2" max="2" width="34.4140625" style="66" bestFit="1" customWidth="1"/>
    <col min="3" max="12" width="13.08203125" style="66" customWidth="1"/>
    <col min="13" max="16384" width="9" style="66"/>
  </cols>
  <sheetData>
    <row r="2" spans="1:12" x14ac:dyDescent="0.35">
      <c r="A2" s="66" t="s">
        <v>31</v>
      </c>
      <c r="B2" s="70" t="s">
        <v>334</v>
      </c>
      <c r="C2" s="70"/>
      <c r="D2" s="70"/>
      <c r="E2" s="70"/>
      <c r="F2" s="70"/>
      <c r="G2" s="70"/>
      <c r="H2" s="70"/>
      <c r="I2" s="70"/>
      <c r="L2" s="71" t="s">
        <v>110</v>
      </c>
    </row>
    <row r="3" spans="1:12" x14ac:dyDescent="0.35">
      <c r="B3" s="66" t="s">
        <v>237</v>
      </c>
      <c r="L3" s="72" t="s">
        <v>130</v>
      </c>
    </row>
    <row r="4" spans="1:12" x14ac:dyDescent="0.35">
      <c r="B4" s="67"/>
      <c r="C4" s="68"/>
      <c r="D4" s="68"/>
      <c r="E4" s="151" t="s">
        <v>193</v>
      </c>
      <c r="F4" s="68" t="s">
        <v>128</v>
      </c>
      <c r="G4" s="68"/>
      <c r="H4" s="68"/>
      <c r="I4" s="68"/>
      <c r="J4" s="68"/>
      <c r="K4" s="68"/>
      <c r="L4" s="68"/>
    </row>
    <row r="5" spans="1:12" x14ac:dyDescent="0.35">
      <c r="B5" s="69"/>
      <c r="C5" s="226"/>
      <c r="D5" s="226"/>
      <c r="E5" s="221">
        <v>42731</v>
      </c>
      <c r="F5" s="189">
        <f>DATE(YEAR(E5)+1,MONTH(E5),DAY(E5))</f>
        <v>43096</v>
      </c>
      <c r="G5" s="189">
        <f t="shared" ref="G5:L5" si="0">DATE(YEAR(F5)+1,MONTH(F5),DAY(F5))</f>
        <v>43461</v>
      </c>
      <c r="H5" s="189">
        <f t="shared" si="0"/>
        <v>43826</v>
      </c>
      <c r="I5" s="189">
        <f t="shared" si="0"/>
        <v>44192</v>
      </c>
      <c r="J5" s="189">
        <f t="shared" si="0"/>
        <v>44557</v>
      </c>
      <c r="K5" s="189">
        <f t="shared" si="0"/>
        <v>44922</v>
      </c>
      <c r="L5" s="189">
        <f t="shared" si="0"/>
        <v>45287</v>
      </c>
    </row>
    <row r="6" spans="1:12" x14ac:dyDescent="0.35">
      <c r="E6" s="171"/>
    </row>
    <row r="7" spans="1:12" x14ac:dyDescent="0.35">
      <c r="B7" s="70" t="s">
        <v>313</v>
      </c>
      <c r="E7" s="153"/>
    </row>
    <row r="8" spans="1:12" x14ac:dyDescent="0.35">
      <c r="B8" s="73" t="s">
        <v>335</v>
      </c>
      <c r="E8" s="167">
        <f ca="1">'Operating Model'!E150+'Operating Model'!E151+'Operating Model'!E152</f>
        <v>3000001.2372076465</v>
      </c>
      <c r="F8" s="75">
        <f ca="1">'Operating Model'!F150+'Operating Model'!F151+'Operating Model'!F152</f>
        <v>2969776.8376933453</v>
      </c>
      <c r="G8" s="75">
        <f ca="1">'Operating Model'!G150+'Operating Model'!G151+'Operating Model'!G152</f>
        <v>2823029.5422632881</v>
      </c>
      <c r="H8" s="75">
        <f ca="1">'Operating Model'!H150+'Operating Model'!H151+'Operating Model'!H152</f>
        <v>2625622.5015867129</v>
      </c>
      <c r="I8" s="75">
        <f ca="1">'Operating Model'!I150+'Operating Model'!I151+'Operating Model'!I152</f>
        <v>2350443.3181896433</v>
      </c>
      <c r="J8" s="75">
        <f ca="1">'Operating Model'!J150+'Operating Model'!J151+'Operating Model'!J152</f>
        <v>2034932.8831736553</v>
      </c>
      <c r="K8" s="75">
        <f ca="1">'Operating Model'!K150+'Operating Model'!K151+'Operating Model'!K152</f>
        <v>1678514.4082513852</v>
      </c>
      <c r="L8" s="75">
        <f ca="1">'Operating Model'!L150+'Operating Model'!L151+'Operating Model'!L152</f>
        <v>1276960.6247848249</v>
      </c>
    </row>
    <row r="9" spans="1:12" x14ac:dyDescent="0.35">
      <c r="B9" s="73" t="s">
        <v>241</v>
      </c>
      <c r="E9" s="178">
        <f ca="1">'Operating Model'!E153</f>
        <v>0</v>
      </c>
      <c r="F9" s="134">
        <f ca="1">'Operating Model'!F153</f>
        <v>0</v>
      </c>
      <c r="G9" s="134">
        <f ca="1">'Operating Model'!G153</f>
        <v>0</v>
      </c>
      <c r="H9" s="134">
        <f ca="1">'Operating Model'!H153</f>
        <v>0</v>
      </c>
      <c r="I9" s="134">
        <f ca="1">'Operating Model'!I153</f>
        <v>0</v>
      </c>
      <c r="J9" s="134">
        <f ca="1">'Operating Model'!J153</f>
        <v>0</v>
      </c>
      <c r="K9" s="134">
        <f ca="1">'Operating Model'!K153</f>
        <v>0</v>
      </c>
      <c r="L9" s="134">
        <f ca="1">'Operating Model'!L153</f>
        <v>0</v>
      </c>
    </row>
    <row r="10" spans="1:12" s="70" customFormat="1" x14ac:dyDescent="0.35">
      <c r="B10" s="78" t="s">
        <v>314</v>
      </c>
      <c r="E10" s="156">
        <f t="shared" ref="E10:L10" ca="1" si="1">E8+E9</f>
        <v>3000001.2372076465</v>
      </c>
      <c r="F10" s="76">
        <f t="shared" ca="1" si="1"/>
        <v>2969776.8376933453</v>
      </c>
      <c r="G10" s="76">
        <f t="shared" ca="1" si="1"/>
        <v>2823029.5422632881</v>
      </c>
      <c r="H10" s="76">
        <f t="shared" ca="1" si="1"/>
        <v>2625622.5015867129</v>
      </c>
      <c r="I10" s="76">
        <f t="shared" ca="1" si="1"/>
        <v>2350443.3181896433</v>
      </c>
      <c r="J10" s="76">
        <f t="shared" ca="1" si="1"/>
        <v>2034932.8831736553</v>
      </c>
      <c r="K10" s="76">
        <f t="shared" ca="1" si="1"/>
        <v>1678514.4082513852</v>
      </c>
      <c r="L10" s="76">
        <f t="shared" ca="1" si="1"/>
        <v>1276960.6247848249</v>
      </c>
    </row>
    <row r="11" spans="1:12" x14ac:dyDescent="0.35">
      <c r="B11" s="79" t="s">
        <v>315</v>
      </c>
      <c r="E11" s="178">
        <f>'Operating Model'!E127</f>
        <v>21341.550000000003</v>
      </c>
      <c r="F11" s="134">
        <f ca="1">'Operating Model'!F127</f>
        <v>21341.550000000003</v>
      </c>
      <c r="G11" s="134">
        <f ca="1">'Operating Model'!G127</f>
        <v>21341.550000000003</v>
      </c>
      <c r="H11" s="134">
        <f ca="1">'Operating Model'!H127</f>
        <v>21341.550000000003</v>
      </c>
      <c r="I11" s="134">
        <f ca="1">'Operating Model'!I127</f>
        <v>21341.550000000003</v>
      </c>
      <c r="J11" s="134">
        <f ca="1">'Operating Model'!J127</f>
        <v>21341.550000000003</v>
      </c>
      <c r="K11" s="134">
        <f ca="1">'Operating Model'!K127</f>
        <v>21341.550000000003</v>
      </c>
      <c r="L11" s="134">
        <f ca="1">'Operating Model'!L127</f>
        <v>21341.550000000003</v>
      </c>
    </row>
    <row r="12" spans="1:12" s="70" customFormat="1" x14ac:dyDescent="0.35">
      <c r="B12" s="78" t="s">
        <v>316</v>
      </c>
      <c r="E12" s="156">
        <f t="shared" ref="E12:L12" ca="1" si="2">E10-E11</f>
        <v>2978659.6872076467</v>
      </c>
      <c r="F12" s="76">
        <f t="shared" ca="1" si="2"/>
        <v>2948435.2876933455</v>
      </c>
      <c r="G12" s="76">
        <f t="shared" ca="1" si="2"/>
        <v>2801687.9922632882</v>
      </c>
      <c r="H12" s="76">
        <f t="shared" ca="1" si="2"/>
        <v>2604280.9515867131</v>
      </c>
      <c r="I12" s="76">
        <f t="shared" ca="1" si="2"/>
        <v>2329101.7681896435</v>
      </c>
      <c r="J12" s="76">
        <f t="shared" ca="1" si="2"/>
        <v>2013591.3331736552</v>
      </c>
      <c r="K12" s="76">
        <f t="shared" ca="1" si="2"/>
        <v>1657172.8582513852</v>
      </c>
      <c r="L12" s="76">
        <f t="shared" ca="1" si="2"/>
        <v>1255619.0747848249</v>
      </c>
    </row>
    <row r="13" spans="1:12" x14ac:dyDescent="0.35">
      <c r="B13" s="73"/>
      <c r="E13" s="153"/>
    </row>
    <row r="14" spans="1:12" x14ac:dyDescent="0.35">
      <c r="B14" s="73" t="s">
        <v>337</v>
      </c>
      <c r="E14" s="178">
        <f>'Operating Model'!E159</f>
        <v>3603</v>
      </c>
      <c r="F14" s="134">
        <f>'Operating Model'!F159</f>
        <v>3603</v>
      </c>
      <c r="G14" s="134">
        <f>'Operating Model'!G159</f>
        <v>3603</v>
      </c>
      <c r="H14" s="134">
        <f>'Operating Model'!H159</f>
        <v>3603</v>
      </c>
      <c r="I14" s="134">
        <f>'Operating Model'!I159</f>
        <v>3603</v>
      </c>
      <c r="J14" s="134">
        <f>'Operating Model'!J159</f>
        <v>3603</v>
      </c>
      <c r="K14" s="134">
        <f>'Operating Model'!K159</f>
        <v>3603</v>
      </c>
      <c r="L14" s="134">
        <f>'Operating Model'!L159</f>
        <v>3603</v>
      </c>
    </row>
    <row r="15" spans="1:12" x14ac:dyDescent="0.35">
      <c r="B15" s="73" t="s">
        <v>317</v>
      </c>
      <c r="E15" s="178">
        <f ca="1">'Operating Model'!E169</f>
        <v>4463667.8906296333</v>
      </c>
      <c r="F15" s="134">
        <f ca="1">'Operating Model'!F169</f>
        <v>4437260.8693974828</v>
      </c>
      <c r="G15" s="134">
        <f ca="1">'Operating Model'!G169</f>
        <v>4457597.6816646606</v>
      </c>
      <c r="H15" s="134">
        <f ca="1">'Operating Model'!H169</f>
        <v>4515323.3172391774</v>
      </c>
      <c r="I15" s="134">
        <f ca="1">'Operating Model'!I169</f>
        <v>4605469.1790204393</v>
      </c>
      <c r="J15" s="134">
        <f ca="1">'Operating Model'!J169</f>
        <v>4734709.7082270812</v>
      </c>
      <c r="K15" s="134">
        <f ca="1">'Operating Model'!K169</f>
        <v>4904009.7901896732</v>
      </c>
      <c r="L15" s="134">
        <f ca="1">'Operating Model'!L169</f>
        <v>5119338.6746886028</v>
      </c>
    </row>
    <row r="16" spans="1:12" s="70" customFormat="1" x14ac:dyDescent="0.35">
      <c r="B16" s="78" t="s">
        <v>318</v>
      </c>
      <c r="E16" s="156">
        <f t="shared" ref="E16:L16" ca="1" si="3">E12+E14+E15</f>
        <v>7445930.57783728</v>
      </c>
      <c r="F16" s="76">
        <f t="shared" ca="1" si="3"/>
        <v>7389299.1570908278</v>
      </c>
      <c r="G16" s="76">
        <f t="shared" ca="1" si="3"/>
        <v>7262888.6739279488</v>
      </c>
      <c r="H16" s="76">
        <f t="shared" ca="1" si="3"/>
        <v>7123207.2688258905</v>
      </c>
      <c r="I16" s="76">
        <f t="shared" ca="1" si="3"/>
        <v>6938173.9472100828</v>
      </c>
      <c r="J16" s="76">
        <f t="shared" ca="1" si="3"/>
        <v>6751904.0414007362</v>
      </c>
      <c r="K16" s="76">
        <f t="shared" ca="1" si="3"/>
        <v>6564785.6484410586</v>
      </c>
      <c r="L16" s="76">
        <f t="shared" ca="1" si="3"/>
        <v>6378560.7494734274</v>
      </c>
    </row>
    <row r="17" spans="2:12" x14ac:dyDescent="0.35">
      <c r="E17" s="153"/>
    </row>
    <row r="18" spans="2:12" s="70" customFormat="1" x14ac:dyDescent="0.35">
      <c r="B18" s="70" t="s">
        <v>319</v>
      </c>
      <c r="E18" s="157"/>
    </row>
    <row r="19" spans="2:12" x14ac:dyDescent="0.35">
      <c r="B19" s="73" t="s">
        <v>320</v>
      </c>
      <c r="E19" s="167"/>
      <c r="F19" s="75">
        <f ca="1">'Operating Model'!F297+'Operating Model'!F304+'Operating Model'!F311+'Operating Model'!F35</f>
        <v>174726.63456786238</v>
      </c>
      <c r="G19" s="75">
        <f ca="1">'Operating Model'!G297+'Operating Model'!G304+'Operating Model'!G311+'Operating Model'!G35</f>
        <v>171452.65821139174</v>
      </c>
      <c r="H19" s="75">
        <f ca="1">'Operating Model'!H297+'Operating Model'!H304+'Operating Model'!H311+'Operating Model'!H35</f>
        <v>165085.80299341906</v>
      </c>
      <c r="I19" s="75">
        <f ca="1">'Operating Model'!I297+'Operating Model'!I304+'Operating Model'!I311+'Operating Model'!I35</f>
        <v>156342.95784805663</v>
      </c>
      <c r="J19" s="75">
        <f ca="1">'Operating Model'!J297+'Operating Model'!J304+'Operating Model'!J311+'Operating Model'!J35</f>
        <v>142619.31565516422</v>
      </c>
      <c r="K19" s="75">
        <f ca="1">'Operating Model'!K297+'Operating Model'!K304+'Operating Model'!K311+'Operating Model'!K35</f>
        <v>122759.30639506609</v>
      </c>
      <c r="L19" s="75">
        <f ca="1">'Operating Model'!L297+'Operating Model'!L304+'Operating Model'!L311+'Operating Model'!L35</f>
        <v>98883.180255817933</v>
      </c>
    </row>
    <row r="20" spans="2:12" x14ac:dyDescent="0.35">
      <c r="B20" s="73" t="s">
        <v>321</v>
      </c>
      <c r="E20" s="153"/>
      <c r="F20" s="66">
        <f ca="1">F19-'Operating Model'!F316</f>
        <v>174086.38806786237</v>
      </c>
      <c r="G20" s="66">
        <f ca="1">G19-'Operating Model'!G316</f>
        <v>170812.41171139173</v>
      </c>
      <c r="H20" s="66">
        <f ca="1">H19-'Operating Model'!H316</f>
        <v>164445.55649341905</v>
      </c>
      <c r="I20" s="66">
        <f ca="1">I19-'Operating Model'!I316</f>
        <v>155702.71134805662</v>
      </c>
      <c r="J20" s="66">
        <f ca="1">J19-'Operating Model'!J316</f>
        <v>141979.06915516421</v>
      </c>
      <c r="K20" s="66">
        <f ca="1">K19-'Operating Model'!K316</f>
        <v>122119.05989506609</v>
      </c>
      <c r="L20" s="66">
        <f ca="1">L19-'Operating Model'!L316</f>
        <v>98242.93375581794</v>
      </c>
    </row>
    <row r="21" spans="2:12" x14ac:dyDescent="0.35">
      <c r="B21" s="73" t="s">
        <v>322</v>
      </c>
      <c r="E21" s="153"/>
      <c r="F21" s="66">
        <f ca="1">'Operating Model'!F297+'Operating Model'!F304+'Operating Model'!F311</f>
        <v>168940.91785268506</v>
      </c>
      <c r="G21" s="66">
        <f ca="1">'Operating Model'!G297+'Operating Model'!G304+'Operating Model'!G311</f>
        <v>165666.94149621442</v>
      </c>
      <c r="H21" s="66">
        <f ca="1">'Operating Model'!H297+'Operating Model'!H304+'Operating Model'!H311</f>
        <v>159300.08627824174</v>
      </c>
      <c r="I21" s="66">
        <f ca="1">'Operating Model'!I297+'Operating Model'!I304+'Operating Model'!I311</f>
        <v>150557.24113287931</v>
      </c>
      <c r="J21" s="66">
        <f ca="1">'Operating Model'!J297+'Operating Model'!J304+'Operating Model'!J311</f>
        <v>136833.5989399869</v>
      </c>
      <c r="K21" s="66">
        <f ca="1">'Operating Model'!K297+'Operating Model'!K304+'Operating Model'!K311</f>
        <v>116973.58967988877</v>
      </c>
      <c r="L21" s="66">
        <f ca="1">'Operating Model'!L297+'Operating Model'!L304+'Operating Model'!L311</f>
        <v>93097.463540640616</v>
      </c>
    </row>
    <row r="22" spans="2:12" x14ac:dyDescent="0.35">
      <c r="B22" s="73"/>
      <c r="E22" s="153"/>
    </row>
    <row r="23" spans="2:12" x14ac:dyDescent="0.35">
      <c r="B23" s="73" t="s">
        <v>111</v>
      </c>
      <c r="E23" s="357">
        <f>'Operating Model'!E24</f>
        <v>403190</v>
      </c>
      <c r="F23" s="214">
        <f ca="1">'Operating Model'!F24</f>
        <v>440899.99999999988</v>
      </c>
      <c r="G23" s="214">
        <f ca="1">'Operating Model'!G24</f>
        <v>489400.00000000017</v>
      </c>
      <c r="H23" s="214">
        <f ca="1">'Operating Model'!H24</f>
        <v>561100.00000000023</v>
      </c>
      <c r="I23" s="214">
        <f ca="1">'Operating Model'!I24</f>
        <v>631600.00000000035</v>
      </c>
      <c r="J23" s="214">
        <f ca="1">'Operating Model'!J24</f>
        <v>692100.00000000047</v>
      </c>
      <c r="K23" s="214">
        <f ca="1">'Operating Model'!K24</f>
        <v>753393.86334270786</v>
      </c>
      <c r="L23" s="214">
        <f ca="1">'Operating Model'!L24</f>
        <v>822270.34462822857</v>
      </c>
    </row>
    <row r="24" spans="2:12" x14ac:dyDescent="0.35">
      <c r="B24" s="79" t="s">
        <v>323</v>
      </c>
      <c r="E24" s="211"/>
      <c r="F24" s="210">
        <f t="shared" ref="F24:L26" ca="1" si="4">F$23/F19</f>
        <v>2.5233702983545876</v>
      </c>
      <c r="G24" s="210">
        <f t="shared" ca="1" si="4"/>
        <v>2.854432267807693</v>
      </c>
      <c r="H24" s="210">
        <f t="shared" ca="1" si="4"/>
        <v>3.3988386028710647</v>
      </c>
      <c r="I24" s="210">
        <f t="shared" ca="1" si="4"/>
        <v>4.0398365791046809</v>
      </c>
      <c r="J24" s="210">
        <f t="shared" ca="1" si="4"/>
        <v>4.8527788597262118</v>
      </c>
      <c r="K24" s="210">
        <f t="shared" ca="1" si="4"/>
        <v>6.1371629204072145</v>
      </c>
      <c r="L24" s="210">
        <f t="shared" ca="1" si="4"/>
        <v>8.3155734119893374</v>
      </c>
    </row>
    <row r="25" spans="2:12" x14ac:dyDescent="0.35">
      <c r="B25" s="79" t="s">
        <v>324</v>
      </c>
      <c r="E25" s="211"/>
      <c r="F25" s="210">
        <f t="shared" ca="1" si="4"/>
        <v>2.5326506276190197</v>
      </c>
      <c r="G25" s="210">
        <f t="shared" ca="1" si="4"/>
        <v>2.8651313748025569</v>
      </c>
      <c r="H25" s="210">
        <f t="shared" ca="1" si="4"/>
        <v>3.4120715205974865</v>
      </c>
      <c r="I25" s="210">
        <f t="shared" ca="1" si="4"/>
        <v>4.0564483080074734</v>
      </c>
      <c r="J25" s="210">
        <f t="shared" ca="1" si="4"/>
        <v>4.8746621887176014</v>
      </c>
      <c r="K25" s="210">
        <f t="shared" ca="1" si="4"/>
        <v>6.169338872982487</v>
      </c>
      <c r="L25" s="210">
        <f t="shared" ca="1" si="4"/>
        <v>8.3697657754396388</v>
      </c>
    </row>
    <row r="26" spans="2:12" x14ac:dyDescent="0.35">
      <c r="B26" s="79" t="s">
        <v>325</v>
      </c>
      <c r="E26" s="211"/>
      <c r="F26" s="210">
        <f t="shared" ca="1" si="4"/>
        <v>2.6097881176688094</v>
      </c>
      <c r="G26" s="210">
        <f t="shared" ca="1" si="4"/>
        <v>2.9541198478103321</v>
      </c>
      <c r="H26" s="210">
        <f t="shared" ca="1" si="4"/>
        <v>3.5222830891626389</v>
      </c>
      <c r="I26" s="210">
        <f t="shared" ca="1" si="4"/>
        <v>4.1950821843405111</v>
      </c>
      <c r="J26" s="210">
        <f t="shared" ca="1" si="4"/>
        <v>5.0579682575150624</v>
      </c>
      <c r="K26" s="210">
        <f t="shared" ca="1" si="4"/>
        <v>6.4407176475002084</v>
      </c>
      <c r="L26" s="210">
        <f t="shared" ca="1" si="4"/>
        <v>8.8323603388966241</v>
      </c>
    </row>
    <row r="27" spans="2:12" x14ac:dyDescent="0.35">
      <c r="B27" s="73"/>
      <c r="E27" s="153"/>
    </row>
    <row r="28" spans="2:12" x14ac:dyDescent="0.35">
      <c r="B28" s="73" t="s">
        <v>326</v>
      </c>
      <c r="E28" s="153">
        <f>'Operating Model'!E24-'Operating Model'!E268</f>
        <v>203127</v>
      </c>
      <c r="F28" s="66">
        <f ca="1">'Operating Model'!F24-'Operating Model'!F268</f>
        <v>230006.24999999985</v>
      </c>
      <c r="G28" s="66">
        <f ca="1">'Operating Model'!G24-'Operating Model'!G268</f>
        <v>289628.50000000012</v>
      </c>
      <c r="H28" s="66">
        <f ca="1">'Operating Model'!H24-'Operating Model'!H268</f>
        <v>365216.00000000023</v>
      </c>
      <c r="I28" s="66">
        <f ca="1">'Operating Model'!I24-'Operating Model'!I268</f>
        <v>435236.00000000035</v>
      </c>
      <c r="J28" s="66">
        <f ca="1">'Operating Model'!J24-'Operating Model'!J268</f>
        <v>499396.00000000047</v>
      </c>
      <c r="K28" s="66">
        <f ca="1">'Operating Model'!K24-'Operating Model'!K268</f>
        <v>537802.73288464011</v>
      </c>
      <c r="L28" s="66">
        <f ca="1">'Operating Model'!L24-'Operating Model'!L268</f>
        <v>580616.52395113627</v>
      </c>
    </row>
    <row r="29" spans="2:12" x14ac:dyDescent="0.35">
      <c r="B29" s="79" t="s">
        <v>323</v>
      </c>
      <c r="E29" s="211"/>
      <c r="F29" s="210">
        <f t="shared" ref="F29:L31" ca="1" si="5">F$28/F19</f>
        <v>1.3163777266634602</v>
      </c>
      <c r="G29" s="210">
        <f t="shared" ca="1" si="5"/>
        <v>1.6892622314604422</v>
      </c>
      <c r="H29" s="210">
        <f t="shared" ca="1" si="5"/>
        <v>2.2122798773590429</v>
      </c>
      <c r="I29" s="210">
        <f t="shared" ca="1" si="5"/>
        <v>2.7838542009867084</v>
      </c>
      <c r="J29" s="210">
        <f t="shared" ca="1" si="5"/>
        <v>3.5016014324979507</v>
      </c>
      <c r="K29" s="210">
        <f t="shared" ca="1" si="5"/>
        <v>4.380952847304906</v>
      </c>
      <c r="L29" s="210">
        <f t="shared" ca="1" si="5"/>
        <v>5.871742013647208</v>
      </c>
    </row>
    <row r="30" spans="2:12" x14ac:dyDescent="0.35">
      <c r="B30" s="79" t="s">
        <v>324</v>
      </c>
      <c r="E30" s="211"/>
      <c r="F30" s="210">
        <f t="shared" ca="1" si="5"/>
        <v>1.3212190370124677</v>
      </c>
      <c r="G30" s="210">
        <f t="shared" ca="1" si="5"/>
        <v>1.6955939975214598</v>
      </c>
      <c r="H30" s="210">
        <f t="shared" ca="1" si="5"/>
        <v>2.220893089407471</v>
      </c>
      <c r="I30" s="210">
        <f t="shared" ca="1" si="5"/>
        <v>2.7953013549460755</v>
      </c>
      <c r="J30" s="210">
        <f t="shared" ca="1" si="5"/>
        <v>3.517391704084404</v>
      </c>
      <c r="K30" s="210">
        <f t="shared" ca="1" si="5"/>
        <v>4.4039213317459271</v>
      </c>
      <c r="L30" s="210">
        <f t="shared" ca="1" si="5"/>
        <v>5.9100079950203259</v>
      </c>
    </row>
    <row r="31" spans="2:12" x14ac:dyDescent="0.35">
      <c r="B31" s="79" t="s">
        <v>325</v>
      </c>
      <c r="E31" s="211"/>
      <c r="F31" s="210">
        <f t="shared" ca="1" si="5"/>
        <v>1.3614596920833779</v>
      </c>
      <c r="G31" s="210">
        <f t="shared" ca="1" si="5"/>
        <v>1.7482576631416733</v>
      </c>
      <c r="H31" s="210">
        <f t="shared" ca="1" si="5"/>
        <v>2.2926290156685485</v>
      </c>
      <c r="I31" s="210">
        <f t="shared" ca="1" si="5"/>
        <v>2.8908340557055525</v>
      </c>
      <c r="J31" s="210">
        <f t="shared" ca="1" si="5"/>
        <v>3.6496591763184409</v>
      </c>
      <c r="K31" s="210">
        <f t="shared" ca="1" si="5"/>
        <v>4.5976423768510228</v>
      </c>
      <c r="L31" s="210">
        <f t="shared" ca="1" si="5"/>
        <v>6.236652448620954</v>
      </c>
    </row>
    <row r="32" spans="2:12" x14ac:dyDescent="0.35">
      <c r="E32" s="153"/>
    </row>
    <row r="33" spans="2:12" s="70" customFormat="1" x14ac:dyDescent="0.35">
      <c r="B33" s="70" t="s">
        <v>336</v>
      </c>
      <c r="E33" s="157"/>
    </row>
    <row r="34" spans="2:12" x14ac:dyDescent="0.35">
      <c r="B34" s="73" t="s">
        <v>327</v>
      </c>
      <c r="E34" s="212">
        <f t="shared" ref="E34:L34" ca="1" si="6">E10/E16</f>
        <v>0.40290480898883385</v>
      </c>
      <c r="F34" s="92">
        <f t="shared" ca="1" si="6"/>
        <v>0.40190236916359312</v>
      </c>
      <c r="G34" s="92">
        <f t="shared" ca="1" si="6"/>
        <v>0.38869238797467676</v>
      </c>
      <c r="H34" s="92">
        <f t="shared" ca="1" si="6"/>
        <v>0.36860116552799549</v>
      </c>
      <c r="I34" s="92">
        <f t="shared" ca="1" si="6"/>
        <v>0.33876973049007841</v>
      </c>
      <c r="J34" s="92">
        <f t="shared" ca="1" si="6"/>
        <v>0.30138652307497726</v>
      </c>
      <c r="K34" s="92">
        <f t="shared" ca="1" si="6"/>
        <v>0.25568457191743688</v>
      </c>
      <c r="L34" s="92">
        <f t="shared" ca="1" si="6"/>
        <v>0.20019572987374032</v>
      </c>
    </row>
    <row r="35" spans="2:12" x14ac:dyDescent="0.35">
      <c r="B35" s="73" t="s">
        <v>328</v>
      </c>
      <c r="E35" s="212">
        <f t="shared" ref="E35:L35" ca="1" si="7">E12/E15</f>
        <v>0.6673121209265156</v>
      </c>
      <c r="F35" s="92">
        <f t="shared" ca="1" si="7"/>
        <v>0.66447192862332238</v>
      </c>
      <c r="G35" s="92">
        <f t="shared" ca="1" si="7"/>
        <v>0.62851970777609889</v>
      </c>
      <c r="H35" s="92">
        <f t="shared" ca="1" si="7"/>
        <v>0.57676511040610468</v>
      </c>
      <c r="I35" s="92">
        <f t="shared" ca="1" si="7"/>
        <v>0.50572518839112757</v>
      </c>
      <c r="J35" s="92">
        <f t="shared" ca="1" si="7"/>
        <v>0.42528295444910125</v>
      </c>
      <c r="K35" s="92">
        <f t="shared" ca="1" si="7"/>
        <v>0.33792201262862698</v>
      </c>
      <c r="L35" s="92">
        <f t="shared" ca="1" si="7"/>
        <v>0.24526978083965137</v>
      </c>
    </row>
    <row r="36" spans="2:12" x14ac:dyDescent="0.35">
      <c r="B36" s="73"/>
      <c r="E36" s="153"/>
    </row>
    <row r="37" spans="2:12" x14ac:dyDescent="0.35">
      <c r="B37" s="73" t="s">
        <v>329</v>
      </c>
      <c r="E37" s="212">
        <f t="shared" ref="E37:L37" ca="1" si="8">E15/E16</f>
        <v>0.5994775057285231</v>
      </c>
      <c r="F37" s="92">
        <f t="shared" ca="1" si="8"/>
        <v>0.60049820355959649</v>
      </c>
      <c r="G37" s="92">
        <f t="shared" ca="1" si="8"/>
        <v>0.61374996668562209</v>
      </c>
      <c r="H37" s="92">
        <f t="shared" ca="1" si="8"/>
        <v>0.63388908209931005</v>
      </c>
      <c r="I37" s="92">
        <f t="shared" ca="1" si="8"/>
        <v>0.66378692924992888</v>
      </c>
      <c r="J37" s="92">
        <f t="shared" ca="1" si="8"/>
        <v>0.70124066917941985</v>
      </c>
      <c r="K37" s="92">
        <f t="shared" ca="1" si="8"/>
        <v>0.74701750412128531</v>
      </c>
      <c r="L37" s="92">
        <f t="shared" ca="1" si="8"/>
        <v>0.80258523446864127</v>
      </c>
    </row>
    <row r="38" spans="2:12" x14ac:dyDescent="0.35">
      <c r="B38" s="73"/>
      <c r="E38" s="153"/>
    </row>
    <row r="39" spans="2:12" x14ac:dyDescent="0.35">
      <c r="B39" s="73" t="s">
        <v>330</v>
      </c>
      <c r="E39" s="211">
        <f t="shared" ref="E39:L39" ca="1" si="9">E8/E23</f>
        <v>7.4406637992203342</v>
      </c>
      <c r="F39" s="210">
        <f t="shared" ca="1" si="9"/>
        <v>6.7357152136387981</v>
      </c>
      <c r="G39" s="210">
        <f t="shared" ca="1" si="9"/>
        <v>5.7683480634721844</v>
      </c>
      <c r="H39" s="210">
        <f t="shared" ca="1" si="9"/>
        <v>4.6794198923306221</v>
      </c>
      <c r="I39" s="210">
        <f t="shared" ca="1" si="9"/>
        <v>3.7214112067600413</v>
      </c>
      <c r="J39" s="210">
        <f t="shared" ca="1" si="9"/>
        <v>2.9402295667875364</v>
      </c>
      <c r="K39" s="210">
        <f t="shared" ca="1" si="9"/>
        <v>2.2279374573135509</v>
      </c>
      <c r="L39" s="210">
        <f t="shared" ca="1" si="9"/>
        <v>1.5529693283079236</v>
      </c>
    </row>
    <row r="40" spans="2:12" x14ac:dyDescent="0.35">
      <c r="B40" s="73" t="s">
        <v>331</v>
      </c>
      <c r="E40" s="211">
        <f t="shared" ref="E40:L40" ca="1" si="10">E10/E23</f>
        <v>7.4406637992203342</v>
      </c>
      <c r="F40" s="210">
        <f t="shared" ca="1" si="10"/>
        <v>6.7357152136387981</v>
      </c>
      <c r="G40" s="210">
        <f t="shared" ca="1" si="10"/>
        <v>5.7683480634721844</v>
      </c>
      <c r="H40" s="210">
        <f t="shared" ca="1" si="10"/>
        <v>4.6794198923306221</v>
      </c>
      <c r="I40" s="210">
        <f t="shared" ca="1" si="10"/>
        <v>3.7214112067600413</v>
      </c>
      <c r="J40" s="210">
        <f t="shared" ca="1" si="10"/>
        <v>2.9402295667875364</v>
      </c>
      <c r="K40" s="210">
        <f t="shared" ca="1" si="10"/>
        <v>2.2279374573135509</v>
      </c>
      <c r="L40" s="210">
        <f t="shared" ca="1" si="10"/>
        <v>1.5529693283079236</v>
      </c>
    </row>
    <row r="41" spans="2:12" x14ac:dyDescent="0.35">
      <c r="B41" s="73" t="s">
        <v>332</v>
      </c>
      <c r="E41" s="211">
        <f t="shared" ref="E41:L41" ca="1" si="11">E12/E23</f>
        <v>7.3877320548814369</v>
      </c>
      <c r="F41" s="210">
        <f t="shared" ca="1" si="11"/>
        <v>6.6873107001436747</v>
      </c>
      <c r="G41" s="210">
        <f t="shared" ca="1" si="11"/>
        <v>5.7247404827611099</v>
      </c>
      <c r="H41" s="210">
        <f t="shared" ca="1" si="11"/>
        <v>4.6413846936138157</v>
      </c>
      <c r="I41" s="210">
        <f t="shared" ca="1" si="11"/>
        <v>3.6876215455820809</v>
      </c>
      <c r="J41" s="210">
        <f t="shared" ca="1" si="11"/>
        <v>2.9093936326739689</v>
      </c>
      <c r="K41" s="210">
        <f t="shared" ca="1" si="11"/>
        <v>2.1996102422426573</v>
      </c>
      <c r="L41" s="210">
        <f t="shared" ca="1" si="11"/>
        <v>1.5270149081595852</v>
      </c>
    </row>
    <row r="42" spans="2:12" x14ac:dyDescent="0.35">
      <c r="E42" s="153"/>
    </row>
    <row r="43" spans="2:12" x14ac:dyDescent="0.35">
      <c r="B43" s="66" t="s">
        <v>333</v>
      </c>
      <c r="E43" s="153"/>
      <c r="F43" s="92">
        <f t="shared" ref="F43:L43" ca="1" si="12">($E$8-F8)/$E$8</f>
        <v>1.0074795683228987E-2</v>
      </c>
      <c r="G43" s="92">
        <f t="shared" ca="1" si="12"/>
        <v>5.8990540653603485E-2</v>
      </c>
      <c r="H43" s="92">
        <f t="shared" ca="1" si="12"/>
        <v>0.12479286040875082</v>
      </c>
      <c r="I43" s="92">
        <f t="shared" ca="1" si="12"/>
        <v>0.2165192170462574</v>
      </c>
      <c r="J43" s="92">
        <f t="shared" ca="1" si="12"/>
        <v>0.32168931867916878</v>
      </c>
      <c r="K43" s="92">
        <f t="shared" ca="1" si="12"/>
        <v>0.44049542799064983</v>
      </c>
      <c r="L43" s="92">
        <f t="shared" ca="1" si="12"/>
        <v>0.57434663394559149</v>
      </c>
    </row>
    <row r="44" spans="2:12" ht="6" customHeight="1" thickBot="1" x14ac:dyDescent="0.4">
      <c r="B44" s="125"/>
      <c r="C44" s="125"/>
      <c r="D44" s="125"/>
      <c r="E44" s="125"/>
      <c r="F44" s="125"/>
      <c r="G44" s="125"/>
      <c r="H44" s="125"/>
      <c r="I44" s="125"/>
      <c r="J44" s="125"/>
      <c r="K44" s="125"/>
      <c r="L44" s="125"/>
    </row>
    <row r="45" spans="2:12" ht="16" thickTop="1" x14ac:dyDescent="0.3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N30"/>
  <sheetViews>
    <sheetView showGridLines="0" zoomScaleNormal="100" workbookViewId="0"/>
  </sheetViews>
  <sheetFormatPr baseColWidth="10" defaultColWidth="9" defaultRowHeight="15.5" x14ac:dyDescent="0.35"/>
  <cols>
    <col min="1" max="1" width="9" style="66"/>
    <col min="2" max="2" width="34.4140625" style="66" bestFit="1" customWidth="1"/>
    <col min="3" max="12" width="13.08203125" style="66" customWidth="1"/>
    <col min="13" max="16384" width="9" style="66"/>
  </cols>
  <sheetData>
    <row r="2" spans="1:14" x14ac:dyDescent="0.35">
      <c r="A2" s="66" t="s">
        <v>31</v>
      </c>
      <c r="B2" s="70" t="s">
        <v>366</v>
      </c>
      <c r="C2" s="70"/>
      <c r="D2" s="70"/>
      <c r="E2" s="70"/>
      <c r="F2" s="70"/>
      <c r="G2" s="70"/>
      <c r="H2" s="70"/>
      <c r="I2" s="70"/>
      <c r="L2" s="71" t="s">
        <v>110</v>
      </c>
    </row>
    <row r="3" spans="1:14" x14ac:dyDescent="0.35">
      <c r="B3" s="66" t="s">
        <v>237</v>
      </c>
      <c r="L3" s="72" t="s">
        <v>130</v>
      </c>
    </row>
    <row r="4" spans="1:14" x14ac:dyDescent="0.35">
      <c r="B4" s="67"/>
      <c r="C4" s="67"/>
      <c r="D4" s="67"/>
      <c r="E4" s="67"/>
      <c r="F4" s="68" t="s">
        <v>128</v>
      </c>
      <c r="G4" s="68"/>
      <c r="H4" s="68"/>
      <c r="I4" s="68"/>
      <c r="J4" s="68"/>
      <c r="K4" s="68"/>
      <c r="L4" s="68"/>
    </row>
    <row r="5" spans="1:14" x14ac:dyDescent="0.35">
      <c r="B5" s="69"/>
      <c r="C5" s="69"/>
      <c r="D5" s="69"/>
      <c r="E5" s="69"/>
      <c r="F5" s="189">
        <f>'Operating Model'!F5</f>
        <v>43096</v>
      </c>
      <c r="G5" s="189">
        <f t="shared" ref="G5:L5" si="0">DATE(YEAR(F5)+1,MONTH(F5),DAY(F5))</f>
        <v>43461</v>
      </c>
      <c r="H5" s="189">
        <f t="shared" si="0"/>
        <v>43826</v>
      </c>
      <c r="I5" s="189">
        <f t="shared" si="0"/>
        <v>44192</v>
      </c>
      <c r="J5" s="189">
        <f t="shared" si="0"/>
        <v>44557</v>
      </c>
      <c r="K5" s="189">
        <f t="shared" si="0"/>
        <v>44922</v>
      </c>
      <c r="L5" s="189">
        <f t="shared" si="0"/>
        <v>45287</v>
      </c>
    </row>
    <row r="6" spans="1:14" x14ac:dyDescent="0.35">
      <c r="F6" s="213">
        <v>1</v>
      </c>
      <c r="G6" s="213">
        <f t="shared" ref="G6:L6" si="1">F6+1</f>
        <v>2</v>
      </c>
      <c r="H6" s="213">
        <f t="shared" si="1"/>
        <v>3</v>
      </c>
      <c r="I6" s="213">
        <f t="shared" si="1"/>
        <v>4</v>
      </c>
      <c r="J6" s="213">
        <f t="shared" si="1"/>
        <v>5</v>
      </c>
      <c r="K6" s="213">
        <f t="shared" si="1"/>
        <v>6</v>
      </c>
      <c r="L6" s="213">
        <f t="shared" si="1"/>
        <v>7</v>
      </c>
    </row>
    <row r="7" spans="1:14" x14ac:dyDescent="0.35">
      <c r="B7" s="66" t="s">
        <v>342</v>
      </c>
      <c r="C7" s="214">
        <f ca="1">'Transaction Summary'!C16</f>
        <v>4534193.2261296343</v>
      </c>
    </row>
    <row r="8" spans="1:14" x14ac:dyDescent="0.35">
      <c r="B8" s="66" t="s">
        <v>343</v>
      </c>
      <c r="C8" s="200">
        <v>1</v>
      </c>
    </row>
    <row r="10" spans="1:14" x14ac:dyDescent="0.35">
      <c r="B10" s="66" t="s">
        <v>111</v>
      </c>
      <c r="F10" s="214">
        <f ca="1">Ratios!F23</f>
        <v>440899.99999999988</v>
      </c>
      <c r="G10" s="214">
        <f ca="1">Ratios!G23</f>
        <v>489400.00000000017</v>
      </c>
      <c r="H10" s="214">
        <f ca="1">Ratios!H23</f>
        <v>561100.00000000023</v>
      </c>
      <c r="I10" s="214">
        <f ca="1">Ratios!I23</f>
        <v>631600.00000000035</v>
      </c>
      <c r="J10" s="214">
        <f ca="1">Ratios!J23</f>
        <v>692100.00000000047</v>
      </c>
      <c r="K10" s="214">
        <f ca="1">Ratios!K23</f>
        <v>753393.86334270786</v>
      </c>
      <c r="L10" s="214">
        <f ca="1">Ratios!L23</f>
        <v>822270.34462822857</v>
      </c>
    </row>
    <row r="12" spans="1:14" x14ac:dyDescent="0.35">
      <c r="B12" s="66" t="s">
        <v>338</v>
      </c>
    </row>
    <row r="13" spans="1:14" x14ac:dyDescent="0.35">
      <c r="C13" s="210">
        <f ca="1">C14-N14</f>
        <v>17.79119658225677</v>
      </c>
      <c r="F13" s="75">
        <f t="shared" ref="F13:L15" ca="1" si="2">F$10*$C13</f>
        <v>7844138.5731170075</v>
      </c>
      <c r="G13" s="75">
        <f t="shared" ca="1" si="2"/>
        <v>8707011.6073564664</v>
      </c>
      <c r="H13" s="75">
        <f t="shared" ca="1" si="2"/>
        <v>9982640.4023042787</v>
      </c>
      <c r="I13" s="75">
        <f t="shared" ca="1" si="2"/>
        <v>11236919.761353383</v>
      </c>
      <c r="J13" s="75">
        <f t="shared" ca="1" si="2"/>
        <v>12313287.154579919</v>
      </c>
      <c r="K13" s="75">
        <f t="shared" ca="1" si="2"/>
        <v>13403778.326596009</v>
      </c>
      <c r="L13" s="75">
        <f t="shared" ca="1" si="2"/>
        <v>14629173.345040837</v>
      </c>
      <c r="N13" s="66" t="s">
        <v>353</v>
      </c>
    </row>
    <row r="14" spans="1:14" x14ac:dyDescent="0.35">
      <c r="C14" s="215">
        <f ca="1">'Transaction Summary'!C56</f>
        <v>18.29119658225677</v>
      </c>
      <c r="F14" s="66">
        <f t="shared" ca="1" si="2"/>
        <v>8064588.5731170075</v>
      </c>
      <c r="G14" s="66">
        <f t="shared" ca="1" si="2"/>
        <v>8951711.6073564664</v>
      </c>
      <c r="H14" s="66">
        <f t="shared" ca="1" si="2"/>
        <v>10263190.402304279</v>
      </c>
      <c r="I14" s="66">
        <f t="shared" ca="1" si="2"/>
        <v>11552719.761353383</v>
      </c>
      <c r="J14" s="66">
        <f t="shared" ca="1" si="2"/>
        <v>12659337.154579919</v>
      </c>
      <c r="K14" s="66">
        <f t="shared" ca="1" si="2"/>
        <v>13780475.258267362</v>
      </c>
      <c r="L14" s="66">
        <f t="shared" ca="1" si="2"/>
        <v>15040308.51735495</v>
      </c>
      <c r="N14" s="66">
        <v>0.5</v>
      </c>
    </row>
    <row r="15" spans="1:14" x14ac:dyDescent="0.35">
      <c r="C15" s="210">
        <f ca="1">C14+N14</f>
        <v>18.79119658225677</v>
      </c>
      <c r="F15" s="66">
        <f t="shared" ca="1" si="2"/>
        <v>8285038.5731170075</v>
      </c>
      <c r="G15" s="66">
        <f t="shared" ca="1" si="2"/>
        <v>9196411.6073564664</v>
      </c>
      <c r="H15" s="66">
        <f t="shared" ca="1" si="2"/>
        <v>10543740.402304279</v>
      </c>
      <c r="I15" s="66">
        <f t="shared" ca="1" si="2"/>
        <v>11868519.761353383</v>
      </c>
      <c r="J15" s="66">
        <f t="shared" ca="1" si="2"/>
        <v>13005387.154579919</v>
      </c>
      <c r="K15" s="66">
        <f t="shared" ca="1" si="2"/>
        <v>14157172.189938717</v>
      </c>
      <c r="L15" s="66">
        <f t="shared" ca="1" si="2"/>
        <v>15451443.689669065</v>
      </c>
    </row>
    <row r="17" spans="2:12" x14ac:dyDescent="0.35">
      <c r="B17" s="66" t="s">
        <v>339</v>
      </c>
      <c r="F17" s="214">
        <f ca="1">-Ratios!F12</f>
        <v>-2948435.2876933455</v>
      </c>
      <c r="G17" s="214">
        <f ca="1">-Ratios!G12</f>
        <v>-2801687.9922632882</v>
      </c>
      <c r="H17" s="214">
        <f ca="1">-Ratios!H12</f>
        <v>-2604280.9515867131</v>
      </c>
      <c r="I17" s="214">
        <f ca="1">-Ratios!I12</f>
        <v>-2329101.7681896435</v>
      </c>
      <c r="J17" s="214">
        <f ca="1">-Ratios!J12</f>
        <v>-2013591.3331736552</v>
      </c>
      <c r="K17" s="214">
        <f ca="1">-Ratios!K12</f>
        <v>-1657172.8582513852</v>
      </c>
      <c r="L17" s="214">
        <f ca="1">-Ratios!L12</f>
        <v>-1255619.0747848249</v>
      </c>
    </row>
    <row r="19" spans="2:12" x14ac:dyDescent="0.35">
      <c r="B19" s="66" t="s">
        <v>340</v>
      </c>
    </row>
    <row r="20" spans="2:12" x14ac:dyDescent="0.35">
      <c r="C20" s="210">
        <f ca="1">C13</f>
        <v>17.79119658225677</v>
      </c>
      <c r="F20" s="75">
        <f ca="1">F13+F$17</f>
        <v>4895703.2854236625</v>
      </c>
      <c r="G20" s="75">
        <f t="shared" ref="G20:L20" ca="1" si="3">G13+G$17</f>
        <v>5905323.6150931781</v>
      </c>
      <c r="H20" s="75">
        <f t="shared" ca="1" si="3"/>
        <v>7378359.4507175656</v>
      </c>
      <c r="I20" s="75">
        <f t="shared" ca="1" si="3"/>
        <v>8907817.9931637384</v>
      </c>
      <c r="J20" s="75">
        <f t="shared" ca="1" si="3"/>
        <v>10299695.821406264</v>
      </c>
      <c r="K20" s="75">
        <f t="shared" ca="1" si="3"/>
        <v>11746605.468344623</v>
      </c>
      <c r="L20" s="75">
        <f t="shared" ca="1" si="3"/>
        <v>13373554.270256013</v>
      </c>
    </row>
    <row r="21" spans="2:12" x14ac:dyDescent="0.35">
      <c r="C21" s="210">
        <f ca="1">C14</f>
        <v>18.29119658225677</v>
      </c>
      <c r="F21" s="75">
        <f t="shared" ref="F21:L21" ca="1" si="4">F14+F$17</f>
        <v>5116153.2854236625</v>
      </c>
      <c r="G21" s="75">
        <f t="shared" ca="1" si="4"/>
        <v>6150023.6150931781</v>
      </c>
      <c r="H21" s="75">
        <f t="shared" ca="1" si="4"/>
        <v>7658909.4507175656</v>
      </c>
      <c r="I21" s="75">
        <f t="shared" ca="1" si="4"/>
        <v>9223617.9931637384</v>
      </c>
      <c r="J21" s="75">
        <f t="shared" ca="1" si="4"/>
        <v>10645745.821406264</v>
      </c>
      <c r="K21" s="75">
        <f t="shared" ca="1" si="4"/>
        <v>12123302.400015976</v>
      </c>
      <c r="L21" s="75">
        <f t="shared" ca="1" si="4"/>
        <v>13784689.442570126</v>
      </c>
    </row>
    <row r="22" spans="2:12" x14ac:dyDescent="0.35">
      <c r="C22" s="210">
        <f ca="1">C15</f>
        <v>18.79119658225677</v>
      </c>
      <c r="F22" s="75">
        <f t="shared" ref="F22:L22" ca="1" si="5">F15+F$17</f>
        <v>5336603.2854236625</v>
      </c>
      <c r="G22" s="75">
        <f t="shared" ca="1" si="5"/>
        <v>6394723.6150931781</v>
      </c>
      <c r="H22" s="75">
        <f t="shared" ca="1" si="5"/>
        <v>7939459.4507175656</v>
      </c>
      <c r="I22" s="75">
        <f t="shared" ca="1" si="5"/>
        <v>9539417.9931637384</v>
      </c>
      <c r="J22" s="75">
        <f t="shared" ca="1" si="5"/>
        <v>10991795.821406264</v>
      </c>
      <c r="K22" s="75">
        <f t="shared" ca="1" si="5"/>
        <v>12499999.331687331</v>
      </c>
      <c r="L22" s="75">
        <f t="shared" ca="1" si="5"/>
        <v>14195824.614884241</v>
      </c>
    </row>
    <row r="24" spans="2:12" x14ac:dyDescent="0.35">
      <c r="B24" s="66" t="s">
        <v>341</v>
      </c>
    </row>
    <row r="25" spans="2:12" x14ac:dyDescent="0.35">
      <c r="C25" s="210">
        <f ca="1">C20</f>
        <v>17.79119658225677</v>
      </c>
      <c r="F25" s="224">
        <f ca="1">RATE(F$6,0,-$C$7,F20*$C$8)</f>
        <v>7.9729742704990905E-2</v>
      </c>
      <c r="G25" s="224">
        <f t="shared" ref="G25:L25" ca="1" si="6">RATE(G$6,0,-$C$7,G20*$C$8)</f>
        <v>0.14122647767885477</v>
      </c>
      <c r="H25" s="224">
        <f t="shared" ca="1" si="6"/>
        <v>0.17621467898837917</v>
      </c>
      <c r="I25" s="224">
        <f t="shared" ca="1" si="6"/>
        <v>0.18390765254211169</v>
      </c>
      <c r="J25" s="224">
        <f t="shared" ca="1" si="6"/>
        <v>0.17832441130380833</v>
      </c>
      <c r="K25" s="224">
        <f t="shared" ca="1" si="6"/>
        <v>0.17193104687922664</v>
      </c>
      <c r="L25" s="224">
        <f t="shared" ca="1" si="6"/>
        <v>0.16709629039889753</v>
      </c>
    </row>
    <row r="26" spans="2:12" x14ac:dyDescent="0.35">
      <c r="C26" s="210">
        <f ca="1">C21</f>
        <v>18.29119658225677</v>
      </c>
      <c r="F26" s="224">
        <f t="shared" ref="F26:L26" ca="1" si="7">RATE(F$6,0,-$C$7,F21*$C$8)</f>
        <v>0.12834919692886271</v>
      </c>
      <c r="G26" s="224">
        <f t="shared" ca="1" si="7"/>
        <v>0.16463109086825622</v>
      </c>
      <c r="H26" s="224">
        <f t="shared" ca="1" si="7"/>
        <v>0.19093749987292674</v>
      </c>
      <c r="I26" s="388">
        <f t="shared" ca="1" si="7"/>
        <v>0.19426394479883979</v>
      </c>
      <c r="J26" s="389">
        <f t="shared" ca="1" si="7"/>
        <v>0.18613798436407236</v>
      </c>
      <c r="K26" s="390">
        <f t="shared" ca="1" si="7"/>
        <v>0.17811264949151828</v>
      </c>
      <c r="L26" s="224">
        <f t="shared" ca="1" si="7"/>
        <v>0.17215563672517029</v>
      </c>
    </row>
    <row r="27" spans="2:12" x14ac:dyDescent="0.35">
      <c r="C27" s="210">
        <f ca="1">C22</f>
        <v>18.79119658225677</v>
      </c>
      <c r="F27" s="224">
        <f t="shared" ref="F27:L27" ca="1" si="8">RATE(F$6,0,-$C$7,F22*$C$8)</f>
        <v>0.17696865115273472</v>
      </c>
      <c r="G27" s="224">
        <f t="shared" ca="1" si="8"/>
        <v>0.18757453756750919</v>
      </c>
      <c r="H27" s="224">
        <f t="shared" ca="1" si="8"/>
        <v>0.20530503395776428</v>
      </c>
      <c r="I27" s="224">
        <f t="shared" ca="1" si="8"/>
        <v>0.20435761723845464</v>
      </c>
      <c r="J27" s="224">
        <f t="shared" ca="1" si="8"/>
        <v>0.19375093774421245</v>
      </c>
      <c r="K27" s="224">
        <f t="shared" ca="1" si="8"/>
        <v>0.18413620804106384</v>
      </c>
      <c r="L27" s="224">
        <f t="shared" ca="1" si="8"/>
        <v>0.17708725489906019</v>
      </c>
    </row>
    <row r="28" spans="2:12" x14ac:dyDescent="0.35">
      <c r="C28" s="210"/>
      <c r="F28" s="92"/>
      <c r="G28" s="92"/>
      <c r="H28" s="92"/>
      <c r="I28" s="92"/>
      <c r="J28" s="92"/>
      <c r="K28" s="92"/>
      <c r="L28" s="92"/>
    </row>
    <row r="29" spans="2:12" ht="5.15" customHeight="1" thickBot="1" x14ac:dyDescent="0.4">
      <c r="B29" s="125"/>
      <c r="C29" s="125"/>
      <c r="D29" s="125"/>
      <c r="E29" s="125"/>
      <c r="F29" s="125"/>
      <c r="G29" s="125"/>
      <c r="H29" s="125"/>
      <c r="I29" s="125"/>
      <c r="J29" s="125"/>
      <c r="K29" s="125"/>
      <c r="L29" s="125"/>
    </row>
    <row r="30" spans="2:12" ht="16" thickTop="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23</vt:i4>
      </vt:variant>
      <vt:variant>
        <vt:lpstr>Rangos con nombre</vt:lpstr>
      </vt:variant>
      <vt:variant>
        <vt:i4>10</vt:i4>
      </vt:variant>
    </vt:vector>
  </HeadingPairs>
  <TitlesOfParts>
    <vt:vector size="33" baseType="lpstr">
      <vt:lpstr>Instructions</vt:lpstr>
      <vt:lpstr>LBO Model --&gt;</vt:lpstr>
      <vt:lpstr>LBO Model</vt:lpstr>
      <vt:lpstr>LBO Summary (no multiple expan)</vt:lpstr>
      <vt:lpstr>LBO Summary (multiple expand)</vt:lpstr>
      <vt:lpstr>LBO Summary (0 premium)</vt:lpstr>
      <vt:lpstr>Current Balance Sheet</vt:lpstr>
      <vt:lpstr>Output</vt:lpstr>
      <vt:lpstr>WACC</vt:lpstr>
      <vt:lpstr>DCF - Base</vt:lpstr>
      <vt:lpstr>APV - Base</vt:lpstr>
      <vt:lpstr>Valuation Chart</vt:lpstr>
      <vt:lpstr>Benchmarking</vt:lpstr>
      <vt:lpstr>Case Data --&gt;</vt:lpstr>
      <vt:lpstr>Exhibits</vt:lpstr>
      <vt:lpstr>Raw SEC Filing</vt:lpstr>
      <vt:lpstr>Teachers Notes --&gt;</vt:lpstr>
      <vt:lpstr>Teachers Output</vt:lpstr>
      <vt:lpstr>Full LBO Model --&gt;</vt:lpstr>
      <vt:lpstr>Transaction Summary</vt:lpstr>
      <vt:lpstr>Operating Model</vt:lpstr>
      <vt:lpstr>Ratios</vt:lpstr>
      <vt:lpstr>Returns</vt:lpstr>
      <vt:lpstr>'LBO Model'!Área_de_impresión</vt:lpstr>
      <vt:lpstr>'Operating Model'!Área_de_impresión</vt:lpstr>
      <vt:lpstr>BaseCase</vt:lpstr>
      <vt:lpstr>DownsideCase</vt:lpstr>
      <vt:lpstr>HighBid</vt:lpstr>
      <vt:lpstr>KLGHighBid</vt:lpstr>
      <vt:lpstr>KLGLowBid</vt:lpstr>
      <vt:lpstr>LowBid</vt:lpstr>
      <vt:lpstr>Unlock</vt:lpstr>
      <vt:lpstr>UpsideCase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Katz</dc:creator>
  <cp:lastModifiedBy>Andres</cp:lastModifiedBy>
  <cp:lastPrinted>2019-02-05T20:18:40Z</cp:lastPrinted>
  <dcterms:created xsi:type="dcterms:W3CDTF">2018-10-20T18:01:24Z</dcterms:created>
  <dcterms:modified xsi:type="dcterms:W3CDTF">2022-06-22T19:06:15Z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Color">
    <vt:lpwstr>False</vt:lpwstr>
  </property>
</Properties>
</file>