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0-AV\UTDT\MFIN\2020 MFIN\Curso FC\FC - TRADICIONAL\4-Capital Structure\Clase\"/>
    </mc:Choice>
  </mc:AlternateContent>
  <xr:revisionPtr revIDLastSave="0" documentId="13_ncr:1_{F729D8A7-E2E2-4FA2-A727-95503CD6D114}" xr6:coauthVersionLast="45" xr6:coauthVersionMax="45" xr10:uidLastSave="{00000000-0000-0000-0000-000000000000}"/>
  <bookViews>
    <workbookView xWindow="-96" yWindow="-96" windowWidth="23232" windowHeight="12552" activeTab="8" xr2:uid="{00000000-000D-0000-FFFF-FFFF00000000}"/>
  </bookViews>
  <sheets>
    <sheet name="Exhibit 1 (Comps)" sheetId="8" r:id="rId1"/>
    <sheet name="Exhibit 2 (Winfield)" sheetId="4" r:id="rId2"/>
    <sheet name="Exhibit 3" sheetId="11" r:id="rId3"/>
    <sheet name="Exhibit 4" sheetId="7" r:id="rId4"/>
    <sheet name="Pro Forma" sheetId="5" r:id="rId5"/>
    <sheet name="Pro Forma Projections" sheetId="12" r:id="rId6"/>
    <sheet name="Bond" sheetId="10" r:id="rId7"/>
    <sheet name="Acquisition" sheetId="9" r:id="rId8"/>
    <sheet name="DCF" sheetId="13" r:id="rId9"/>
    <sheet name="WACC" sheetId="14" r:id="rId10"/>
  </sheets>
  <externalReferences>
    <externalReference r:id="rId11"/>
  </externalReferences>
  <definedNames>
    <definedName name="Acquiror">#REF!</definedName>
    <definedName name="amzn" localSheetId="9">'[1]Comps (Ex12)'!#REF!</definedName>
    <definedName name="amzn">'[1]Comps (Ex12)'!#REF!</definedName>
    <definedName name="_xlnm.Print_Area" localSheetId="8">DCF!$B$1:$N$46</definedName>
    <definedName name="asset_write_up">#REF!</definedName>
    <definedName name="assets_acq">#REF!</definedName>
    <definedName name="assets_adj">#REF!</definedName>
    <definedName name="assets_targ">#REF!</definedName>
    <definedName name="assets_total">#REF!</definedName>
    <definedName name="baseyear">#REF!</definedName>
    <definedName name="book_acq">#REF!</definedName>
    <definedName name="book_new">#REF!</definedName>
    <definedName name="book_targ">#REF!</definedName>
    <definedName name="book_total">#REF!</definedName>
    <definedName name="cap_acq">#REF!</definedName>
    <definedName name="cash_acq">#REF!</definedName>
    <definedName name="cash_per">#REF!</definedName>
    <definedName name="cash_rate">#REF!</definedName>
    <definedName name="cash_targ">#REF!</definedName>
    <definedName name="cash_total">#REF!</definedName>
    <definedName name="date">#REF!</definedName>
    <definedName name="debt_acq">#REF!</definedName>
    <definedName name="debt_adj">#REF!</definedName>
    <definedName name="debt_issue">#REF!</definedName>
    <definedName name="debt_new">#REF!</definedName>
    <definedName name="debt_targ">#REF!</definedName>
    <definedName name="ebdiat_acq">#REF!</definedName>
    <definedName name="ebdiat_targ">#REF!</definedName>
    <definedName name="ebdiat_total">#REF!</definedName>
    <definedName name="ebit_acq">#REF!</definedName>
    <definedName name="ebit_targ">#REF!</definedName>
    <definedName name="ebit_total">#REF!</definedName>
    <definedName name="eps_new1">#REF!</definedName>
    <definedName name="eps_new2">#REF!</definedName>
    <definedName name="eps_new3">#REF!</definedName>
    <definedName name="eps_yr1_acq">#REF!</definedName>
    <definedName name="eps_yr1_targ">#REF!</definedName>
    <definedName name="eps_yr2_acq">#REF!</definedName>
    <definedName name="eps_yr2_targ">#REF!</definedName>
    <definedName name="eps_yr3_acq">#REF!</definedName>
    <definedName name="eps_yr3_targ">#REF!</definedName>
    <definedName name="EQUITY">#REF!</definedName>
    <definedName name="equity_acq">#REF!</definedName>
    <definedName name="equity_targ">#REF!</definedName>
    <definedName name="equity_total">#REF!</definedName>
    <definedName name="exchange">#REF!</definedName>
    <definedName name="fv_acq">#REF!</definedName>
    <definedName name="fv_targ">#REF!</definedName>
    <definedName name="fvcash_acq">#REF!</definedName>
    <definedName name="fvcash_targ">#REF!</definedName>
    <definedName name="gw_adj_1">#REF!</definedName>
    <definedName name="gw_adj_2">#REF!</definedName>
    <definedName name="gw_adj_3">#REF!</definedName>
    <definedName name="gw_new">#REF!</definedName>
    <definedName name="gw_targ">#REF!</definedName>
    <definedName name="gw_target">#REF!</definedName>
    <definedName name="gw_years">#REF!</definedName>
    <definedName name="gwtog">#REF!</definedName>
    <definedName name="int_adj_1">#REF!</definedName>
    <definedName name="int_adj_2">#REF!</definedName>
    <definedName name="int_adj_3">#REF!</definedName>
    <definedName name="ni_acq">#REF!</definedName>
    <definedName name="ni_targ">#REF!</definedName>
    <definedName name="ni_total">#REF!</definedName>
    <definedName name="pref_acq">#REF!</definedName>
    <definedName name="pref_new">#REF!</definedName>
    <definedName name="pref_targ">#REF!</definedName>
    <definedName name="price_acq">#REF!</definedName>
    <definedName name="price_merg">#REF!</definedName>
    <definedName name="price_targ">#REF!</definedName>
    <definedName name="refin_int">#REF!</definedName>
    <definedName name="refin_rate">#REF!</definedName>
    <definedName name="refin_tog">#REF!</definedName>
    <definedName name="rev_acq">#REF!</definedName>
    <definedName name="rev_targ">#REF!</definedName>
    <definedName name="rev_total">#REF!</definedName>
    <definedName name="shos_acq">#REF!</definedName>
    <definedName name="shos_targ">#REF!</definedName>
    <definedName name="syn_adj_1">#REF!</definedName>
    <definedName name="syn_adj_2">#REF!</definedName>
    <definedName name="syn_adj_3">#REF!</definedName>
    <definedName name="Target">#REF!</definedName>
    <definedName name="tax_rate">#REF!</definedName>
    <definedName name="trans_exp">#REF!</definedName>
    <definedName name="transtog">#REF!</definedName>
    <definedName name="VALUATION">#REF!</definedName>
    <definedName name="wacc">#REF!</definedName>
  </definedNames>
  <calcPr calcId="18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6" i="9" l="1"/>
  <c r="C26" i="9"/>
  <c r="P16" i="13" l="1"/>
  <c r="P17" i="13"/>
  <c r="E18" i="12"/>
  <c r="C18" i="12"/>
  <c r="L55" i="13"/>
  <c r="M55" i="13" s="1"/>
  <c r="K55" i="13"/>
  <c r="J55" i="13"/>
  <c r="J68" i="13"/>
  <c r="K68" i="13" s="1"/>
  <c r="L68" i="13" s="1"/>
  <c r="M68" i="13" s="1"/>
  <c r="X11" i="4" l="1"/>
  <c r="E18" i="14"/>
  <c r="J18" i="14" s="1"/>
  <c r="L18" i="14" s="1"/>
  <c r="F11" i="8"/>
  <c r="E24" i="14" s="1"/>
  <c r="H24" i="14" s="1"/>
  <c r="J24" i="14" s="1"/>
  <c r="L24" i="14" s="1"/>
  <c r="M11" i="8"/>
  <c r="E23" i="14" s="1"/>
  <c r="H23" i="14" s="1"/>
  <c r="J23" i="14" s="1"/>
  <c r="L32" i="14"/>
  <c r="I57" i="13"/>
  <c r="J57" i="13" s="1"/>
  <c r="K57" i="13" s="1"/>
  <c r="L57" i="13" s="1"/>
  <c r="M57" i="13" s="1"/>
  <c r="J51" i="13"/>
  <c r="K51" i="13" s="1"/>
  <c r="L51" i="13" s="1"/>
  <c r="M51" i="13" s="1"/>
  <c r="B25" i="13"/>
  <c r="B27" i="13"/>
  <c r="E11" i="14"/>
  <c r="H11" i="14" s="1"/>
  <c r="J11" i="14" s="1"/>
  <c r="L11" i="14" s="1"/>
  <c r="K17" i="4"/>
  <c r="K19" i="4"/>
  <c r="Q15" i="4"/>
  <c r="K18" i="4"/>
  <c r="H12" i="14"/>
  <c r="J12" i="14" s="1"/>
  <c r="L12" i="14" s="1"/>
  <c r="J17" i="14"/>
  <c r="L17" i="14" s="1"/>
  <c r="J15" i="14"/>
  <c r="L15" i="14" s="1"/>
  <c r="H15" i="14"/>
  <c r="E9" i="14"/>
  <c r="E7" i="14" s="1"/>
  <c r="E26" i="14" s="1"/>
  <c r="L9" i="14"/>
  <c r="L7" i="14" s="1"/>
  <c r="L26" i="14" s="1"/>
  <c r="J9" i="14"/>
  <c r="I70" i="13" l="1"/>
  <c r="J70" i="13" s="1"/>
  <c r="K70" i="13" s="1"/>
  <c r="L70" i="13" s="1"/>
  <c r="M70" i="13" s="1"/>
  <c r="H18" i="14"/>
  <c r="L13" i="14"/>
  <c r="J13" i="14"/>
  <c r="E13" i="14"/>
  <c r="H13" i="14"/>
  <c r="E25" i="14"/>
  <c r="H17" i="14"/>
  <c r="L23" i="14"/>
  <c r="J7" i="14"/>
  <c r="J26" i="14" s="1"/>
  <c r="H9" i="14"/>
  <c r="H7" i="14" s="1"/>
  <c r="H26" i="14" s="1"/>
  <c r="H25" i="14" l="1"/>
  <c r="H27" i="14" s="1"/>
  <c r="H16" i="14" s="1"/>
  <c r="J25" i="14"/>
  <c r="E27" i="14"/>
  <c r="E16" i="14" s="1"/>
  <c r="E20" i="14" l="1"/>
  <c r="E29" i="14" s="1"/>
  <c r="H20" i="14"/>
  <c r="H29" i="14" s="1"/>
  <c r="J27" i="14"/>
  <c r="J16" i="14" s="1"/>
  <c r="L25" i="14"/>
  <c r="L27" i="14" s="1"/>
  <c r="L16" i="14" s="1"/>
  <c r="L20" i="14" l="1"/>
  <c r="L29" i="14" s="1"/>
  <c r="J20" i="14"/>
  <c r="J29" i="14" s="1"/>
  <c r="I10" i="13"/>
  <c r="F14" i="13"/>
  <c r="Y11" i="4"/>
  <c r="Y10" i="4"/>
  <c r="Y9" i="4"/>
  <c r="Y8" i="4"/>
  <c r="Y7" i="4"/>
  <c r="Y6" i="4"/>
  <c r="K7" i="13"/>
  <c r="I6" i="13"/>
  <c r="J12" i="13"/>
  <c r="K12" i="13" s="1"/>
  <c r="L12" i="13" s="1"/>
  <c r="M12" i="13" s="1"/>
  <c r="I23" i="13"/>
  <c r="J4" i="13"/>
  <c r="K4" i="13" s="1"/>
  <c r="J3" i="13"/>
  <c r="K3" i="13" s="1"/>
  <c r="L3" i="13" s="1"/>
  <c r="M3" i="13" s="1"/>
  <c r="J6" i="13" l="1"/>
  <c r="J11" i="13" s="1"/>
  <c r="F16" i="13"/>
  <c r="I16" i="13" s="1"/>
  <c r="F17" i="13"/>
  <c r="I17" i="13" s="1"/>
  <c r="F10" i="13"/>
  <c r="I11" i="13"/>
  <c r="L7" i="13"/>
  <c r="I15" i="13"/>
  <c r="K23" i="13"/>
  <c r="L4" i="13"/>
  <c r="J23" i="13"/>
  <c r="I65" i="9"/>
  <c r="I64" i="9"/>
  <c r="I67" i="9" s="1"/>
  <c r="F67" i="9"/>
  <c r="C67" i="9"/>
  <c r="F65" i="9"/>
  <c r="F64" i="9"/>
  <c r="I59" i="9"/>
  <c r="I58" i="9"/>
  <c r="F59" i="9"/>
  <c r="F61" i="9" s="1"/>
  <c r="F58" i="9"/>
  <c r="C65" i="9"/>
  <c r="C61" i="9"/>
  <c r="C64" i="9" s="1"/>
  <c r="C59" i="9"/>
  <c r="C58" i="9"/>
  <c r="H34" i="4"/>
  <c r="E34" i="4"/>
  <c r="D34" i="4"/>
  <c r="C34" i="4"/>
  <c r="K32" i="4"/>
  <c r="K31" i="4"/>
  <c r="K30" i="4"/>
  <c r="K29" i="4"/>
  <c r="K28" i="4"/>
  <c r="K27" i="4"/>
  <c r="I32" i="4"/>
  <c r="I31" i="4"/>
  <c r="I30" i="4"/>
  <c r="I29" i="4"/>
  <c r="I28" i="4"/>
  <c r="I27" i="4"/>
  <c r="H32" i="4"/>
  <c r="H31" i="4"/>
  <c r="H30" i="4"/>
  <c r="H29" i="4"/>
  <c r="H28" i="4"/>
  <c r="H27" i="4"/>
  <c r="F32" i="4"/>
  <c r="F31" i="4"/>
  <c r="F30" i="4"/>
  <c r="F29" i="4"/>
  <c r="F28" i="4"/>
  <c r="F27" i="4"/>
  <c r="E32" i="4"/>
  <c r="E31" i="4"/>
  <c r="E30" i="4"/>
  <c r="E29" i="4"/>
  <c r="E28" i="4"/>
  <c r="E27" i="4"/>
  <c r="D32" i="4"/>
  <c r="D31" i="4"/>
  <c r="D30" i="4"/>
  <c r="D29" i="4"/>
  <c r="D28" i="4"/>
  <c r="D27" i="4"/>
  <c r="C32" i="4"/>
  <c r="C31" i="4"/>
  <c r="C30" i="4"/>
  <c r="C29" i="4"/>
  <c r="C28" i="4"/>
  <c r="C27" i="4"/>
  <c r="G31" i="8"/>
  <c r="G30" i="8"/>
  <c r="G29" i="8"/>
  <c r="G28" i="8"/>
  <c r="G27" i="8"/>
  <c r="G26" i="8"/>
  <c r="F31" i="8"/>
  <c r="F30" i="8"/>
  <c r="F29" i="8"/>
  <c r="F28" i="8"/>
  <c r="F27" i="8"/>
  <c r="F26" i="8"/>
  <c r="E31" i="8"/>
  <c r="D31" i="8"/>
  <c r="E30" i="8"/>
  <c r="E29" i="8"/>
  <c r="E28" i="8"/>
  <c r="E27" i="8"/>
  <c r="E26" i="8"/>
  <c r="D30" i="8"/>
  <c r="D29" i="8"/>
  <c r="D28" i="8"/>
  <c r="D27" i="8"/>
  <c r="D26" i="8"/>
  <c r="K6" i="13" l="1"/>
  <c r="K10" i="13" s="1"/>
  <c r="J10" i="13"/>
  <c r="J8" i="13" s="1"/>
  <c r="M7" i="13"/>
  <c r="J14" i="13"/>
  <c r="I8" i="13"/>
  <c r="I14" i="13"/>
  <c r="L23" i="13"/>
  <c r="M4" i="13"/>
  <c r="M23" i="13" s="1"/>
  <c r="I61" i="9"/>
  <c r="C32" i="11"/>
  <c r="C31" i="11"/>
  <c r="C33" i="11" s="1"/>
  <c r="C34" i="11" s="1"/>
  <c r="C30" i="11"/>
  <c r="W13" i="4"/>
  <c r="V13" i="4"/>
  <c r="U13" i="4"/>
  <c r="V11" i="4"/>
  <c r="W11" i="4"/>
  <c r="L6" i="13" l="1"/>
  <c r="L10" i="13" s="1"/>
  <c r="K11" i="13"/>
  <c r="K8" i="13" s="1"/>
  <c r="J59" i="13"/>
  <c r="I59" i="13"/>
  <c r="I9" i="13"/>
  <c r="J15" i="13"/>
  <c r="J9" i="13"/>
  <c r="U11" i="4"/>
  <c r="U10" i="4"/>
  <c r="U9" i="4"/>
  <c r="U8" i="4"/>
  <c r="U7" i="4"/>
  <c r="U6" i="4"/>
  <c r="L11" i="13" l="1"/>
  <c r="L14" i="13" s="1"/>
  <c r="K14" i="13"/>
  <c r="M6" i="13"/>
  <c r="M11" i="13" s="1"/>
  <c r="J72" i="13"/>
  <c r="J80" i="13" s="1"/>
  <c r="J81" i="13" s="1"/>
  <c r="I72" i="13"/>
  <c r="I80" i="13" s="1"/>
  <c r="I81" i="13" s="1"/>
  <c r="K59" i="13"/>
  <c r="K15" i="13"/>
  <c r="K9" i="13"/>
  <c r="L15" i="13"/>
  <c r="L101" i="5"/>
  <c r="M101" i="5" s="1"/>
  <c r="I45" i="9"/>
  <c r="I7" i="8"/>
  <c r="I6" i="8"/>
  <c r="I5" i="8"/>
  <c r="E12" i="12"/>
  <c r="E11" i="12"/>
  <c r="C13" i="12"/>
  <c r="C12" i="12"/>
  <c r="C11" i="12"/>
  <c r="E7" i="12"/>
  <c r="C7" i="12"/>
  <c r="C6" i="12"/>
  <c r="E6" i="12"/>
  <c r="E47" i="12"/>
  <c r="E45" i="12"/>
  <c r="E44" i="12"/>
  <c r="E41" i="12"/>
  <c r="C56" i="12"/>
  <c r="E55" i="12" s="1"/>
  <c r="G55" i="12" s="1"/>
  <c r="G8" i="12"/>
  <c r="K8" i="12" s="1"/>
  <c r="G7" i="12"/>
  <c r="K7" i="12" s="1"/>
  <c r="G6" i="12"/>
  <c r="K6" i="12" s="1"/>
  <c r="M6" i="12" s="1"/>
  <c r="L56" i="5"/>
  <c r="H101" i="5"/>
  <c r="I101" i="5" s="1"/>
  <c r="L103" i="5"/>
  <c r="L102" i="5" s="1"/>
  <c r="K102" i="5"/>
  <c r="K103" i="5"/>
  <c r="G102" i="5"/>
  <c r="G103" i="5"/>
  <c r="G44" i="12"/>
  <c r="I44" i="12" s="1"/>
  <c r="M44" i="12" s="1"/>
  <c r="G48" i="12"/>
  <c r="K48" i="12" s="1"/>
  <c r="G45" i="12"/>
  <c r="K45" i="12" s="1"/>
  <c r="K51" i="5"/>
  <c r="L51" i="5"/>
  <c r="M50" i="5"/>
  <c r="I50" i="5"/>
  <c r="L50" i="5"/>
  <c r="H50" i="5"/>
  <c r="G51" i="5"/>
  <c r="H53" i="5"/>
  <c r="I53" i="5" s="1"/>
  <c r="L55" i="5"/>
  <c r="L57" i="5" s="1"/>
  <c r="G12" i="12"/>
  <c r="I12" i="12" s="1"/>
  <c r="G11" i="12"/>
  <c r="I11" i="12" s="1"/>
  <c r="G50" i="12"/>
  <c r="K50" i="12" s="1"/>
  <c r="G49" i="12"/>
  <c r="K49" i="12" s="1"/>
  <c r="G47" i="12"/>
  <c r="I47" i="12" s="1"/>
  <c r="M47" i="12" s="1"/>
  <c r="G41" i="12"/>
  <c r="I41" i="12" s="1"/>
  <c r="M41" i="12" s="1"/>
  <c r="E63" i="12"/>
  <c r="G63" i="12" s="1"/>
  <c r="I63" i="12" s="1"/>
  <c r="K63" i="12" s="1"/>
  <c r="M63" i="12" s="1"/>
  <c r="E62" i="12"/>
  <c r="E64" i="12" s="1"/>
  <c r="C62" i="12"/>
  <c r="C64" i="12" s="1"/>
  <c r="E33" i="12"/>
  <c r="C33" i="12"/>
  <c r="E31" i="12"/>
  <c r="C31" i="12"/>
  <c r="C28" i="12" s="1"/>
  <c r="E23" i="12"/>
  <c r="C23" i="12"/>
  <c r="Q11" i="4"/>
  <c r="Q10" i="4"/>
  <c r="Q9" i="4"/>
  <c r="Q8" i="4"/>
  <c r="Q7" i="4"/>
  <c r="Q6" i="4"/>
  <c r="D32" i="10"/>
  <c r="I39" i="9"/>
  <c r="I71" i="9"/>
  <c r="I81" i="9" s="1"/>
  <c r="F71" i="9"/>
  <c r="F81" i="9" s="1"/>
  <c r="C71" i="9"/>
  <c r="C81" i="9" s="1"/>
  <c r="F23" i="9"/>
  <c r="H27" i="5"/>
  <c r="H22" i="5"/>
  <c r="H23" i="5" s="1"/>
  <c r="H25" i="5" s="1"/>
  <c r="G13" i="5"/>
  <c r="G14" i="5"/>
  <c r="G29" i="5"/>
  <c r="C28" i="9"/>
  <c r="I23" i="9"/>
  <c r="O12" i="4"/>
  <c r="O11" i="4"/>
  <c r="O10" i="4"/>
  <c r="O9" i="4"/>
  <c r="O8" i="4"/>
  <c r="O7" i="4"/>
  <c r="L11" i="4"/>
  <c r="L10" i="4"/>
  <c r="L9" i="4"/>
  <c r="L8" i="4"/>
  <c r="L7" i="4"/>
  <c r="G37" i="5"/>
  <c r="K55" i="5"/>
  <c r="K54" i="5"/>
  <c r="M54" i="5" s="1"/>
  <c r="K53" i="5"/>
  <c r="M53" i="5" s="1"/>
  <c r="K52" i="5"/>
  <c r="L39" i="5"/>
  <c r="L41" i="5" s="1"/>
  <c r="I55" i="5"/>
  <c r="I54" i="5"/>
  <c r="M42" i="5"/>
  <c r="M38" i="5"/>
  <c r="K39" i="5"/>
  <c r="K41" i="5" s="1"/>
  <c r="K46" i="5" s="1"/>
  <c r="K37" i="5"/>
  <c r="K35" i="5" s="1"/>
  <c r="K9" i="5"/>
  <c r="M22" i="5"/>
  <c r="G25" i="5"/>
  <c r="G30" i="5"/>
  <c r="I43" i="9"/>
  <c r="I44" i="9"/>
  <c r="F44" i="9"/>
  <c r="C44" i="9"/>
  <c r="F43" i="9"/>
  <c r="C43" i="9"/>
  <c r="F39" i="9"/>
  <c r="C39" i="9"/>
  <c r="I32" i="9"/>
  <c r="F32" i="9"/>
  <c r="C32" i="9"/>
  <c r="C11" i="9"/>
  <c r="F8" i="9"/>
  <c r="C24" i="11"/>
  <c r="C26" i="11" s="1"/>
  <c r="C18" i="11"/>
  <c r="C7" i="11"/>
  <c r="C13" i="11" s="1"/>
  <c r="M10" i="13" l="1"/>
  <c r="M15" i="13" s="1"/>
  <c r="N15" i="13" s="1"/>
  <c r="L8" i="13"/>
  <c r="L59" i="13" s="1"/>
  <c r="K72" i="13"/>
  <c r="K80" i="13" s="1"/>
  <c r="K81" i="13" s="1"/>
  <c r="M14" i="13"/>
  <c r="N14" i="13" s="1"/>
  <c r="N6" i="13"/>
  <c r="I28" i="9"/>
  <c r="M19" i="9"/>
  <c r="C35" i="12"/>
  <c r="E40" i="12"/>
  <c r="C65" i="12"/>
  <c r="C66" i="12"/>
  <c r="E65" i="12"/>
  <c r="E66" i="12" s="1"/>
  <c r="C25" i="12"/>
  <c r="C26" i="12" s="1"/>
  <c r="C27" i="12" s="1"/>
  <c r="K41" i="12"/>
  <c r="K47" i="12"/>
  <c r="K44" i="12"/>
  <c r="K55" i="12"/>
  <c r="C9" i="12"/>
  <c r="K11" i="12"/>
  <c r="M11" i="12" s="1"/>
  <c r="K12" i="12"/>
  <c r="M12" i="12" s="1"/>
  <c r="K9" i="12"/>
  <c r="G9" i="12"/>
  <c r="M7" i="12"/>
  <c r="C14" i="12"/>
  <c r="C69" i="12" s="1"/>
  <c r="I6" i="12"/>
  <c r="E24" i="12"/>
  <c r="M55" i="5"/>
  <c r="E35" i="12"/>
  <c r="C29" i="12"/>
  <c r="E32" i="12"/>
  <c r="C32" i="12"/>
  <c r="E28" i="12"/>
  <c r="E9" i="12"/>
  <c r="K29" i="5"/>
  <c r="K30" i="5" s="1"/>
  <c r="K32" i="5" s="1"/>
  <c r="K13" i="5"/>
  <c r="K14" i="5" s="1"/>
  <c r="K33" i="5" s="1"/>
  <c r="I22" i="5"/>
  <c r="L58" i="5"/>
  <c r="K40" i="5"/>
  <c r="G32" i="5"/>
  <c r="G33" i="5" s="1"/>
  <c r="I11" i="9"/>
  <c r="G11" i="9" s="1"/>
  <c r="C45" i="9"/>
  <c r="D21" i="10"/>
  <c r="M8" i="13" l="1"/>
  <c r="M59" i="13" s="1"/>
  <c r="N10" i="13"/>
  <c r="L72" i="13"/>
  <c r="L80" i="13" s="1"/>
  <c r="L81" i="13" s="1"/>
  <c r="E25" i="12"/>
  <c r="E26" i="12" s="1"/>
  <c r="E27" i="12" s="1"/>
  <c r="C16" i="12"/>
  <c r="C70" i="12" s="1"/>
  <c r="I7" i="12"/>
  <c r="E29" i="12"/>
  <c r="C49" i="9"/>
  <c r="C60" i="9"/>
  <c r="I49" i="9"/>
  <c r="I60" i="9"/>
  <c r="F49" i="9"/>
  <c r="F60" i="9"/>
  <c r="D11" i="9"/>
  <c r="J11" i="9" s="1"/>
  <c r="M72" i="13" l="1"/>
  <c r="M80" i="13" s="1"/>
  <c r="M81" i="13" s="1"/>
  <c r="N11" i="13"/>
  <c r="E16" i="10"/>
  <c r="E13" i="10"/>
  <c r="F13" i="10" s="1"/>
  <c r="G13" i="10" s="1"/>
  <c r="H13" i="10" s="1"/>
  <c r="I13" i="10" s="1"/>
  <c r="J13" i="10" s="1"/>
  <c r="K13" i="10" s="1"/>
  <c r="L13" i="10" s="1"/>
  <c r="M13" i="10" s="1"/>
  <c r="N13" i="10" s="1"/>
  <c r="O13" i="10" s="1"/>
  <c r="P13" i="10" s="1"/>
  <c r="Q13" i="10" s="1"/>
  <c r="R13" i="10" s="1"/>
  <c r="C10" i="10"/>
  <c r="D15" i="10"/>
  <c r="F14" i="10"/>
  <c r="G14" i="10" s="1"/>
  <c r="H14" i="10" s="1"/>
  <c r="I14" i="10" s="1"/>
  <c r="J14" i="10" s="1"/>
  <c r="K14" i="10" s="1"/>
  <c r="L14" i="10" s="1"/>
  <c r="M14" i="10" s="1"/>
  <c r="N14" i="10" s="1"/>
  <c r="O14" i="10" s="1"/>
  <c r="P14" i="10" s="1"/>
  <c r="Q14" i="10" s="1"/>
  <c r="R14" i="10" s="1"/>
  <c r="E14" i="10"/>
  <c r="G35" i="5"/>
  <c r="C60" i="5"/>
  <c r="E59" i="5" s="1"/>
  <c r="E101" i="5"/>
  <c r="E100" i="5"/>
  <c r="C100" i="5"/>
  <c r="C102" i="5" s="1"/>
  <c r="E95" i="5"/>
  <c r="C97" i="5"/>
  <c r="E94" i="5" s="1"/>
  <c r="E97" i="5" s="1"/>
  <c r="E18" i="5" s="1"/>
  <c r="E91" i="5"/>
  <c r="E96" i="5" s="1"/>
  <c r="E52" i="5" s="1"/>
  <c r="C92" i="5"/>
  <c r="E90" i="5" s="1"/>
  <c r="E92" i="5" s="1"/>
  <c r="E21" i="5" s="1"/>
  <c r="C87" i="5"/>
  <c r="E84" i="5" s="1"/>
  <c r="C76" i="5"/>
  <c r="C78" i="5" s="1"/>
  <c r="E78" i="5" s="1"/>
  <c r="E85" i="5"/>
  <c r="E82" i="5"/>
  <c r="C82" i="5"/>
  <c r="E28" i="5"/>
  <c r="E27" i="5"/>
  <c r="C23" i="5"/>
  <c r="E17" i="5"/>
  <c r="C68" i="5"/>
  <c r="E13" i="5"/>
  <c r="E12" i="5"/>
  <c r="E8" i="5"/>
  <c r="C64" i="5"/>
  <c r="E41" i="5"/>
  <c r="E103" i="5" s="1"/>
  <c r="E39" i="5"/>
  <c r="E36" i="5" s="1"/>
  <c r="E35" i="5"/>
  <c r="C39" i="5"/>
  <c r="I42" i="5"/>
  <c r="C41" i="5"/>
  <c r="G39" i="5"/>
  <c r="C35" i="5"/>
  <c r="C65" i="5" s="1"/>
  <c r="C66" i="5" s="1"/>
  <c r="E66" i="5" s="1"/>
  <c r="C15" i="4"/>
  <c r="D15" i="4"/>
  <c r="E15" i="4"/>
  <c r="F15" i="4"/>
  <c r="G15" i="4"/>
  <c r="K15" i="4"/>
  <c r="T15" i="4"/>
  <c r="I15" i="4"/>
  <c r="H15" i="4"/>
  <c r="G14" i="4"/>
  <c r="E14" i="4"/>
  <c r="D14" i="4"/>
  <c r="C14" i="4"/>
  <c r="M12" i="4"/>
  <c r="M11" i="4"/>
  <c r="M10" i="4"/>
  <c r="M9" i="4"/>
  <c r="M8" i="4"/>
  <c r="M7" i="4"/>
  <c r="C30" i="5"/>
  <c r="Q6" i="8"/>
  <c r="L12" i="8"/>
  <c r="K9" i="8"/>
  <c r="L9" i="8" s="1"/>
  <c r="K8" i="8"/>
  <c r="L8" i="8" s="1"/>
  <c r="K7" i="8"/>
  <c r="L7" i="8" s="1"/>
  <c r="K6" i="8"/>
  <c r="L6" i="8" s="1"/>
  <c r="K5" i="8"/>
  <c r="Q5" i="8" s="1"/>
  <c r="E12" i="8"/>
  <c r="P7" i="8"/>
  <c r="P11" i="8" s="1"/>
  <c r="P6" i="8"/>
  <c r="P5" i="8"/>
  <c r="D12" i="8"/>
  <c r="O11" i="8"/>
  <c r="O7" i="8"/>
  <c r="O6" i="8"/>
  <c r="O5" i="8"/>
  <c r="G11" i="8"/>
  <c r="E11" i="8"/>
  <c r="D11" i="8"/>
  <c r="R6" i="5"/>
  <c r="K11" i="4"/>
  <c r="K10" i="4"/>
  <c r="K9" i="4"/>
  <c r="K8" i="4"/>
  <c r="K7" i="4"/>
  <c r="K6" i="4"/>
  <c r="N12" i="4"/>
  <c r="N11" i="4"/>
  <c r="N10" i="4"/>
  <c r="N9" i="4"/>
  <c r="N8" i="4"/>
  <c r="N7" i="4"/>
  <c r="N6" i="4"/>
  <c r="J9" i="8"/>
  <c r="J8" i="8"/>
  <c r="J7" i="8"/>
  <c r="J6" i="8"/>
  <c r="J5" i="8"/>
  <c r="M49" i="12" l="1"/>
  <c r="E32" i="10"/>
  <c r="I49" i="12"/>
  <c r="E21" i="10"/>
  <c r="C23" i="9"/>
  <c r="D23" i="10"/>
  <c r="C43" i="5"/>
  <c r="C103" i="5"/>
  <c r="C104" i="5" s="1"/>
  <c r="E102" i="5"/>
  <c r="E29" i="5" s="1"/>
  <c r="E13" i="12" s="1"/>
  <c r="E14" i="12" s="1"/>
  <c r="L5" i="8"/>
  <c r="L11" i="8" s="1"/>
  <c r="Q7" i="8"/>
  <c r="C66" i="9"/>
  <c r="I66" i="9"/>
  <c r="G48" i="5"/>
  <c r="G49" i="5"/>
  <c r="F85" i="5"/>
  <c r="M59" i="5"/>
  <c r="I59" i="5"/>
  <c r="I18" i="5"/>
  <c r="M18" i="5"/>
  <c r="I12" i="5"/>
  <c r="M12" i="5"/>
  <c r="E49" i="5"/>
  <c r="I13" i="5"/>
  <c r="M13" i="5"/>
  <c r="E65" i="5"/>
  <c r="E64" i="5" s="1"/>
  <c r="C7" i="9"/>
  <c r="M35" i="5"/>
  <c r="K23" i="12" s="1"/>
  <c r="I35" i="5"/>
  <c r="G23" i="12" s="1"/>
  <c r="I17" i="5"/>
  <c r="M17" i="5"/>
  <c r="M36" i="5"/>
  <c r="C8" i="9"/>
  <c r="I36" i="5"/>
  <c r="G28" i="12" s="1"/>
  <c r="E23" i="5"/>
  <c r="M21" i="5"/>
  <c r="M23" i="5" s="1"/>
  <c r="I21" i="5"/>
  <c r="I23" i="5" s="1"/>
  <c r="E43" i="5"/>
  <c r="C9" i="9"/>
  <c r="M41" i="5"/>
  <c r="M43" i="5" s="1"/>
  <c r="M27" i="5"/>
  <c r="I27" i="5"/>
  <c r="I52" i="5"/>
  <c r="M52" i="5"/>
  <c r="M28" i="5"/>
  <c r="I28" i="5"/>
  <c r="K49" i="5"/>
  <c r="G47" i="5"/>
  <c r="K47" i="5" s="1"/>
  <c r="F7" i="9"/>
  <c r="K48" i="5"/>
  <c r="M8" i="5"/>
  <c r="I8" i="5"/>
  <c r="F66" i="9"/>
  <c r="F16" i="10"/>
  <c r="D17" i="10"/>
  <c r="E15" i="10" s="1"/>
  <c r="C72" i="5"/>
  <c r="E37" i="5"/>
  <c r="E86" i="5"/>
  <c r="E47" i="5"/>
  <c r="E69" i="5"/>
  <c r="E46" i="5"/>
  <c r="E40" i="5"/>
  <c r="G40" i="5"/>
  <c r="G41" i="5"/>
  <c r="T6" i="4"/>
  <c r="T8" i="4"/>
  <c r="Q11" i="8"/>
  <c r="G12" i="8" s="1"/>
  <c r="C19" i="5"/>
  <c r="C25" i="5" s="1"/>
  <c r="C32" i="5" s="1"/>
  <c r="C9" i="5"/>
  <c r="C14" i="5" s="1"/>
  <c r="C33" i="5" s="1"/>
  <c r="F9" i="4"/>
  <c r="F8" i="4"/>
  <c r="F7" i="4"/>
  <c r="F6" i="4"/>
  <c r="F12" i="4"/>
  <c r="F11" i="4"/>
  <c r="F10" i="4"/>
  <c r="D6" i="7"/>
  <c r="E7" i="7"/>
  <c r="E8" i="7" s="1"/>
  <c r="E9" i="7" s="1"/>
  <c r="G16" i="10" l="1"/>
  <c r="F21" i="10"/>
  <c r="E16" i="12"/>
  <c r="E70" i="12" s="1"/>
  <c r="E69" i="12"/>
  <c r="K24" i="12"/>
  <c r="M23" i="12"/>
  <c r="M102" i="5"/>
  <c r="E104" i="5"/>
  <c r="E56" i="5"/>
  <c r="M39" i="5"/>
  <c r="M40" i="5" s="1"/>
  <c r="K28" i="12"/>
  <c r="G25" i="12"/>
  <c r="G26" i="12" s="1"/>
  <c r="K26" i="12" s="1"/>
  <c r="I23" i="12"/>
  <c r="G24" i="12"/>
  <c r="G29" i="12"/>
  <c r="E87" i="5"/>
  <c r="F86" i="5"/>
  <c r="E30" i="5"/>
  <c r="G56" i="5"/>
  <c r="G46" i="5"/>
  <c r="F9" i="9"/>
  <c r="I9" i="9" s="1"/>
  <c r="I49" i="5"/>
  <c r="M49" i="5"/>
  <c r="M46" i="5"/>
  <c r="F31" i="9"/>
  <c r="I31" i="9"/>
  <c r="C15" i="9"/>
  <c r="C31" i="9"/>
  <c r="I7" i="9"/>
  <c r="G7" i="9" s="1"/>
  <c r="I47" i="5"/>
  <c r="M47" i="5"/>
  <c r="I8" i="9"/>
  <c r="E17" i="10"/>
  <c r="D18" i="10"/>
  <c r="E11" i="5"/>
  <c r="E76" i="5"/>
  <c r="E7" i="5"/>
  <c r="R12" i="4"/>
  <c r="F14" i="4"/>
  <c r="P12" i="4"/>
  <c r="P10" i="4"/>
  <c r="R10" i="4"/>
  <c r="S10" i="4" s="1"/>
  <c r="T10" i="4"/>
  <c r="P7" i="4"/>
  <c r="R7" i="4"/>
  <c r="S7" i="4" s="1"/>
  <c r="P9" i="4"/>
  <c r="R9" i="4"/>
  <c r="S9" i="4" s="1"/>
  <c r="P11" i="4"/>
  <c r="R11" i="4"/>
  <c r="S11" i="4" s="1"/>
  <c r="S15" i="4" s="1"/>
  <c r="T11" i="4"/>
  <c r="P6" i="4"/>
  <c r="R6" i="4"/>
  <c r="S6" i="4" s="1"/>
  <c r="P8" i="4"/>
  <c r="R8" i="4"/>
  <c r="S8" i="4" s="1"/>
  <c r="T7" i="4"/>
  <c r="T9" i="4"/>
  <c r="F8" i="7"/>
  <c r="D8" i="7"/>
  <c r="D9" i="7" s="1"/>
  <c r="C8" i="7"/>
  <c r="C9" i="7" s="1"/>
  <c r="C10" i="7" s="1"/>
  <c r="C13" i="7" s="1"/>
  <c r="E10" i="7"/>
  <c r="E13" i="7" s="1"/>
  <c r="H16" i="10" l="1"/>
  <c r="G21" i="10"/>
  <c r="F15" i="10"/>
  <c r="I8" i="12"/>
  <c r="I9" i="12" s="1"/>
  <c r="C40" i="9"/>
  <c r="F40" i="9"/>
  <c r="D30" i="10"/>
  <c r="D31" i="10" s="1"/>
  <c r="D33" i="10" s="1"/>
  <c r="H38" i="5"/>
  <c r="I40" i="9"/>
  <c r="D22" i="10"/>
  <c r="D24" i="10" s="1"/>
  <c r="C27" i="9"/>
  <c r="M15" i="9"/>
  <c r="E51" i="12"/>
  <c r="E57" i="5"/>
  <c r="K25" i="12"/>
  <c r="K27" i="12" s="1"/>
  <c r="K29" i="12"/>
  <c r="M100" i="5"/>
  <c r="G27" i="12"/>
  <c r="I28" i="12"/>
  <c r="D8" i="9"/>
  <c r="F76" i="9"/>
  <c r="F83" i="9" s="1"/>
  <c r="C76" i="9"/>
  <c r="I82" i="9"/>
  <c r="C82" i="9"/>
  <c r="F82" i="9"/>
  <c r="I76" i="9"/>
  <c r="G9" i="9"/>
  <c r="D9" i="9"/>
  <c r="D7" i="9"/>
  <c r="J7" i="9" s="1"/>
  <c r="F33" i="9"/>
  <c r="F15" i="9"/>
  <c r="F37" i="9"/>
  <c r="C37" i="9"/>
  <c r="I37" i="9"/>
  <c r="I33" i="9"/>
  <c r="G57" i="5"/>
  <c r="G58" i="5" s="1"/>
  <c r="K56" i="5"/>
  <c r="M7" i="5"/>
  <c r="I7" i="5"/>
  <c r="G8" i="9"/>
  <c r="J8" i="9" s="1"/>
  <c r="C33" i="9"/>
  <c r="M11" i="5"/>
  <c r="I11" i="5"/>
  <c r="E18" i="10"/>
  <c r="F17" i="10"/>
  <c r="G15" i="10" s="1"/>
  <c r="F18" i="10"/>
  <c r="F22" i="10" s="1"/>
  <c r="F24" i="10" s="1"/>
  <c r="D10" i="7"/>
  <c r="D13" i="7" s="1"/>
  <c r="F9" i="7"/>
  <c r="F10" i="7" s="1"/>
  <c r="F13" i="7" s="1"/>
  <c r="C40" i="5"/>
  <c r="C36" i="5"/>
  <c r="I41" i="9" l="1"/>
  <c r="I72" i="9" s="1"/>
  <c r="I73" i="9" s="1"/>
  <c r="J71" i="9" s="1"/>
  <c r="I77" i="9"/>
  <c r="I78" i="9" s="1"/>
  <c r="I16" i="10"/>
  <c r="H21" i="10"/>
  <c r="I38" i="5"/>
  <c r="H39" i="5"/>
  <c r="H41" i="5" s="1"/>
  <c r="K33" i="10"/>
  <c r="N33" i="10" s="1"/>
  <c r="F41" i="9"/>
  <c r="F48" i="9" s="1"/>
  <c r="F50" i="9" s="1"/>
  <c r="F77" i="9"/>
  <c r="E30" i="10"/>
  <c r="E31" i="10" s="1"/>
  <c r="E33" i="10" s="1"/>
  <c r="L33" i="10" s="1"/>
  <c r="O33" i="10" s="1"/>
  <c r="M30" i="12"/>
  <c r="I30" i="12"/>
  <c r="E22" i="10"/>
  <c r="E24" i="10" s="1"/>
  <c r="C77" i="9"/>
  <c r="C78" i="9" s="1"/>
  <c r="C41" i="9"/>
  <c r="H46" i="5" s="1"/>
  <c r="F27" i="9"/>
  <c r="O15" i="9"/>
  <c r="E53" i="12"/>
  <c r="E52" i="12"/>
  <c r="I31" i="12"/>
  <c r="I25" i="12"/>
  <c r="R26" i="12" s="1"/>
  <c r="C83" i="9"/>
  <c r="J9" i="9"/>
  <c r="I83" i="9"/>
  <c r="M56" i="5"/>
  <c r="M57" i="5" s="1"/>
  <c r="K57" i="5"/>
  <c r="K58" i="5" s="1"/>
  <c r="G17" i="10"/>
  <c r="H15" i="10" s="1"/>
  <c r="C37" i="5"/>
  <c r="C69" i="5"/>
  <c r="C70" i="5" s="1"/>
  <c r="E70" i="5" s="1"/>
  <c r="E68" i="5" s="1"/>
  <c r="I39" i="5"/>
  <c r="I40" i="5" s="1"/>
  <c r="F72" i="9" l="1"/>
  <c r="F73" i="9" s="1"/>
  <c r="G72" i="9" s="1"/>
  <c r="L29" i="5"/>
  <c r="I48" i="9"/>
  <c r="I50" i="9" s="1"/>
  <c r="I53" i="9" s="1"/>
  <c r="I54" i="9" s="1"/>
  <c r="C48" i="9"/>
  <c r="C72" i="9"/>
  <c r="C73" i="9" s="1"/>
  <c r="H29" i="5"/>
  <c r="H6" i="5" s="1"/>
  <c r="H9" i="5" s="1"/>
  <c r="H14" i="5" s="1"/>
  <c r="K30" i="12"/>
  <c r="K31" i="12" s="1"/>
  <c r="G30" i="12"/>
  <c r="G31" i="12" s="1"/>
  <c r="H30" i="5"/>
  <c r="H32" i="5" s="1"/>
  <c r="H103" i="5"/>
  <c r="I41" i="5"/>
  <c r="H51" i="5"/>
  <c r="I46" i="5"/>
  <c r="J46" i="5" s="1"/>
  <c r="L30" i="5"/>
  <c r="L32" i="5" s="1"/>
  <c r="L6" i="5"/>
  <c r="L9" i="5" s="1"/>
  <c r="L14" i="5" s="1"/>
  <c r="M29" i="5"/>
  <c r="M30" i="5" s="1"/>
  <c r="F74" i="9" s="1"/>
  <c r="J16" i="10"/>
  <c r="I21" i="10"/>
  <c r="I26" i="12"/>
  <c r="I32" i="12"/>
  <c r="I33" i="12"/>
  <c r="J72" i="9"/>
  <c r="J73" i="9" s="1"/>
  <c r="C50" i="9"/>
  <c r="F51" i="9"/>
  <c r="F53" i="9"/>
  <c r="F54" i="9" s="1"/>
  <c r="M44" i="5"/>
  <c r="G18" i="10"/>
  <c r="G22" i="10" s="1"/>
  <c r="G24" i="10" s="1"/>
  <c r="H17" i="10"/>
  <c r="I15" i="10" s="1"/>
  <c r="E16" i="5"/>
  <c r="E72" i="5"/>
  <c r="E73" i="5" s="1"/>
  <c r="H33" i="5" l="1"/>
  <c r="I29" i="5"/>
  <c r="L33" i="5"/>
  <c r="J21" i="10"/>
  <c r="K16" i="10"/>
  <c r="H102" i="5"/>
  <c r="I103" i="5"/>
  <c r="M103" i="5" s="1"/>
  <c r="M104" i="5" s="1"/>
  <c r="I30" i="5"/>
  <c r="C74" i="9" s="1"/>
  <c r="G13" i="12"/>
  <c r="G71" i="9"/>
  <c r="G73" i="9" s="1"/>
  <c r="G33" i="12"/>
  <c r="I43" i="5"/>
  <c r="K33" i="12"/>
  <c r="J41" i="5"/>
  <c r="G32" i="12"/>
  <c r="K32" i="12"/>
  <c r="K36" i="12"/>
  <c r="I65" i="12"/>
  <c r="I27" i="12"/>
  <c r="M27" i="12" s="1"/>
  <c r="M26" i="12"/>
  <c r="I35" i="12"/>
  <c r="I40" i="12"/>
  <c r="I51" i="12" s="1"/>
  <c r="I64" i="12" s="1"/>
  <c r="I62" i="12" s="1"/>
  <c r="D71" i="9"/>
  <c r="D72" i="9"/>
  <c r="E48" i="5"/>
  <c r="F73" i="5"/>
  <c r="E19" i="5"/>
  <c r="E25" i="5" s="1"/>
  <c r="E32" i="5" s="1"/>
  <c r="I16" i="5"/>
  <c r="M16" i="5"/>
  <c r="M19" i="5" s="1"/>
  <c r="M25" i="5" s="1"/>
  <c r="M32" i="5" s="1"/>
  <c r="I44" i="5"/>
  <c r="C53" i="9"/>
  <c r="C54" i="9" s="1"/>
  <c r="C51" i="9"/>
  <c r="I17" i="10"/>
  <c r="H18" i="10"/>
  <c r="H22" i="10" s="1"/>
  <c r="H24" i="10" s="1"/>
  <c r="G40" i="12" l="1"/>
  <c r="G65" i="12"/>
  <c r="G35" i="12"/>
  <c r="G36" i="12"/>
  <c r="K13" i="12"/>
  <c r="K14" i="12" s="1"/>
  <c r="K16" i="12" s="1"/>
  <c r="G14" i="12"/>
  <c r="G69" i="12" s="1"/>
  <c r="J15" i="10"/>
  <c r="M8" i="12"/>
  <c r="M9" i="12" s="1"/>
  <c r="K65" i="12"/>
  <c r="K35" i="12"/>
  <c r="K40" i="12"/>
  <c r="H56" i="5"/>
  <c r="I102" i="5"/>
  <c r="L16" i="10"/>
  <c r="K21" i="10"/>
  <c r="E51" i="5"/>
  <c r="E58" i="5" s="1"/>
  <c r="E42" i="12"/>
  <c r="M25" i="12"/>
  <c r="I66" i="12"/>
  <c r="I13" i="12"/>
  <c r="I14" i="12" s="1"/>
  <c r="L31" i="10"/>
  <c r="I53" i="12"/>
  <c r="I19" i="5"/>
  <c r="I25" i="5" s="1"/>
  <c r="I32" i="5" s="1"/>
  <c r="D73" i="9"/>
  <c r="I48" i="5"/>
  <c r="I51" i="5" s="1"/>
  <c r="M48" i="5"/>
  <c r="K42" i="12" s="1"/>
  <c r="I18" i="10"/>
  <c r="I22" i="10" s="1"/>
  <c r="I24" i="10" s="1"/>
  <c r="J17" i="10"/>
  <c r="K15" i="10" s="1"/>
  <c r="G16" i="12" l="1"/>
  <c r="G18" i="12" s="1"/>
  <c r="K70" i="12"/>
  <c r="K18" i="12"/>
  <c r="I100" i="5"/>
  <c r="I104" i="5"/>
  <c r="L21" i="10"/>
  <c r="M16" i="10"/>
  <c r="H57" i="5"/>
  <c r="H58" i="5" s="1"/>
  <c r="I56" i="5"/>
  <c r="K69" i="12"/>
  <c r="I16" i="12"/>
  <c r="I69" i="12"/>
  <c r="K43" i="12"/>
  <c r="K46" i="12"/>
  <c r="E46" i="12"/>
  <c r="E54" i="12" s="1"/>
  <c r="E56" i="12" s="1"/>
  <c r="E43" i="12"/>
  <c r="M51" i="5"/>
  <c r="M58" i="5" s="1"/>
  <c r="M60" i="5" s="1"/>
  <c r="G42" i="12"/>
  <c r="E60" i="5"/>
  <c r="E6" i="5" s="1"/>
  <c r="E9" i="5" s="1"/>
  <c r="E14" i="5" s="1"/>
  <c r="E33" i="5" s="1"/>
  <c r="K17" i="10"/>
  <c r="L15" i="10" s="1"/>
  <c r="J18" i="10"/>
  <c r="J22" i="10" s="1"/>
  <c r="J24" i="10" s="1"/>
  <c r="G70" i="12" l="1"/>
  <c r="G17" i="12"/>
  <c r="I70" i="12"/>
  <c r="I18" i="12"/>
  <c r="I57" i="5"/>
  <c r="I58" i="5" s="1"/>
  <c r="I60" i="5" s="1"/>
  <c r="N60" i="5" s="1"/>
  <c r="G51" i="12"/>
  <c r="N16" i="10"/>
  <c r="M21" i="10"/>
  <c r="I6" i="5"/>
  <c r="I9" i="5" s="1"/>
  <c r="I14" i="5" s="1"/>
  <c r="I33" i="5" s="1"/>
  <c r="G46" i="12"/>
  <c r="G43" i="12"/>
  <c r="I43" i="12" s="1"/>
  <c r="M6" i="5"/>
  <c r="M9" i="5" s="1"/>
  <c r="M14" i="5" s="1"/>
  <c r="M33" i="5" s="1"/>
  <c r="K18" i="10"/>
  <c r="K22" i="10" s="1"/>
  <c r="K24" i="10" s="1"/>
  <c r="L17" i="10"/>
  <c r="M15" i="10" s="1"/>
  <c r="O16" i="10" l="1"/>
  <c r="N21" i="10"/>
  <c r="K31" i="10"/>
  <c r="N31" i="10" s="1"/>
  <c r="G52" i="12"/>
  <c r="G64" i="12"/>
  <c r="K51" i="12"/>
  <c r="G53" i="12"/>
  <c r="G54" i="12" s="1"/>
  <c r="G56" i="12" s="1"/>
  <c r="I55" i="12" s="1"/>
  <c r="K30" i="10"/>
  <c r="M17" i="10"/>
  <c r="N15" i="10" s="1"/>
  <c r="L18" i="10"/>
  <c r="L22" i="10" s="1"/>
  <c r="L24" i="10" s="1"/>
  <c r="O21" i="10" l="1"/>
  <c r="P16" i="10"/>
  <c r="K64" i="12"/>
  <c r="K52" i="12"/>
  <c r="K53" i="12"/>
  <c r="K54" i="12" s="1"/>
  <c r="K56" i="12" s="1"/>
  <c r="M55" i="12" s="1"/>
  <c r="G62" i="12"/>
  <c r="G66" i="12"/>
  <c r="K32" i="10"/>
  <c r="N30" i="10"/>
  <c r="M18" i="10"/>
  <c r="M22" i="10" s="1"/>
  <c r="M24" i="10" s="1"/>
  <c r="N17" i="10"/>
  <c r="O15" i="10" s="1"/>
  <c r="K66" i="12" l="1"/>
  <c r="K62" i="12"/>
  <c r="Q16" i="10"/>
  <c r="P21" i="10"/>
  <c r="K34" i="10"/>
  <c r="K35" i="10" s="1"/>
  <c r="N32" i="10"/>
  <c r="N34" i="10" s="1"/>
  <c r="N35" i="10" s="1"/>
  <c r="O17" i="10"/>
  <c r="P15" i="10" s="1"/>
  <c r="N18" i="10"/>
  <c r="N22" i="10" s="1"/>
  <c r="N24" i="10" s="1"/>
  <c r="Q21" i="10" l="1"/>
  <c r="R16" i="10"/>
  <c r="O18" i="10"/>
  <c r="O22" i="10" s="1"/>
  <c r="O24" i="10" s="1"/>
  <c r="P17" i="10"/>
  <c r="Q15" i="10" s="1"/>
  <c r="Q17" i="10" l="1"/>
  <c r="R15" i="10" s="1"/>
  <c r="P18" i="10"/>
  <c r="P22" i="10" s="1"/>
  <c r="P24" i="10" s="1"/>
  <c r="R17" i="10" l="1"/>
  <c r="R21" i="10" s="1"/>
  <c r="Q18" i="10"/>
  <c r="Q22" i="10" s="1"/>
  <c r="Q24" i="10" s="1"/>
  <c r="R18" i="10" l="1"/>
  <c r="R22" i="10" s="1"/>
  <c r="R24" i="10" s="1"/>
  <c r="C25" i="10" s="1"/>
  <c r="M28" i="12"/>
  <c r="M29" i="12" l="1"/>
  <c r="X59" i="12"/>
  <c r="M31" i="12"/>
  <c r="M32" i="12" l="1"/>
  <c r="M33" i="12"/>
  <c r="M65" i="12" l="1"/>
  <c r="M40" i="12"/>
  <c r="M35" i="12"/>
  <c r="X50" i="12" s="1"/>
  <c r="M51" i="12" l="1"/>
  <c r="M64" i="12" l="1"/>
  <c r="O31" i="10"/>
  <c r="M53" i="12"/>
  <c r="M13" i="12"/>
  <c r="M14" i="12" s="1"/>
  <c r="M16" i="12" l="1"/>
  <c r="M69" i="12"/>
  <c r="M62" i="12"/>
  <c r="P50" i="12" s="1"/>
  <c r="M66" i="12"/>
  <c r="M70" i="12" l="1"/>
  <c r="M18" i="12"/>
  <c r="M43" i="12"/>
  <c r="M42" i="12" s="1"/>
  <c r="M46" i="12" s="1"/>
  <c r="I42" i="12"/>
  <c r="I46" i="12" s="1"/>
  <c r="I54" i="12" s="1"/>
  <c r="I56" i="12" l="1"/>
  <c r="O30" i="10"/>
  <c r="O32" i="10" s="1"/>
  <c r="O34" i="10" s="1"/>
  <c r="M54" i="12"/>
  <c r="L30" i="10"/>
  <c r="L32" i="10" s="1"/>
  <c r="L34" i="10" s="1"/>
  <c r="L35" i="10" s="1"/>
  <c r="M56" i="12" l="1"/>
  <c r="X42" i="12" s="1"/>
  <c r="P42" i="12"/>
  <c r="O35" i="10"/>
  <c r="L9" i="13"/>
  <c r="M9" i="13" l="1"/>
  <c r="N8" i="13" s="1"/>
  <c r="L17" i="13"/>
  <c r="J17" i="13" l="1"/>
  <c r="K17" i="13"/>
  <c r="M17" i="13"/>
  <c r="N17" i="13" l="1"/>
  <c r="L16" i="13"/>
  <c r="L18" i="13" s="1"/>
  <c r="I18" i="13"/>
  <c r="I25" i="13" s="1"/>
  <c r="K16" i="13"/>
  <c r="K18" i="13" s="1"/>
  <c r="K25" i="13" l="1"/>
  <c r="K54" i="13"/>
  <c r="L54" i="13"/>
  <c r="L25" i="13"/>
  <c r="L19" i="13"/>
  <c r="M16" i="13"/>
  <c r="I54" i="13"/>
  <c r="J16" i="13"/>
  <c r="J18" i="13" s="1"/>
  <c r="M18" i="13" l="1"/>
  <c r="N16" i="13"/>
  <c r="L67" i="13"/>
  <c r="L69" i="13" s="1"/>
  <c r="L56" i="13"/>
  <c r="K56" i="13"/>
  <c r="K67" i="13"/>
  <c r="K69" i="13" s="1"/>
  <c r="J25" i="13"/>
  <c r="J54" i="13"/>
  <c r="J19" i="13"/>
  <c r="I56" i="13"/>
  <c r="I67" i="13"/>
  <c r="I69" i="13" s="1"/>
  <c r="K19" i="13"/>
  <c r="K73" i="13" l="1"/>
  <c r="K71" i="13"/>
  <c r="K74" i="13" s="1"/>
  <c r="K60" i="13"/>
  <c r="K58" i="13"/>
  <c r="K61" i="13" s="1"/>
  <c r="L58" i="13"/>
  <c r="L61" i="13" s="1"/>
  <c r="L60" i="13"/>
  <c r="J67" i="13"/>
  <c r="J69" i="13" s="1"/>
  <c r="J56" i="13"/>
  <c r="I71" i="13"/>
  <c r="I74" i="13" s="1"/>
  <c r="I73" i="13"/>
  <c r="L73" i="13"/>
  <c r="L71" i="13"/>
  <c r="L74" i="13" s="1"/>
  <c r="I58" i="13"/>
  <c r="I61" i="13" s="1"/>
  <c r="I60" i="13"/>
  <c r="M54" i="13"/>
  <c r="N18" i="13"/>
  <c r="M19" i="13"/>
  <c r="M25" i="13"/>
  <c r="F25" i="13" s="1"/>
  <c r="M21" i="13"/>
  <c r="I76" i="13" l="1"/>
  <c r="I77" i="13"/>
  <c r="I63" i="13"/>
  <c r="I64" i="13"/>
  <c r="F33" i="13"/>
  <c r="M56" i="13"/>
  <c r="M67" i="13"/>
  <c r="M69" i="13" s="1"/>
  <c r="J71" i="13"/>
  <c r="J74" i="13" s="1"/>
  <c r="J73" i="13"/>
  <c r="F47" i="13"/>
  <c r="M27" i="13"/>
  <c r="F27" i="13" s="1"/>
  <c r="F34" i="13" s="1"/>
  <c r="J60" i="13"/>
  <c r="J58" i="13"/>
  <c r="J61" i="13" s="1"/>
  <c r="M71" i="13" l="1"/>
  <c r="M74" i="13" s="1"/>
  <c r="M73" i="13"/>
  <c r="M60" i="13"/>
  <c r="M58" i="13"/>
  <c r="M61" i="13" s="1"/>
  <c r="F29" i="13"/>
  <c r="F35" i="13"/>
  <c r="G33" i="13" s="1"/>
  <c r="G35" i="13" l="1"/>
  <c r="I34" i="13"/>
  <c r="I42" i="13"/>
  <c r="F37" i="13"/>
  <c r="F39" i="13" s="1"/>
  <c r="G34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H29" authorId="0" shapeId="0" xr:uid="{A507F225-AB0D-4965-8D3F-60108A2A47FC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deal expenses: se asume se cargan directamente contra equity en el balance, no en el P&amp;L</t>
        </r>
      </text>
    </comment>
    <comment ref="L29" authorId="0" shapeId="0" xr:uid="{7CA1A57D-A422-47C7-8E68-5F97A55725C1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deal expenses: se asume se cargan directamente contra equity en el balance, no en el P&amp;L</t>
        </r>
      </text>
    </comment>
  </commentList>
</comments>
</file>

<file path=xl/sharedStrings.xml><?xml version="1.0" encoding="utf-8"?>
<sst xmlns="http://schemas.openxmlformats.org/spreadsheetml/2006/main" count="609" uniqueCount="385">
  <si>
    <t>Operating Revenue</t>
  </si>
  <si>
    <t>Income Before Taxes</t>
  </si>
  <si>
    <t>Income After Taxes</t>
  </si>
  <si>
    <t>Dividends Per Share</t>
  </si>
  <si>
    <t>Income Per Share</t>
  </si>
  <si>
    <t>High</t>
  </si>
  <si>
    <t>Low</t>
  </si>
  <si>
    <t>2012E</t>
  </si>
  <si>
    <t>Cash</t>
  </si>
  <si>
    <t>Accounts receivable</t>
  </si>
  <si>
    <t>Prepaid expenses</t>
  </si>
  <si>
    <t>Current assets</t>
  </si>
  <si>
    <t>Net operating property</t>
  </si>
  <si>
    <t>Other assets</t>
  </si>
  <si>
    <t>Total assets</t>
  </si>
  <si>
    <t>Accounts payable</t>
  </si>
  <si>
    <t>Miscellaneous payables and accruals</t>
  </si>
  <si>
    <t>Current liabilities</t>
  </si>
  <si>
    <t>Common stock</t>
  </si>
  <si>
    <t>Paid-in surplus</t>
  </si>
  <si>
    <t>Retained earnings</t>
  </si>
  <si>
    <t>Total liabilities and stockholders equity</t>
  </si>
  <si>
    <t>EBIT</t>
  </si>
  <si>
    <t>Interest</t>
  </si>
  <si>
    <t>Earnings before tax</t>
  </si>
  <si>
    <t>Tax @ 35%</t>
  </si>
  <si>
    <t>After-tax earnings</t>
  </si>
  <si>
    <t>Earnings per share</t>
  </si>
  <si>
    <t>Stock</t>
  </si>
  <si>
    <t>Bond</t>
  </si>
  <si>
    <t>Shares outstanding (millions)</t>
  </si>
  <si>
    <t>EBIT = $24.35M</t>
  </si>
  <si>
    <t>Thousands of dollars except outstanding shares and per-share data</t>
  </si>
  <si>
    <t>Thousands of dollars except per-share data</t>
  </si>
  <si>
    <t xml:space="preserve">Thousands of dollars </t>
  </si>
  <si>
    <t>EBIT = $66.0M</t>
  </si>
  <si>
    <t>Capital leases</t>
  </si>
  <si>
    <t>Long-term liabilities and equity</t>
  </si>
  <si>
    <t>Current portion, capital lease</t>
  </si>
  <si>
    <t>Exhibit 1 - Financial data of select waste industry companies</t>
  </si>
  <si>
    <t>Long-Term Debt to Equity</t>
  </si>
  <si>
    <r>
      <t xml:space="preserve">Market Cap. </t>
    </r>
    <r>
      <rPr>
        <i/>
        <sz val="10"/>
        <color theme="0"/>
        <rFont val="Arial"/>
        <family val="2"/>
      </rPr>
      <t>(billions)</t>
    </r>
  </si>
  <si>
    <t>NA</t>
  </si>
  <si>
    <t>Return on Avg Equity</t>
  </si>
  <si>
    <t>Q2 2012 data, except where noted</t>
  </si>
  <si>
    <t>Waste Management</t>
  </si>
  <si>
    <t>Republic Services</t>
  </si>
  <si>
    <t>Waste Connections</t>
  </si>
  <si>
    <t>Progressive Waste Solutions</t>
  </si>
  <si>
    <t>Casella Waste Systems</t>
  </si>
  <si>
    <t>Operating Margin, 2011</t>
  </si>
  <si>
    <t>Exhibit 4 - Post-acquisition EBIT chart data</t>
  </si>
  <si>
    <t>Price-Earnings Ratio</t>
  </si>
  <si>
    <t>Goodwill</t>
  </si>
  <si>
    <t>Exhibit 2 - Winfield Inc, income, dividend, and stock price data</t>
  </si>
  <si>
    <t>Exhibit 3 - Winfield Inc, summary balance sheet</t>
  </si>
  <si>
    <t>P&amp;L</t>
  </si>
  <si>
    <t>Balance Sheet</t>
  </si>
  <si>
    <t>Cash Flow</t>
  </si>
  <si>
    <t>Capex</t>
  </si>
  <si>
    <t>Debt</t>
  </si>
  <si>
    <t>Pre-tax</t>
  </si>
  <si>
    <t>Margin</t>
  </si>
  <si>
    <t>Dividend</t>
  </si>
  <si>
    <t># Shares</t>
  </si>
  <si>
    <t>Outstanding</t>
  </si>
  <si>
    <t>Avg</t>
  </si>
  <si>
    <t>Mkt Cap</t>
  </si>
  <si>
    <t>Cash required for 3 months of operating expenses</t>
  </si>
  <si>
    <t>P/E</t>
  </si>
  <si>
    <t>Debt/
Total Cap</t>
  </si>
  <si>
    <t>Total</t>
  </si>
  <si>
    <t>Total 
Capital</t>
  </si>
  <si>
    <t>Average</t>
  </si>
  <si>
    <t>Weighted average</t>
  </si>
  <si>
    <t>Non-current liabilities</t>
  </si>
  <si>
    <t>Stockholders' equity</t>
  </si>
  <si>
    <t>Total liabilities</t>
  </si>
  <si>
    <t>Revenue</t>
  </si>
  <si>
    <t>Growth</t>
  </si>
  <si>
    <t>CAGR 06-12</t>
  </si>
  <si>
    <t>CAGR 06-11</t>
  </si>
  <si>
    <t>Pro Forma</t>
  </si>
  <si>
    <t>Debt Issuance</t>
  </si>
  <si>
    <t>Equity Issuance</t>
  </si>
  <si>
    <t>New debt issuance</t>
  </si>
  <si>
    <t>Pre-Tax</t>
  </si>
  <si>
    <t>Net income</t>
  </si>
  <si>
    <t># shares outstanding</t>
  </si>
  <si>
    <t>EPS</t>
  </si>
  <si>
    <t>Transaction</t>
  </si>
  <si>
    <t>MPIS</t>
  </si>
  <si>
    <t>Pro Forma Analysis</t>
  </si>
  <si>
    <t>(In thousands of dollars)</t>
  </si>
  <si>
    <t>Total liabilities + equity</t>
  </si>
  <si>
    <t>Miscellaneous payables &amp; accruals</t>
  </si>
  <si>
    <t>EBIT margin %</t>
  </si>
  <si>
    <t>Interest expense</t>
  </si>
  <si>
    <t>Pre-tax margin %</t>
  </si>
  <si>
    <t>Working Capital</t>
  </si>
  <si>
    <t>DSO</t>
  </si>
  <si>
    <t>Operating costs</t>
  </si>
  <si>
    <t>DPO</t>
  </si>
  <si>
    <t>Oper. costs (excl. capital lease charge)</t>
  </si>
  <si>
    <t>Useful life -Years - (assumption)</t>
  </si>
  <si>
    <t>Depreciation expense - existing PP&amp;E</t>
  </si>
  <si>
    <t>PP&amp;E - balance</t>
  </si>
  <si>
    <t>Capex (assumption)</t>
  </si>
  <si>
    <t>Depreciation expense - Capex</t>
  </si>
  <si>
    <t>Plus: Depreciation expense</t>
  </si>
  <si>
    <t>Less: Changes in working capital</t>
  </si>
  <si>
    <t>Less: Capex</t>
  </si>
  <si>
    <t>Plus: Capex</t>
  </si>
  <si>
    <t>Less: Depreciation</t>
  </si>
  <si>
    <t>PP&amp;E - beginning balance</t>
  </si>
  <si>
    <t>PP&amp;E - ending balance</t>
  </si>
  <si>
    <t>Working capital</t>
  </si>
  <si>
    <t>Change in working capital</t>
  </si>
  <si>
    <t>Less: Reclassification to current</t>
  </si>
  <si>
    <t>Non-current capital lease - beginning balance</t>
  </si>
  <si>
    <t>Non-curr. capital lease - ending balance</t>
  </si>
  <si>
    <t>Plus: Reclassification to current</t>
  </si>
  <si>
    <t>Less: Payment of capital lease</t>
  </si>
  <si>
    <t>Cash flow from operations</t>
  </si>
  <si>
    <t>New debt raises</t>
  </si>
  <si>
    <t>Capital lease payments</t>
  </si>
  <si>
    <t>New debt repayments</t>
  </si>
  <si>
    <t>New equity capital raises</t>
  </si>
  <si>
    <t>Dividends</t>
  </si>
  <si>
    <t>Cash flow from financings</t>
  </si>
  <si>
    <t>Capital lease</t>
  </si>
  <si>
    <t>Current capital lease - beginning balance</t>
  </si>
  <si>
    <t>Current capital lease - ending balance</t>
  </si>
  <si>
    <t>Dividend per share</t>
  </si>
  <si>
    <t>Dividend payments</t>
  </si>
  <si>
    <t>Net cash flow</t>
  </si>
  <si>
    <t>Beginning cash balance</t>
  </si>
  <si>
    <t>Ending cash balance</t>
  </si>
  <si>
    <t>Dividend pay-out %</t>
  </si>
  <si>
    <t>Bond issue amount</t>
  </si>
  <si>
    <t>Bond beginning balance</t>
  </si>
  <si>
    <t>Bond ending balance</t>
  </si>
  <si>
    <t>Annual interest rate</t>
  </si>
  <si>
    <t>Bank fees</t>
  </si>
  <si>
    <t>Deal expenses</t>
  </si>
  <si>
    <t>Annual principal repayments</t>
  </si>
  <si>
    <t>Maturity (Years)</t>
  </si>
  <si>
    <t>Bank fee %</t>
  </si>
  <si>
    <t>Interest payments</t>
  </si>
  <si>
    <t>Minus: Annual principal repayments</t>
  </si>
  <si>
    <t>Bond cash flows</t>
  </si>
  <si>
    <t>Principal grace period (Years)</t>
  </si>
  <si>
    <t>Principal</t>
  </si>
  <si>
    <t>Total Bond cash flow</t>
  </si>
  <si>
    <t>TIR</t>
  </si>
  <si>
    <t>Fees &amp; expenses</t>
  </si>
  <si>
    <t>Bond issuance - Calculations</t>
  </si>
  <si>
    <t>MPIS acquisition</t>
  </si>
  <si>
    <t>(In thousands of dollars, except outstanding shares and per-share data)</t>
  </si>
  <si>
    <t>Contribution analysis</t>
  </si>
  <si>
    <t>Winfield</t>
  </si>
  <si>
    <t>Net Income</t>
  </si>
  <si>
    <t>Equity value</t>
  </si>
  <si>
    <t>Price per share</t>
  </si>
  <si>
    <t>Price-to-Earnings Ratio</t>
  </si>
  <si>
    <t>EPS accretion-dilution analysis</t>
  </si>
  <si>
    <t>Equity</t>
  </si>
  <si>
    <t>Mix</t>
  </si>
  <si>
    <t>Net Income 2012E</t>
  </si>
  <si>
    <t>Financing method</t>
  </si>
  <si>
    <t>Equity - stock</t>
  </si>
  <si>
    <t>Income tax shield (@35%)</t>
  </si>
  <si>
    <t># of new shares issued</t>
  </si>
  <si>
    <t>Winfield stock price</t>
  </si>
  <si>
    <t>EPS accretion/(dilution) per share</t>
  </si>
  <si>
    <t>EPS accretion/(dilution) %</t>
  </si>
  <si>
    <t>ROE</t>
  </si>
  <si>
    <t>Debt cost (after-tax)</t>
  </si>
  <si>
    <t>MPIS results</t>
  </si>
  <si>
    <t>MPIS Net Income</t>
  </si>
  <si>
    <t>Ownership dilution</t>
  </si>
  <si>
    <t>Credit impact</t>
  </si>
  <si>
    <t>MPIS stockholders</t>
  </si>
  <si>
    <t>Financial debt</t>
  </si>
  <si>
    <t>Total capitalization</t>
  </si>
  <si>
    <t>Interest coverage</t>
  </si>
  <si>
    <t>Shares outstanding</t>
  </si>
  <si>
    <t>Total shares outstanding</t>
  </si>
  <si>
    <t>% Ownership</t>
  </si>
  <si>
    <t>Equity (book)</t>
  </si>
  <si>
    <t>Acquisition - stock issuance amount</t>
  </si>
  <si>
    <t>Acquisition - debt issuance amount</t>
  </si>
  <si>
    <t>NM</t>
  </si>
  <si>
    <t>EBITDA</t>
  </si>
  <si>
    <t>check</t>
  </si>
  <si>
    <t>% Revenue</t>
  </si>
  <si>
    <t>Var. %</t>
  </si>
  <si>
    <t>Growth %</t>
  </si>
  <si>
    <t>Leverage %</t>
  </si>
  <si>
    <t>Debt/EBITDA</t>
  </si>
  <si>
    <t>2013E</t>
  </si>
  <si>
    <t>Interest payment</t>
  </si>
  <si>
    <t>Principal repayment</t>
  </si>
  <si>
    <t>Cash Flows - Do They Cover Debt Service?</t>
  </si>
  <si>
    <t>Yield %</t>
  </si>
  <si>
    <t>Pay-out %</t>
  </si>
  <si>
    <t>Pro Forma - Winfield + MPIS</t>
  </si>
  <si>
    <t>Revenue growth %</t>
  </si>
  <si>
    <t>Less: Acquisitions</t>
  </si>
  <si>
    <t xml:space="preserve">          Changes in working capital % of revenue</t>
  </si>
  <si>
    <t xml:space="preserve">          Dividend pay-out ratio %</t>
  </si>
  <si>
    <t>Tax shield on interest expense</t>
  </si>
  <si>
    <t>Total Debt payments</t>
  </si>
  <si>
    <t>Cash Flows</t>
  </si>
  <si>
    <t>Debt payments</t>
  </si>
  <si>
    <t>Cash Flow Before Debt</t>
  </si>
  <si>
    <t>C. flow operations - Excl. Interest</t>
  </si>
  <si>
    <t>C. Flows financing - Ex. Debt Repay</t>
  </si>
  <si>
    <t>Base Case</t>
  </si>
  <si>
    <t>Capitalization</t>
  </si>
  <si>
    <t>Total debt</t>
  </si>
  <si>
    <t>Total debt + equity</t>
  </si>
  <si>
    <t>Sensitivity Case (2013E)</t>
  </si>
  <si>
    <t>Sensitivity Case ('13E)</t>
  </si>
  <si>
    <t xml:space="preserve">    Fixed operating costs</t>
  </si>
  <si>
    <t xml:space="preserve">    Variable operating costs</t>
  </si>
  <si>
    <t>ver cuanto es el pay out con 1.00 dividend per share (tope 80% pay out)</t>
  </si>
  <si>
    <t>Sensitivity Tables</t>
  </si>
  <si>
    <t>2013E Net Cash Flow</t>
  </si>
  <si>
    <t>2013E Dividend per Share</t>
  </si>
  <si>
    <t>2013E Cash Balance</t>
  </si>
  <si>
    <t>2013E Earnings per Share</t>
  </si>
  <si>
    <t>el EPS variaria con los diferentes pay outs si ganara intereses sobre</t>
  </si>
  <si>
    <t>los saldos de caja</t>
  </si>
  <si>
    <t>2013E EBIT</t>
  </si>
  <si>
    <t>ROA</t>
  </si>
  <si>
    <t>ROE 
(market)</t>
  </si>
  <si>
    <t>(market)</t>
  </si>
  <si>
    <t>(book)</t>
  </si>
  <si>
    <t>Mkt/Book Equity</t>
  </si>
  <si>
    <t>Estimates 2010</t>
  </si>
  <si>
    <t>Equity 2011</t>
  </si>
  <si>
    <t>(+) Dividends 2011</t>
  </si>
  <si>
    <t>(-) Net Income 2011</t>
  </si>
  <si>
    <t>Equity 2010</t>
  </si>
  <si>
    <t>Assets 2010</t>
  </si>
  <si>
    <t>Equity 2011:</t>
  </si>
  <si>
    <t>ROIC</t>
  </si>
  <si>
    <t>chart 1</t>
  </si>
  <si>
    <t>Market Cap</t>
  </si>
  <si>
    <t>Waste Mgmt</t>
  </si>
  <si>
    <t>Republic Svcs</t>
  </si>
  <si>
    <t>Waste Conn.</t>
  </si>
  <si>
    <t>Progressive Waste</t>
  </si>
  <si>
    <t>Casella Waste</t>
  </si>
  <si>
    <t>chart 2</t>
  </si>
  <si>
    <t>chart 3</t>
  </si>
  <si>
    <t>chart 4</t>
  </si>
  <si>
    <t>Debt/Cap</t>
  </si>
  <si>
    <t>Dividend Pay-out</t>
  </si>
  <si>
    <t>chart 5</t>
  </si>
  <si>
    <t>chart 6</t>
  </si>
  <si>
    <t>chart 7</t>
  </si>
  <si>
    <t>CAGR</t>
  </si>
  <si>
    <t>ROE MPIS</t>
  </si>
  <si>
    <t>ROE Winfield</t>
  </si>
  <si>
    <t>Kd Winfield</t>
  </si>
  <si>
    <t>Winfield Family &amp; Mgmt</t>
  </si>
  <si>
    <t>Winfield Minority Owners/Float</t>
  </si>
  <si>
    <t>Key Debt Terms</t>
  </si>
  <si>
    <t>Bond cash flow projections</t>
  </si>
  <si>
    <t>Dividend Pay-out %</t>
  </si>
  <si>
    <t>Revenue Growth 2013E</t>
  </si>
  <si>
    <t>de costos</t>
  </si>
  <si>
    <t>sinergia --&gt;</t>
  </si>
  <si>
    <t>mejora de margen</t>
  </si>
  <si>
    <t>Projected</t>
  </si>
  <si>
    <t xml:space="preserve">   % Growth Y-o-Y</t>
  </si>
  <si>
    <t xml:space="preserve">   % EBITDA Margin</t>
  </si>
  <si>
    <t>D&amp;A</t>
  </si>
  <si>
    <t>ventas</t>
  </si>
  <si>
    <t>Less: Taxes</t>
  </si>
  <si>
    <t>tax rate</t>
  </si>
  <si>
    <t>Plus: Depreciation</t>
  </si>
  <si>
    <t>Free Cash Flow (FCFF)</t>
  </si>
  <si>
    <t>Terminal Value (TV)</t>
  </si>
  <si>
    <t>Terminal Value =</t>
  </si>
  <si>
    <t>Discount factor</t>
  </si>
  <si>
    <t>PV of Terminal Value =</t>
  </si>
  <si>
    <t>DCF SUMMARY</t>
  </si>
  <si>
    <t>FCF ……...…………………………………………………………………..</t>
  </si>
  <si>
    <t>Long-term FCF Growth ("g")</t>
  </si>
  <si>
    <t>TV ……...…………………………………………………………………….</t>
  </si>
  <si>
    <t>WACC</t>
  </si>
  <si>
    <t>Annual Revenue Growth (%)</t>
  </si>
  <si>
    <t>VALUATION ASSUMPTIONS</t>
  </si>
  <si>
    <t>WACC ………………………………………………………………………………….</t>
  </si>
  <si>
    <t>g  ………………………………………………………………………………….</t>
  </si>
  <si>
    <t>'12-'16</t>
  </si>
  <si>
    <t xml:space="preserve">   % EBIT Margin</t>
  </si>
  <si>
    <t>Market Price Per Share</t>
  </si>
  <si>
    <t>Tax</t>
  </si>
  <si>
    <t>Rate</t>
  </si>
  <si>
    <t xml:space="preserve">NA  </t>
  </si>
  <si>
    <t>EBIT Margin (%)</t>
  </si>
  <si>
    <t>ANALISIS DE SENSIBILIDAD</t>
  </si>
  <si>
    <t>Implied P/E Exit Multiple …………………………….</t>
  </si>
  <si>
    <t>Less: Capital Expenditures</t>
  </si>
  <si>
    <t>Less: Change in Working Capital</t>
  </si>
  <si>
    <t>Beta</t>
  </si>
  <si>
    <t>WACC Analysis</t>
  </si>
  <si>
    <t>Comments / assumptions</t>
  </si>
  <si>
    <t>CAPITAL STRUCTURE</t>
  </si>
  <si>
    <t>D/E Target</t>
  </si>
  <si>
    <t>% Debt</t>
  </si>
  <si>
    <t>% Equity</t>
  </si>
  <si>
    <t>COST OF DEBT 
("Kd")</t>
  </si>
  <si>
    <t>Kd pre-tax</t>
  </si>
  <si>
    <t xml:space="preserve">Tax rate </t>
  </si>
  <si>
    <t>Kd after-tax</t>
  </si>
  <si>
    <t>COST OF EQUITY
("Ke")</t>
  </si>
  <si>
    <t>US Treasury (10 Yr)</t>
  </si>
  <si>
    <t>From "Beta Estimates" calculations below</t>
  </si>
  <si>
    <t>Ke</t>
  </si>
  <si>
    <t>Beta Estimates</t>
  </si>
  <si>
    <t>Beta Levered (Comps)</t>
  </si>
  <si>
    <t>D/E (Comps)</t>
  </si>
  <si>
    <r>
      <t>Beta Unevered (</t>
    </r>
    <r>
      <rPr>
        <sz val="10"/>
        <rFont val="Symbol"/>
        <family val="1"/>
        <charset val="2"/>
      </rPr>
      <t>b</t>
    </r>
    <r>
      <rPr>
        <sz val="10"/>
        <rFont val="Calibri"/>
        <family val="2"/>
      </rPr>
      <t>u)</t>
    </r>
  </si>
  <si>
    <r>
      <t>b</t>
    </r>
    <r>
      <rPr>
        <sz val="10"/>
        <rFont val="Calibri"/>
        <family val="2"/>
      </rPr>
      <t xml:space="preserve">u = </t>
    </r>
    <r>
      <rPr>
        <sz val="10"/>
        <rFont val="Symbol"/>
        <family val="1"/>
        <charset val="2"/>
      </rPr>
      <t>b</t>
    </r>
    <r>
      <rPr>
        <sz val="10"/>
        <rFont val="Calibri"/>
        <family val="2"/>
      </rPr>
      <t>e / [1 + ( (1 - tx %) x D/E)]</t>
    </r>
  </si>
  <si>
    <t>Target D/E</t>
  </si>
  <si>
    <t>From row "D/E Target"</t>
  </si>
  <si>
    <r>
      <t>Beta Re-levered (</t>
    </r>
    <r>
      <rPr>
        <b/>
        <sz val="10"/>
        <rFont val="Symbol"/>
        <family val="1"/>
        <charset val="2"/>
      </rPr>
      <t>b</t>
    </r>
    <r>
      <rPr>
        <b/>
        <sz val="10"/>
        <rFont val="Calibri"/>
        <family val="2"/>
      </rPr>
      <t>e)</t>
    </r>
  </si>
  <si>
    <r>
      <t>b</t>
    </r>
    <r>
      <rPr>
        <sz val="10"/>
        <rFont val="Calibri"/>
        <family val="2"/>
      </rPr>
      <t xml:space="preserve">e = </t>
    </r>
    <r>
      <rPr>
        <sz val="10"/>
        <rFont val="Symbol"/>
        <family val="1"/>
        <charset val="2"/>
      </rPr>
      <t>b</t>
    </r>
    <r>
      <rPr>
        <sz val="10"/>
        <rFont val="Calibri"/>
        <family val="2"/>
      </rPr>
      <t>u x [1 + ( (1 - tx %)  x D/E)]</t>
    </r>
  </si>
  <si>
    <t>NO DEBT</t>
  </si>
  <si>
    <t>CURRENT</t>
  </si>
  <si>
    <t>LEVERAGE SCENARIOS</t>
  </si>
  <si>
    <t>Shareholder Return Avg 2006-2011</t>
  </si>
  <si>
    <t>Stock Appreciation (5-Yr CAGR)</t>
  </si>
  <si>
    <t>average</t>
  </si>
  <si>
    <t>Dividend Yield Avg 2006-2011</t>
  </si>
  <si>
    <t>Implied income tax rate</t>
  </si>
  <si>
    <t>Debt cost for MPIS acquisition. Add 50 BP with higher leverage</t>
  </si>
  <si>
    <t>Based on target capital structure, credit analysis &amp; comparables</t>
  </si>
  <si>
    <t>P/E Deal Multiple (2012E) …………………………….</t>
  </si>
  <si>
    <t>Net Debt …..................................................</t>
  </si>
  <si>
    <t>Firm Value …...........……...…………………………………………………………..</t>
  </si>
  <si>
    <t>Equity Value …...........……...…………………………………………………………..</t>
  </si>
  <si>
    <t>FCFF …....................................................................................................................................................................................................</t>
  </si>
  <si>
    <t>Required Interest Coverage (FCFF/Interest) ….............................................................................</t>
  </si>
  <si>
    <t>Annual Interest Expense Afforded by FCFF ….............................................................</t>
  </si>
  <si>
    <t>Annual Interest Rate (Winfield + 50 BP) …..................................................................................................</t>
  </si>
  <si>
    <t>Debt That Can Be Raised …..................................................................................................</t>
  </si>
  <si>
    <t>"BASE CASE"</t>
  </si>
  <si>
    <t>Capital Structure Assumption for MPIS WACC Analysis</t>
  </si>
  <si>
    <t>LOW LEVERAGE</t>
  </si>
  <si>
    <t>HIGH LEVERAGE</t>
  </si>
  <si>
    <t>ERP Assumption</t>
  </si>
  <si>
    <t>Retorno accionista</t>
  </si>
  <si>
    <t>Equity Risk Premium - Stock Market</t>
  </si>
  <si>
    <t>Additional risk premium for private company</t>
  </si>
  <si>
    <t>10-Year US T-Bond Rate (End of 1Q 2012)</t>
  </si>
  <si>
    <t>Addit. Risk Premium - Private Market</t>
  </si>
  <si>
    <t>COMPS 
AVERAGE</t>
  </si>
  <si>
    <t>Comps average from Exhibit 1</t>
  </si>
  <si>
    <t>Implied "Covenant" Interest Coverage (EBITDA/Interest) ….............................................................................</t>
  </si>
  <si>
    <t>Calculo</t>
  </si>
  <si>
    <t>Reduccion EBITDA pre-tax</t>
  </si>
  <si>
    <t>Reduccion EBITDA after-tax</t>
  </si>
  <si>
    <t>Minimum Required Interest Coverage (FCFF/Interest) ….............................................................................</t>
  </si>
  <si>
    <t>Debt / (Debt + Equity)</t>
  </si>
  <si>
    <t>Total DCF - Firm Value …......................................................................................</t>
  </si>
  <si>
    <t>Work. Cap. Asumiendo politica de Winfield</t>
  </si>
  <si>
    <t>Capex Asumiendo politica de Winfield</t>
  </si>
  <si>
    <t>DISCOUNTED CASH FLOW (FCFF) - MPIS (Winfield Sensitivity)</t>
  </si>
  <si>
    <t>"DOWNSIDE CASE" (20% EBITDA Reduction)</t>
  </si>
  <si>
    <t>EBITDA (Sensitivity: 20% Reduction) …...................................................................................................................................</t>
  </si>
  <si>
    <t>FCFF (Sensitivity: 20% EBITDA Reduction, After tax) …...................................................................................................................................</t>
  </si>
  <si>
    <t>EBITDA ….................................................................................................................................................</t>
  </si>
  <si>
    <t>% Debt / Total Cap  ( Debt / (Debt + $125M Purchase Price) ) …..................................................................................................</t>
  </si>
  <si>
    <t>% Debt / Total Cap ( Debt / $125M Purchase Price ) …..................................................................................................</t>
  </si>
  <si>
    <t>(1) Winfield Pre-Acquisition</t>
  </si>
  <si>
    <t>(2) Deal Impact</t>
  </si>
  <si>
    <t>(3) Winfield Post-Acquisition</t>
  </si>
  <si>
    <t>Criterio "Post Money" (mas conservador)</t>
  </si>
  <si>
    <t>Implied "Covenant" Debt/EBITDA ….............................................................................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</si>
</sst>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5" formatCode="&quot;$&quot;#,##0_);\(&quot;$&quot;#,##0\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([$$-409]* #,##0.00_);_([$$-409]* \(#,##0.00\);_([$$-409]* &quot;-&quot;??_);_(@_)"/>
    <numFmt numFmtId="167" formatCode="0.0%"/>
    <numFmt numFmtId="168" formatCode="_(* #,##0.000000_);_(* \(#,##0.000000\);_(* &quot;-&quot;??_);_(@_)"/>
    <numFmt numFmtId="169" formatCode="#,##0.0_);\(#,##0.0\)"/>
    <numFmt numFmtId="170" formatCode="0.0\x"/>
    <numFmt numFmtId="171" formatCode="#,##0\)%;[Red]\(#,##0\)%"/>
    <numFmt numFmtId="172" formatCode="_(* #,##0.00_);[Red]_(* \(#,##0.00\);_(* &quot;-&quot;??_);_(@_)"/>
    <numFmt numFmtId="173" formatCode="#,##0%;[Red]\(#,##0\)%"/>
    <numFmt numFmtId="174" formatCode="#,##0.0%;[Red]\(#,##0.0\)%"/>
    <numFmt numFmtId="175" formatCode="0.00000000000000%"/>
    <numFmt numFmtId="176" formatCode="&quot;$&quot;#,##0.0_);\(&quot;$&quot;#,##0.0\)"/>
    <numFmt numFmtId="177" formatCode="#,##0.0"/>
    <numFmt numFmtId="178" formatCode="_ * #,##0.00_ ;_ * \-#,##0.00_ ;_ * &quot;-&quot;??_ ;_ @_ "/>
    <numFmt numFmtId="179" formatCode="#,##0.00_ ;\-#,##0.00\ "/>
    <numFmt numFmtId="180" formatCode="0.00\x"/>
  </numFmts>
  <fonts count="7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Verdana"/>
      <family val="2"/>
    </font>
    <font>
      <sz val="10"/>
      <color theme="1"/>
      <name val="Verdana"/>
      <family val="2"/>
    </font>
    <font>
      <b/>
      <sz val="10"/>
      <color theme="0"/>
      <name val="Arial"/>
      <family val="2"/>
    </font>
    <font>
      <b/>
      <sz val="10"/>
      <color theme="1"/>
      <name val="Verdana"/>
      <family val="2"/>
    </font>
    <font>
      <b/>
      <sz val="10"/>
      <color theme="0"/>
      <name val="Verdana"/>
      <family val="2"/>
    </font>
    <font>
      <b/>
      <i/>
      <sz val="10"/>
      <color theme="1"/>
      <name val="Verdana"/>
      <family val="2"/>
    </font>
    <font>
      <i/>
      <sz val="10"/>
      <color theme="1"/>
      <name val="Verdana"/>
      <family val="2"/>
    </font>
    <font>
      <i/>
      <sz val="10"/>
      <color theme="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rgb="FFFF000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0"/>
      <color theme="1"/>
      <name val="Verdana"/>
      <family val="2"/>
    </font>
    <font>
      <sz val="12"/>
      <name val="Helv"/>
    </font>
    <font>
      <b/>
      <sz val="11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1"/>
      <color indexed="12"/>
      <name val="Calibri"/>
      <family val="2"/>
    </font>
    <font>
      <b/>
      <u/>
      <sz val="11"/>
      <name val="Calibri"/>
      <family val="2"/>
    </font>
    <font>
      <i/>
      <sz val="11"/>
      <name val="Calibri"/>
      <family val="2"/>
    </font>
    <font>
      <sz val="11"/>
      <color indexed="9"/>
      <name val="Calibri"/>
      <family val="2"/>
    </font>
    <font>
      <b/>
      <u/>
      <sz val="10"/>
      <name val="Calibri"/>
      <family val="2"/>
    </font>
    <font>
      <b/>
      <sz val="10"/>
      <color indexed="61"/>
      <name val="Calibri"/>
      <family val="2"/>
    </font>
    <font>
      <i/>
      <sz val="11"/>
      <color indexed="12"/>
      <name val="Calibri"/>
      <family val="2"/>
    </font>
    <font>
      <i/>
      <u/>
      <sz val="11"/>
      <name val="Calibri"/>
      <family val="2"/>
    </font>
    <font>
      <i/>
      <sz val="10"/>
      <name val="Calibri"/>
      <family val="2"/>
    </font>
    <font>
      <b/>
      <sz val="11"/>
      <color indexed="12"/>
      <name val="Calibri"/>
      <family val="2"/>
    </font>
    <font>
      <b/>
      <sz val="14"/>
      <name val="Calibri"/>
      <family val="2"/>
    </font>
    <font>
      <b/>
      <sz val="16"/>
      <name val="Calibri"/>
      <family val="2"/>
    </font>
    <font>
      <b/>
      <sz val="14"/>
      <color theme="0"/>
      <name val="Calibri"/>
      <family val="2"/>
    </font>
    <font>
      <sz val="12"/>
      <name val="Calibri"/>
      <family val="2"/>
    </font>
    <font>
      <b/>
      <sz val="12"/>
      <color indexed="9"/>
      <name val="Calibri"/>
      <family val="2"/>
    </font>
    <font>
      <b/>
      <sz val="12"/>
      <name val="Calibri"/>
      <family val="2"/>
    </font>
    <font>
      <b/>
      <sz val="13"/>
      <name val="Calibri"/>
      <family val="2"/>
    </font>
    <font>
      <sz val="13"/>
      <color indexed="12"/>
      <name val="Calibri"/>
      <family val="2"/>
    </font>
    <font>
      <sz val="10"/>
      <color rgb="FFFF0000"/>
      <name val="Calibri"/>
      <family val="2"/>
    </font>
    <font>
      <sz val="13"/>
      <name val="Calibri"/>
      <family val="2"/>
    </font>
    <font>
      <b/>
      <sz val="13"/>
      <color indexed="12"/>
      <name val="Calibri"/>
      <family val="2"/>
    </font>
    <font>
      <sz val="10"/>
      <color rgb="FF0070C0"/>
      <name val="Calibri"/>
      <family val="2"/>
    </font>
    <font>
      <sz val="10"/>
      <name val="Symbol"/>
      <family val="1"/>
      <charset val="2"/>
    </font>
    <font>
      <b/>
      <sz val="10"/>
      <name val="Symbol"/>
      <family val="1"/>
      <charset val="2"/>
    </font>
    <font>
      <b/>
      <sz val="14"/>
      <color indexed="9"/>
      <name val="Calibri"/>
      <family val="2"/>
    </font>
    <font>
      <b/>
      <sz val="10"/>
      <name val="Verdana"/>
      <family val="2"/>
    </font>
    <font>
      <b/>
      <u/>
      <sz val="12"/>
      <name val="Calibri"/>
      <family val="2"/>
    </font>
    <font>
      <sz val="11"/>
      <color rgb="FF0070C0"/>
      <name val="Calibri"/>
      <family val="2"/>
    </font>
    <font>
      <b/>
      <sz val="11"/>
      <color rgb="FF0070C0"/>
      <name val="Calibri"/>
      <family val="2"/>
    </font>
    <font>
      <b/>
      <u/>
      <sz val="12"/>
      <color rgb="FF0070C0"/>
      <name val="Calibri"/>
      <family val="2"/>
    </font>
    <font>
      <b/>
      <sz val="13"/>
      <color indexed="62"/>
      <name val="Calibri"/>
      <family val="2"/>
    </font>
    <font>
      <sz val="13"/>
      <name val="Arial"/>
      <family val="2"/>
    </font>
    <font>
      <b/>
      <u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/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/>
      <top style="thick">
        <color indexed="9"/>
      </top>
      <bottom style="thick">
        <color indexed="9"/>
      </bottom>
      <diagonal/>
    </border>
    <border>
      <left/>
      <right/>
      <top/>
      <bottom style="double">
        <color indexed="64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DashDotDot">
        <color indexed="64"/>
      </left>
      <right style="mediumDashDotDot">
        <color indexed="64"/>
      </right>
      <top style="mediumDashDotDot">
        <color indexed="64"/>
      </top>
      <bottom style="mediumDashDotDot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mediumDashed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9" fontId="44" fillId="0" borderId="0" applyFont="0" applyFill="0" applyBorder="0" applyAlignment="0" applyProtection="0"/>
    <xf numFmtId="0" fontId="44" fillId="0" borderId="0"/>
    <xf numFmtId="178" fontId="44" fillId="0" borderId="0" applyFont="0" applyFill="0" applyBorder="0" applyAlignment="0" applyProtection="0"/>
    <xf numFmtId="0" fontId="44" fillId="0" borderId="0">
      <alignment vertical="top"/>
    </xf>
    <xf numFmtId="0" fontId="44" fillId="0" borderId="0"/>
    <xf numFmtId="0" fontId="44" fillId="0" borderId="0"/>
  </cellStyleXfs>
  <cellXfs count="421">
    <xf numFmtId="0" fontId="0" fillId="0" borderId="0" xfId="0"/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Continuous" vertical="center" wrapText="1"/>
    </xf>
    <xf numFmtId="0" fontId="4" fillId="3" borderId="3" xfId="0" applyFont="1" applyFill="1" applyBorder="1" applyAlignment="1">
      <alignment horizontal="centerContinuous" vertical="center" wrapText="1"/>
    </xf>
    <xf numFmtId="0" fontId="3" fillId="0" borderId="0" xfId="0" applyFont="1" applyAlignment="1">
      <alignment horizontal="left" vertical="center"/>
    </xf>
    <xf numFmtId="165" fontId="3" fillId="0" borderId="0" xfId="1" applyNumberFormat="1" applyFont="1" applyAlignment="1">
      <alignment vertical="center"/>
    </xf>
    <xf numFmtId="43" fontId="3" fillId="0" borderId="0" xfId="1" applyNumberFormat="1" applyFont="1" applyAlignment="1">
      <alignment vertical="center"/>
    </xf>
    <xf numFmtId="0" fontId="3" fillId="0" borderId="0" xfId="0" applyFont="1" applyAlignment="1">
      <alignment horizontal="left" vertical="center" indent="2"/>
    </xf>
    <xf numFmtId="0" fontId="5" fillId="0" borderId="0" xfId="0" applyFont="1" applyAlignment="1">
      <alignment vertical="center"/>
    </xf>
    <xf numFmtId="0" fontId="3" fillId="0" borderId="0" xfId="0" applyFont="1"/>
    <xf numFmtId="165" fontId="3" fillId="0" borderId="0" xfId="1" applyNumberFormat="1" applyFont="1"/>
    <xf numFmtId="166" fontId="3" fillId="0" borderId="0" xfId="0" applyNumberFormat="1" applyFont="1"/>
    <xf numFmtId="0" fontId="6" fillId="3" borderId="2" xfId="0" applyFont="1" applyFill="1" applyBorder="1" applyAlignment="1">
      <alignment horizontal="centerContinuous" vertical="center" wrapText="1"/>
    </xf>
    <xf numFmtId="164" fontId="3" fillId="0" borderId="0" xfId="1" applyNumberFormat="1" applyFont="1"/>
    <xf numFmtId="165" fontId="3" fillId="0" borderId="0" xfId="0" applyNumberFormat="1" applyFont="1"/>
    <xf numFmtId="0" fontId="7" fillId="0" borderId="0" xfId="0" applyFont="1"/>
    <xf numFmtId="165" fontId="3" fillId="0" borderId="0" xfId="0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43" fontId="3" fillId="0" borderId="0" xfId="0" applyNumberFormat="1" applyFont="1" applyAlignment="1">
      <alignment vertical="center"/>
    </xf>
    <xf numFmtId="167" fontId="3" fillId="0" borderId="0" xfId="2" applyNumberFormat="1" applyFont="1" applyAlignment="1">
      <alignment vertical="center"/>
    </xf>
    <xf numFmtId="43" fontId="3" fillId="0" borderId="0" xfId="1" applyFont="1" applyAlignment="1">
      <alignment vertical="center"/>
    </xf>
    <xf numFmtId="10" fontId="3" fillId="0" borderId="0" xfId="0" applyNumberFormat="1" applyFont="1" applyAlignment="1">
      <alignment vertical="center"/>
    </xf>
    <xf numFmtId="9" fontId="3" fillId="0" borderId="0" xfId="2" applyFont="1" applyAlignment="1">
      <alignment vertical="center"/>
    </xf>
    <xf numFmtId="0" fontId="5" fillId="0" borderId="0" xfId="0" applyFont="1" applyAlignment="1">
      <alignment horizontal="center" vertical="center"/>
    </xf>
    <xf numFmtId="168" fontId="3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0" fontId="5" fillId="0" borderId="0" xfId="0" applyFont="1" applyAlignment="1">
      <alignment horizontal="left" vertical="center"/>
    </xf>
    <xf numFmtId="165" fontId="5" fillId="0" borderId="4" xfId="1" applyNumberFormat="1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left" vertical="center"/>
    </xf>
    <xf numFmtId="167" fontId="3" fillId="0" borderId="0" xfId="2" applyNumberFormat="1" applyFont="1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9" fontId="3" fillId="0" borderId="0" xfId="1" applyNumberFormat="1" applyFont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39" fontId="3" fillId="0" borderId="0" xfId="1" applyNumberFormat="1" applyFont="1" applyFill="1" applyBorder="1" applyAlignment="1">
      <alignment horizontal="center" vertical="center"/>
    </xf>
    <xf numFmtId="165" fontId="3" fillId="0" borderId="0" xfId="2" applyNumberFormat="1" applyFont="1" applyAlignment="1">
      <alignment vertical="center"/>
    </xf>
    <xf numFmtId="0" fontId="13" fillId="0" borderId="0" xfId="0" applyFont="1"/>
    <xf numFmtId="0" fontId="3" fillId="4" borderId="0" xfId="0" applyFont="1" applyFill="1" applyAlignment="1">
      <alignment vertical="center"/>
    </xf>
    <xf numFmtId="0" fontId="0" fillId="4" borderId="0" xfId="0" applyFill="1"/>
    <xf numFmtId="9" fontId="3" fillId="4" borderId="0" xfId="2" applyFont="1" applyFill="1" applyAlignment="1">
      <alignment vertical="center"/>
    </xf>
    <xf numFmtId="43" fontId="3" fillId="4" borderId="0" xfId="1" applyFont="1" applyFill="1" applyAlignment="1">
      <alignment vertical="center"/>
    </xf>
    <xf numFmtId="165" fontId="3" fillId="4" borderId="0" xfId="1" applyNumberFormat="1" applyFont="1" applyFill="1" applyAlignment="1">
      <alignment vertical="center"/>
    </xf>
    <xf numFmtId="170" fontId="3" fillId="4" borderId="0" xfId="1" applyNumberFormat="1" applyFont="1" applyFill="1" applyAlignment="1">
      <alignment vertical="center"/>
    </xf>
    <xf numFmtId="170" fontId="3" fillId="4" borderId="0" xfId="1" applyNumberFormat="1" applyFont="1" applyFill="1" applyAlignment="1">
      <alignment horizontal="center" vertical="center"/>
    </xf>
    <xf numFmtId="9" fontId="3" fillId="4" borderId="0" xfId="2" applyFont="1" applyFill="1" applyAlignment="1">
      <alignment horizontal="center" vertical="center"/>
    </xf>
    <xf numFmtId="9" fontId="3" fillId="4" borderId="0" xfId="2" applyNumberFormat="1" applyFont="1" applyFill="1" applyAlignment="1">
      <alignment horizontal="center" vertical="center"/>
    </xf>
    <xf numFmtId="164" fontId="0" fillId="4" borderId="0" xfId="1" applyNumberFormat="1" applyFont="1" applyFill="1"/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167" fontId="3" fillId="4" borderId="0" xfId="2" applyNumberFormat="1" applyFont="1" applyFill="1" applyAlignment="1">
      <alignment vertical="center"/>
    </xf>
    <xf numFmtId="0" fontId="14" fillId="0" borderId="0" xfId="0" applyFont="1" applyAlignment="1">
      <alignment vertical="center"/>
    </xf>
    <xf numFmtId="165" fontId="14" fillId="0" borderId="0" xfId="1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1" fillId="0" borderId="4" xfId="0" applyFont="1" applyBorder="1" applyAlignment="1">
      <alignment horizontal="centerContinuous" vertical="center"/>
    </xf>
    <xf numFmtId="0" fontId="0" fillId="0" borderId="4" xfId="0" applyFont="1" applyBorder="1" applyAlignment="1">
      <alignment horizontal="centerContinuous" vertical="center"/>
    </xf>
    <xf numFmtId="0" fontId="16" fillId="0" borderId="0" xfId="0" applyFont="1" applyAlignment="1">
      <alignment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165" fontId="0" fillId="4" borderId="0" xfId="1" applyNumberFormat="1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165" fontId="11" fillId="0" borderId="0" xfId="1" applyNumberFormat="1" applyFont="1" applyAlignment="1">
      <alignment vertical="center"/>
    </xf>
    <xf numFmtId="165" fontId="0" fillId="0" borderId="0" xfId="0" applyNumberFormat="1" applyFont="1" applyAlignment="1">
      <alignment vertical="center"/>
    </xf>
    <xf numFmtId="43" fontId="0" fillId="0" borderId="0" xfId="0" applyNumberFormat="1" applyFont="1" applyAlignment="1">
      <alignment vertical="center"/>
    </xf>
    <xf numFmtId="0" fontId="0" fillId="0" borderId="0" xfId="0" applyFont="1" applyAlignment="1">
      <alignment horizontal="left" vertical="center" indent="2"/>
    </xf>
    <xf numFmtId="9" fontId="0" fillId="0" borderId="0" xfId="2" applyFont="1" applyAlignment="1">
      <alignment vertical="center"/>
    </xf>
    <xf numFmtId="165" fontId="0" fillId="0" borderId="0" xfId="2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167" fontId="0" fillId="0" borderId="0" xfId="0" applyNumberFormat="1" applyFont="1" applyAlignment="1">
      <alignment vertical="center"/>
    </xf>
    <xf numFmtId="0" fontId="0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20" fillId="0" borderId="7" xfId="0" applyFont="1" applyFill="1" applyBorder="1" applyAlignment="1">
      <alignment vertical="center"/>
    </xf>
    <xf numFmtId="0" fontId="18" fillId="0" borderId="7" xfId="0" applyFont="1" applyFill="1" applyBorder="1" applyAlignment="1">
      <alignment vertical="center"/>
    </xf>
    <xf numFmtId="165" fontId="11" fillId="0" borderId="0" xfId="1" applyNumberFormat="1" applyFont="1" applyBorder="1" applyAlignment="1">
      <alignment vertical="center"/>
    </xf>
    <xf numFmtId="0" fontId="21" fillId="0" borderId="0" xfId="0" applyFont="1" applyAlignment="1">
      <alignment vertical="center"/>
    </xf>
    <xf numFmtId="43" fontId="0" fillId="0" borderId="0" xfId="1" applyFont="1" applyAlignment="1">
      <alignment vertical="center"/>
    </xf>
    <xf numFmtId="165" fontId="22" fillId="0" borderId="0" xfId="1" applyNumberFormat="1" applyFont="1" applyAlignment="1">
      <alignment vertical="center"/>
    </xf>
    <xf numFmtId="165" fontId="1" fillId="0" borderId="0" xfId="1" applyNumberFormat="1" applyFont="1" applyAlignment="1">
      <alignment vertical="center"/>
    </xf>
    <xf numFmtId="165" fontId="0" fillId="0" borderId="8" xfId="1" applyNumberFormat="1" applyFont="1" applyBorder="1" applyAlignment="1">
      <alignment vertical="center"/>
    </xf>
    <xf numFmtId="165" fontId="1" fillId="0" borderId="0" xfId="1" applyNumberFormat="1" applyFont="1" applyBorder="1" applyAlignment="1">
      <alignment vertical="center"/>
    </xf>
    <xf numFmtId="165" fontId="1" fillId="0" borderId="8" xfId="1" applyNumberFormat="1" applyFont="1" applyBorder="1" applyAlignment="1">
      <alignment vertical="center"/>
    </xf>
    <xf numFmtId="165" fontId="11" fillId="0" borderId="8" xfId="1" applyNumberFormat="1" applyFont="1" applyBorder="1" applyAlignment="1">
      <alignment vertical="center"/>
    </xf>
    <xf numFmtId="165" fontId="0" fillId="0" borderId="0" xfId="1" applyNumberFormat="1" applyFont="1" applyBorder="1" applyAlignment="1">
      <alignment vertical="center"/>
    </xf>
    <xf numFmtId="165" fontId="23" fillId="0" borderId="0" xfId="0" applyNumberFormat="1" applyFont="1" applyAlignment="1">
      <alignment vertical="center"/>
    </xf>
    <xf numFmtId="165" fontId="0" fillId="0" borderId="8" xfId="0" applyNumberFormat="1" applyFont="1" applyBorder="1" applyAlignment="1">
      <alignment vertical="center"/>
    </xf>
    <xf numFmtId="165" fontId="11" fillId="0" borderId="0" xfId="0" applyNumberFormat="1" applyFont="1" applyAlignment="1">
      <alignment vertical="center"/>
    </xf>
    <xf numFmtId="167" fontId="0" fillId="0" borderId="8" xfId="0" applyNumberFormat="1" applyFont="1" applyBorder="1" applyAlignment="1">
      <alignment vertical="center"/>
    </xf>
    <xf numFmtId="43" fontId="11" fillId="0" borderId="0" xfId="1" applyNumberFormat="1" applyFont="1" applyAlignment="1">
      <alignment vertical="center"/>
    </xf>
    <xf numFmtId="165" fontId="11" fillId="0" borderId="9" xfId="0" applyNumberFormat="1" applyFont="1" applyBorder="1" applyAlignment="1">
      <alignment vertical="center"/>
    </xf>
    <xf numFmtId="165" fontId="15" fillId="0" borderId="0" xfId="1" applyNumberFormat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167" fontId="0" fillId="0" borderId="0" xfId="2" applyNumberFormat="1" applyFont="1" applyAlignment="1">
      <alignment vertical="center"/>
    </xf>
    <xf numFmtId="10" fontId="23" fillId="0" borderId="0" xfId="0" applyNumberFormat="1" applyFont="1"/>
    <xf numFmtId="165" fontId="23" fillId="0" borderId="0" xfId="0" applyNumberFormat="1" applyFont="1"/>
    <xf numFmtId="10" fontId="23" fillId="0" borderId="0" xfId="0" applyNumberFormat="1" applyFont="1" applyFill="1"/>
    <xf numFmtId="0" fontId="11" fillId="0" borderId="0" xfId="0" applyFont="1"/>
    <xf numFmtId="0" fontId="17" fillId="0" borderId="0" xfId="0" applyFont="1"/>
    <xf numFmtId="0" fontId="11" fillId="6" borderId="0" xfId="0" applyFont="1" applyFill="1"/>
    <xf numFmtId="10" fontId="11" fillId="6" borderId="0" xfId="0" applyNumberFormat="1" applyFont="1" applyFill="1"/>
    <xf numFmtId="0" fontId="20" fillId="0" borderId="7" xfId="0" applyFont="1" applyBorder="1"/>
    <xf numFmtId="0" fontId="0" fillId="0" borderId="0" xfId="0" applyFont="1"/>
    <xf numFmtId="165" fontId="0" fillId="0" borderId="0" xfId="1" applyNumberFormat="1" applyFont="1"/>
    <xf numFmtId="165" fontId="0" fillId="0" borderId="0" xfId="0" applyNumberFormat="1" applyFont="1"/>
    <xf numFmtId="0" fontId="0" fillId="0" borderId="8" xfId="0" applyFont="1" applyBorder="1"/>
    <xf numFmtId="43" fontId="0" fillId="0" borderId="0" xfId="0" applyNumberFormat="1" applyFont="1"/>
    <xf numFmtId="0" fontId="27" fillId="0" borderId="0" xfId="0" applyFont="1" applyFill="1" applyAlignment="1">
      <alignment vertical="center"/>
    </xf>
    <xf numFmtId="0" fontId="28" fillId="0" borderId="0" xfId="0" applyFont="1" applyFill="1" applyAlignment="1">
      <alignment vertical="center"/>
    </xf>
    <xf numFmtId="0" fontId="27" fillId="0" borderId="7" xfId="0" applyFont="1" applyFill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43" fontId="23" fillId="0" borderId="0" xfId="1" applyNumberFormat="1" applyFont="1"/>
    <xf numFmtId="170" fontId="3" fillId="0" borderId="0" xfId="1" applyNumberFormat="1" applyFont="1" applyFill="1" applyAlignment="1">
      <alignment horizontal="right" vertical="center"/>
    </xf>
    <xf numFmtId="9" fontId="23" fillId="0" borderId="0" xfId="0" applyNumberFormat="1" applyFont="1" applyAlignment="1">
      <alignment vertical="center"/>
    </xf>
    <xf numFmtId="43" fontId="11" fillId="0" borderId="0" xfId="0" applyNumberFormat="1" applyFont="1" applyAlignment="1">
      <alignment vertical="center"/>
    </xf>
    <xf numFmtId="43" fontId="0" fillId="0" borderId="0" xfId="0" applyNumberFormat="1" applyFont="1" applyBorder="1" applyAlignment="1">
      <alignment vertical="center"/>
    </xf>
    <xf numFmtId="172" fontId="11" fillId="0" borderId="0" xfId="0" applyNumberFormat="1" applyFont="1" applyBorder="1" applyAlignment="1">
      <alignment vertical="center"/>
    </xf>
    <xf numFmtId="0" fontId="29" fillId="0" borderId="0" xfId="0" applyFont="1" applyAlignment="1">
      <alignment vertical="center"/>
    </xf>
    <xf numFmtId="9" fontId="0" fillId="0" borderId="0" xfId="2" applyFont="1" applyAlignment="1">
      <alignment horizontal="right"/>
    </xf>
    <xf numFmtId="0" fontId="0" fillId="0" borderId="0" xfId="0" applyFont="1" applyAlignment="1">
      <alignment horizontal="right"/>
    </xf>
    <xf numFmtId="9" fontId="0" fillId="0" borderId="8" xfId="2" applyFont="1" applyBorder="1" applyAlignment="1">
      <alignment vertical="center"/>
    </xf>
    <xf numFmtId="9" fontId="0" fillId="0" borderId="8" xfId="2" applyFont="1" applyBorder="1" applyAlignment="1">
      <alignment horizontal="right"/>
    </xf>
    <xf numFmtId="0" fontId="10" fillId="0" borderId="0" xfId="0" applyFont="1" applyAlignment="1">
      <alignment vertical="center"/>
    </xf>
    <xf numFmtId="172" fontId="11" fillId="0" borderId="0" xfId="0" applyNumberFormat="1" applyFont="1" applyBorder="1" applyAlignment="1">
      <alignment horizontal="right" vertical="center"/>
    </xf>
    <xf numFmtId="165" fontId="0" fillId="0" borderId="8" xfId="1" applyNumberFormat="1" applyFont="1" applyFill="1" applyBorder="1" applyAlignment="1">
      <alignment vertical="center"/>
    </xf>
    <xf numFmtId="0" fontId="24" fillId="0" borderId="0" xfId="0" applyFont="1" applyAlignment="1">
      <alignment vertical="center"/>
    </xf>
    <xf numFmtId="43" fontId="0" fillId="0" borderId="0" xfId="0" applyNumberFormat="1" applyFont="1" applyFill="1" applyAlignment="1">
      <alignment vertical="center"/>
    </xf>
    <xf numFmtId="0" fontId="21" fillId="0" borderId="0" xfId="0" applyFont="1" applyAlignment="1">
      <alignment horizontal="center" vertical="center"/>
    </xf>
    <xf numFmtId="173" fontId="1" fillId="0" borderId="0" xfId="2" applyNumberFormat="1" applyFont="1" applyAlignment="1">
      <alignment horizontal="center" vertical="center"/>
    </xf>
    <xf numFmtId="174" fontId="1" fillId="0" borderId="0" xfId="2" applyNumberFormat="1" applyFont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9" fontId="0" fillId="0" borderId="0" xfId="2" applyNumberFormat="1" applyFont="1" applyAlignment="1">
      <alignment vertical="center"/>
    </xf>
    <xf numFmtId="0" fontId="30" fillId="0" borderId="0" xfId="0" applyFont="1" applyAlignment="1">
      <alignment vertical="center"/>
    </xf>
    <xf numFmtId="9" fontId="3" fillId="5" borderId="0" xfId="2" applyFont="1" applyFill="1" applyAlignment="1">
      <alignment vertical="center"/>
    </xf>
    <xf numFmtId="165" fontId="0" fillId="5" borderId="0" xfId="1" applyNumberFormat="1" applyFont="1" applyFill="1" applyAlignment="1">
      <alignment vertical="center"/>
    </xf>
    <xf numFmtId="165" fontId="0" fillId="0" borderId="0" xfId="1" applyNumberFormat="1" applyFont="1" applyFill="1" applyAlignment="1">
      <alignment vertical="center"/>
    </xf>
    <xf numFmtId="0" fontId="0" fillId="0" borderId="8" xfId="0" applyFont="1" applyBorder="1" applyAlignment="1">
      <alignment horizontal="center"/>
    </xf>
    <xf numFmtId="167" fontId="3" fillId="5" borderId="0" xfId="2" applyNumberFormat="1" applyFont="1" applyFill="1" applyAlignment="1">
      <alignment vertical="center"/>
    </xf>
    <xf numFmtId="167" fontId="0" fillId="0" borderId="0" xfId="0" applyNumberFormat="1" applyFont="1" applyBorder="1" applyAlignment="1">
      <alignment vertical="center"/>
    </xf>
    <xf numFmtId="165" fontId="0" fillId="0" borderId="0" xfId="0" applyNumberFormat="1" applyFont="1" applyBorder="1" applyAlignment="1">
      <alignment vertical="center"/>
    </xf>
    <xf numFmtId="165" fontId="11" fillId="0" borderId="0" xfId="0" applyNumberFormat="1" applyFont="1" applyBorder="1" applyAlignment="1">
      <alignment vertical="center"/>
    </xf>
    <xf numFmtId="165" fontId="15" fillId="0" borderId="10" xfId="1" applyNumberFormat="1" applyFont="1" applyBorder="1" applyAlignment="1">
      <alignment horizontal="centerContinuous" vertical="center"/>
    </xf>
    <xf numFmtId="165" fontId="11" fillId="0" borderId="10" xfId="1" applyNumberFormat="1" applyFont="1" applyBorder="1" applyAlignment="1">
      <alignment horizontal="centerContinuous" vertical="center"/>
    </xf>
    <xf numFmtId="167" fontId="23" fillId="0" borderId="0" xfId="0" applyNumberFormat="1" applyFont="1" applyAlignment="1">
      <alignment vertical="center"/>
    </xf>
    <xf numFmtId="167" fontId="16" fillId="0" borderId="0" xfId="2" applyNumberFormat="1" applyFont="1" applyAlignment="1">
      <alignment vertical="center"/>
    </xf>
    <xf numFmtId="167" fontId="33" fillId="0" borderId="0" xfId="2" applyNumberFormat="1" applyFont="1" applyAlignment="1">
      <alignment vertical="center"/>
    </xf>
    <xf numFmtId="167" fontId="34" fillId="0" borderId="0" xfId="2" applyNumberFormat="1" applyFont="1" applyAlignment="1">
      <alignment vertical="center"/>
    </xf>
    <xf numFmtId="9" fontId="16" fillId="0" borderId="8" xfId="2" applyFont="1" applyBorder="1" applyAlignment="1">
      <alignment vertical="center"/>
    </xf>
    <xf numFmtId="9" fontId="33" fillId="0" borderId="8" xfId="2" applyFont="1" applyBorder="1" applyAlignment="1">
      <alignment vertical="center"/>
    </xf>
    <xf numFmtId="165" fontId="23" fillId="0" borderId="0" xfId="0" applyNumberFormat="1" applyFont="1" applyBorder="1" applyAlignment="1">
      <alignment vertical="center"/>
    </xf>
    <xf numFmtId="0" fontId="10" fillId="0" borderId="0" xfId="0" applyFont="1"/>
    <xf numFmtId="165" fontId="11" fillId="0" borderId="11" xfId="0" applyNumberFormat="1" applyFont="1" applyBorder="1" applyAlignment="1">
      <alignment vertical="center"/>
    </xf>
    <xf numFmtId="165" fontId="11" fillId="0" borderId="8" xfId="0" applyNumberFormat="1" applyFont="1" applyBorder="1"/>
    <xf numFmtId="165" fontId="11" fillId="0" borderId="0" xfId="0" applyNumberFormat="1" applyFont="1"/>
    <xf numFmtId="9" fontId="23" fillId="0" borderId="0" xfId="2" applyFont="1" applyAlignment="1">
      <alignment vertical="center"/>
    </xf>
    <xf numFmtId="0" fontId="11" fillId="0" borderId="4" xfId="0" applyFont="1" applyBorder="1" applyAlignment="1">
      <alignment horizontal="centerContinuous"/>
    </xf>
    <xf numFmtId="0" fontId="22" fillId="0" borderId="4" xfId="0" applyFont="1" applyBorder="1" applyAlignment="1">
      <alignment horizontal="centerContinuous"/>
    </xf>
    <xf numFmtId="0" fontId="23" fillId="0" borderId="8" xfId="0" applyFont="1" applyBorder="1" applyAlignment="1">
      <alignment horizontal="center"/>
    </xf>
    <xf numFmtId="43" fontId="14" fillId="0" borderId="0" xfId="1" applyFont="1" applyBorder="1" applyAlignment="1">
      <alignment vertical="center"/>
    </xf>
    <xf numFmtId="0" fontId="22" fillId="0" borderId="4" xfId="0" applyFont="1" applyBorder="1" applyAlignment="1">
      <alignment horizontal="center" vertical="center"/>
    </xf>
    <xf numFmtId="0" fontId="22" fillId="0" borderId="4" xfId="0" applyFont="1" applyBorder="1" applyAlignment="1">
      <alignment horizontal="centerContinuous" vertical="center"/>
    </xf>
    <xf numFmtId="165" fontId="35" fillId="0" borderId="0" xfId="1" applyNumberFormat="1" applyFont="1" applyAlignment="1">
      <alignment vertical="center"/>
    </xf>
    <xf numFmtId="165" fontId="26" fillId="0" borderId="0" xfId="1" applyNumberFormat="1" applyFont="1" applyAlignment="1">
      <alignment vertical="center"/>
    </xf>
    <xf numFmtId="165" fontId="36" fillId="0" borderId="0" xfId="1" applyNumberFormat="1" applyFont="1" applyAlignment="1">
      <alignment vertical="center"/>
    </xf>
    <xf numFmtId="165" fontId="0" fillId="5" borderId="0" xfId="0" applyNumberFormat="1" applyFont="1" applyFill="1" applyAlignment="1">
      <alignment vertical="center"/>
    </xf>
    <xf numFmtId="165" fontId="23" fillId="5" borderId="0" xfId="0" applyNumberFormat="1" applyFont="1" applyFill="1" applyAlignment="1">
      <alignment vertical="center"/>
    </xf>
    <xf numFmtId="165" fontId="23" fillId="5" borderId="8" xfId="0" applyNumberFormat="1" applyFont="1" applyFill="1" applyBorder="1" applyAlignment="1">
      <alignment vertical="center"/>
    </xf>
    <xf numFmtId="0" fontId="25" fillId="0" borderId="4" xfId="0" applyFont="1" applyBorder="1" applyAlignment="1">
      <alignment horizontal="centerContinuous" vertical="center"/>
    </xf>
    <xf numFmtId="167" fontId="23" fillId="0" borderId="12" xfId="0" applyNumberFormat="1" applyFont="1" applyBorder="1" applyAlignment="1">
      <alignment vertical="center"/>
    </xf>
    <xf numFmtId="167" fontId="23" fillId="0" borderId="8" xfId="0" applyNumberFormat="1" applyFont="1" applyBorder="1" applyAlignment="1">
      <alignment vertical="center"/>
    </xf>
    <xf numFmtId="43" fontId="12" fillId="0" borderId="0" xfId="0" applyNumberFormat="1" applyFont="1" applyAlignment="1">
      <alignment vertical="center"/>
    </xf>
    <xf numFmtId="165" fontId="12" fillId="0" borderId="0" xfId="0" applyNumberFormat="1" applyFont="1" applyAlignment="1">
      <alignment vertical="center"/>
    </xf>
    <xf numFmtId="165" fontId="11" fillId="0" borderId="8" xfId="0" applyNumberFormat="1" applyFont="1" applyBorder="1" applyAlignment="1">
      <alignment vertical="center"/>
    </xf>
    <xf numFmtId="9" fontId="33" fillId="5" borderId="13" xfId="2" applyFont="1" applyFill="1" applyBorder="1" applyAlignment="1">
      <alignment vertical="center"/>
    </xf>
    <xf numFmtId="167" fontId="23" fillId="5" borderId="13" xfId="0" applyNumberFormat="1" applyFont="1" applyFill="1" applyBorder="1" applyAlignment="1">
      <alignment vertical="center"/>
    </xf>
    <xf numFmtId="0" fontId="27" fillId="0" borderId="4" xfId="0" applyFont="1" applyBorder="1" applyAlignment="1">
      <alignment horizontal="centerContinuous" vertical="center"/>
    </xf>
    <xf numFmtId="165" fontId="0" fillId="0" borderId="0" xfId="0" applyNumberFormat="1" applyFont="1" applyFill="1"/>
    <xf numFmtId="0" fontId="0" fillId="0" borderId="0" xfId="0" applyFont="1" applyFill="1"/>
    <xf numFmtId="0" fontId="37" fillId="0" borderId="0" xfId="0" applyFont="1"/>
    <xf numFmtId="43" fontId="0" fillId="0" borderId="0" xfId="1" applyNumberFormat="1" applyFont="1" applyAlignment="1">
      <alignment vertical="center"/>
    </xf>
    <xf numFmtId="0" fontId="38" fillId="7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165" fontId="3" fillId="7" borderId="0" xfId="0" applyNumberFormat="1" applyFont="1" applyFill="1" applyAlignment="1">
      <alignment vertical="center"/>
    </xf>
    <xf numFmtId="165" fontId="3" fillId="7" borderId="8" xfId="0" applyNumberFormat="1" applyFont="1" applyFill="1" applyBorder="1" applyAlignment="1">
      <alignment vertical="center"/>
    </xf>
    <xf numFmtId="164" fontId="0" fillId="0" borderId="0" xfId="1" applyNumberFormat="1" applyFont="1" applyAlignment="1">
      <alignment vertical="center"/>
    </xf>
    <xf numFmtId="167" fontId="3" fillId="4" borderId="0" xfId="2" applyNumberFormat="1" applyFont="1" applyFill="1" applyAlignment="1">
      <alignment horizontal="center" vertical="center"/>
    </xf>
    <xf numFmtId="167" fontId="3" fillId="0" borderId="0" xfId="2" applyNumberFormat="1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3" fillId="0" borderId="0" xfId="0" applyNumberFormat="1" applyFont="1" applyAlignment="1">
      <alignment vertical="center"/>
    </xf>
    <xf numFmtId="170" fontId="3" fillId="0" borderId="0" xfId="0" applyNumberFormat="1" applyFont="1" applyAlignment="1">
      <alignment vertical="center"/>
    </xf>
    <xf numFmtId="167" fontId="3" fillId="0" borderId="0" xfId="0" applyNumberFormat="1" applyFont="1" applyAlignment="1">
      <alignment vertical="center"/>
    </xf>
    <xf numFmtId="43" fontId="3" fillId="4" borderId="14" xfId="1" applyFont="1" applyFill="1" applyBorder="1" applyAlignment="1">
      <alignment vertical="center"/>
    </xf>
    <xf numFmtId="43" fontId="3" fillId="4" borderId="15" xfId="1" applyFont="1" applyFill="1" applyBorder="1" applyAlignment="1">
      <alignment horizontal="right" vertical="center"/>
    </xf>
    <xf numFmtId="165" fontId="3" fillId="4" borderId="15" xfId="1" applyNumberFormat="1" applyFont="1" applyFill="1" applyBorder="1" applyAlignment="1">
      <alignment vertical="center"/>
    </xf>
    <xf numFmtId="9" fontId="3" fillId="4" borderId="15" xfId="2" applyFont="1" applyFill="1" applyBorder="1" applyAlignment="1">
      <alignment vertical="center"/>
    </xf>
    <xf numFmtId="167" fontId="3" fillId="4" borderId="15" xfId="2" applyNumberFormat="1" applyFont="1" applyFill="1" applyBorder="1" applyAlignment="1">
      <alignment vertical="center"/>
    </xf>
    <xf numFmtId="167" fontId="3" fillId="4" borderId="16" xfId="2" applyNumberFormat="1" applyFont="1" applyFill="1" applyBorder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10" fontId="25" fillId="0" borderId="0" xfId="0" applyNumberFormat="1" applyFont="1" applyAlignment="1">
      <alignment vertical="center"/>
    </xf>
    <xf numFmtId="9" fontId="22" fillId="0" borderId="0" xfId="0" applyNumberFormat="1" applyFont="1" applyAlignment="1">
      <alignment vertical="center"/>
    </xf>
    <xf numFmtId="0" fontId="11" fillId="6" borderId="0" xfId="0" applyFont="1" applyFill="1" applyAlignment="1">
      <alignment vertical="center"/>
    </xf>
    <xf numFmtId="43" fontId="11" fillId="6" borderId="0" xfId="0" applyNumberFormat="1" applyFont="1" applyFill="1" applyAlignment="1">
      <alignment vertical="center"/>
    </xf>
    <xf numFmtId="0" fontId="0" fillId="6" borderId="0" xfId="0" applyFont="1" applyFill="1" applyAlignment="1">
      <alignment vertical="center"/>
    </xf>
    <xf numFmtId="172" fontId="11" fillId="6" borderId="0" xfId="0" applyNumberFormat="1" applyFont="1" applyFill="1" applyBorder="1" applyAlignment="1">
      <alignment vertical="center"/>
    </xf>
    <xf numFmtId="173" fontId="11" fillId="6" borderId="0" xfId="2" applyNumberFormat="1" applyFont="1" applyFill="1" applyAlignment="1">
      <alignment vertical="center"/>
    </xf>
    <xf numFmtId="171" fontId="11" fillId="6" borderId="0" xfId="2" applyNumberFormat="1" applyFont="1" applyFill="1" applyAlignment="1">
      <alignment vertical="center"/>
    </xf>
    <xf numFmtId="167" fontId="0" fillId="0" borderId="0" xfId="2" applyNumberFormat="1" applyFont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175" fontId="0" fillId="0" borderId="0" xfId="0" applyNumberFormat="1" applyFont="1" applyAlignment="1">
      <alignment vertical="center"/>
    </xf>
    <xf numFmtId="0" fontId="11" fillId="0" borderId="4" xfId="0" applyFont="1" applyBorder="1"/>
    <xf numFmtId="0" fontId="0" fillId="0" borderId="4" xfId="0" applyFont="1" applyBorder="1"/>
    <xf numFmtId="167" fontId="22" fillId="0" borderId="8" xfId="0" applyNumberFormat="1" applyFont="1" applyBorder="1" applyAlignment="1">
      <alignment vertical="center"/>
    </xf>
    <xf numFmtId="167" fontId="22" fillId="0" borderId="12" xfId="0" applyNumberFormat="1" applyFont="1" applyBorder="1" applyAlignment="1">
      <alignment vertical="center"/>
    </xf>
    <xf numFmtId="0" fontId="11" fillId="6" borderId="17" xfId="0" applyFont="1" applyFill="1" applyBorder="1" applyAlignment="1">
      <alignment horizontal="centerContinuous" vertical="center"/>
    </xf>
    <xf numFmtId="9" fontId="0" fillId="0" borderId="0" xfId="0" applyNumberFormat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40" fillId="0" borderId="0" xfId="3" applyFont="1" applyAlignment="1">
      <alignment horizontal="left"/>
    </xf>
    <xf numFmtId="0" fontId="40" fillId="0" borderId="0" xfId="3" applyFont="1"/>
    <xf numFmtId="0" fontId="40" fillId="0" borderId="18" xfId="3" applyFont="1" applyBorder="1" applyAlignment="1">
      <alignment horizontal="centerContinuous"/>
    </xf>
    <xf numFmtId="0" fontId="42" fillId="0" borderId="0" xfId="3" applyFont="1"/>
    <xf numFmtId="0" fontId="40" fillId="0" borderId="18" xfId="3" applyFont="1" applyBorder="1"/>
    <xf numFmtId="0" fontId="41" fillId="0" borderId="18" xfId="3" applyFont="1" applyBorder="1"/>
    <xf numFmtId="0" fontId="41" fillId="0" borderId="0" xfId="3" applyFont="1"/>
    <xf numFmtId="0" fontId="41" fillId="0" borderId="19" xfId="3" applyFont="1" applyBorder="1"/>
    <xf numFmtId="0" fontId="41" fillId="0" borderId="20" xfId="3" applyFont="1" applyBorder="1"/>
    <xf numFmtId="0" fontId="43" fillId="0" borderId="0" xfId="3" applyFont="1"/>
    <xf numFmtId="176" fontId="41" fillId="0" borderId="0" xfId="3" applyNumberFormat="1" applyFont="1"/>
    <xf numFmtId="9" fontId="41" fillId="0" borderId="0" xfId="4" applyFont="1" applyProtection="1"/>
    <xf numFmtId="177" fontId="42" fillId="0" borderId="0" xfId="3" applyNumberFormat="1" applyFont="1"/>
    <xf numFmtId="167" fontId="42" fillId="0" borderId="0" xfId="4" applyNumberFormat="1" applyFont="1"/>
    <xf numFmtId="0" fontId="41" fillId="0" borderId="23" xfId="3" applyFont="1" applyBorder="1"/>
    <xf numFmtId="176" fontId="41" fillId="0" borderId="8" xfId="3" applyNumberFormat="1" applyFont="1" applyBorder="1"/>
    <xf numFmtId="9" fontId="42" fillId="0" borderId="0" xfId="4" applyFont="1"/>
    <xf numFmtId="176" fontId="40" fillId="0" borderId="0" xfId="3" applyNumberFormat="1" applyFont="1"/>
    <xf numFmtId="176" fontId="40" fillId="0" borderId="11" xfId="3" applyNumberFormat="1" applyFont="1" applyBorder="1"/>
    <xf numFmtId="9" fontId="40" fillId="0" borderId="0" xfId="4" applyFont="1"/>
    <xf numFmtId="2" fontId="46" fillId="0" borderId="0" xfId="3" applyNumberFormat="1" applyFont="1"/>
    <xf numFmtId="0" fontId="40" fillId="0" borderId="0" xfId="3" applyFont="1" applyAlignment="1">
      <alignment horizontal="right"/>
    </xf>
    <xf numFmtId="39" fontId="41" fillId="0" borderId="0" xfId="3" applyNumberFormat="1" applyFont="1"/>
    <xf numFmtId="0" fontId="47" fillId="0" borderId="0" xfId="3" applyFont="1"/>
    <xf numFmtId="9" fontId="41" fillId="0" borderId="0" xfId="3" applyNumberFormat="1" applyFont="1"/>
    <xf numFmtId="178" fontId="47" fillId="0" borderId="0" xfId="3" applyNumberFormat="1" applyFont="1"/>
    <xf numFmtId="176" fontId="40" fillId="0" borderId="24" xfId="3" applyNumberFormat="1" applyFont="1" applyBorder="1"/>
    <xf numFmtId="5" fontId="41" fillId="0" borderId="0" xfId="3" applyNumberFormat="1" applyFont="1"/>
    <xf numFmtId="176" fontId="40" fillId="0" borderId="0" xfId="4" applyNumberFormat="1" applyFont="1"/>
    <xf numFmtId="0" fontId="40" fillId="0" borderId="8" xfId="3" applyFont="1" applyBorder="1"/>
    <xf numFmtId="0" fontId="41" fillId="0" borderId="8" xfId="3" applyFont="1" applyBorder="1"/>
    <xf numFmtId="9" fontId="41" fillId="0" borderId="0" xfId="4" applyFont="1" applyFill="1"/>
    <xf numFmtId="0" fontId="40" fillId="0" borderId="10" xfId="3" applyFont="1" applyBorder="1" applyAlignment="1">
      <alignment horizontal="centerContinuous"/>
    </xf>
    <xf numFmtId="9" fontId="41" fillId="0" borderId="8" xfId="4" applyFont="1" applyFill="1" applyBorder="1"/>
    <xf numFmtId="2" fontId="48" fillId="0" borderId="0" xfId="3" applyNumberFormat="1" applyFont="1"/>
    <xf numFmtId="167" fontId="45" fillId="0" borderId="25" xfId="3" applyNumberFormat="1" applyFont="1" applyBorder="1" applyAlignment="1">
      <alignment horizontal="center"/>
    </xf>
    <xf numFmtId="0" fontId="40" fillId="0" borderId="26" xfId="3" applyFont="1" applyBorder="1" applyAlignment="1">
      <alignment horizontal="right" vertical="center" wrapText="1"/>
    </xf>
    <xf numFmtId="0" fontId="41" fillId="0" borderId="0" xfId="5" applyFont="1" applyAlignment="1">
      <alignment wrapText="1"/>
    </xf>
    <xf numFmtId="10" fontId="45" fillId="0" borderId="0" xfId="3" applyNumberFormat="1" applyFont="1" applyAlignment="1">
      <alignment horizontal="center"/>
    </xf>
    <xf numFmtId="0" fontId="41" fillId="0" borderId="0" xfId="3" applyFont="1" applyAlignment="1">
      <alignment horizontal="left"/>
    </xf>
    <xf numFmtId="167" fontId="45" fillId="0" borderId="0" xfId="3" applyNumberFormat="1" applyFont="1"/>
    <xf numFmtId="167" fontId="41" fillId="0" borderId="0" xfId="4" applyNumberFormat="1" applyFont="1" applyAlignment="1">
      <alignment horizontal="left"/>
    </xf>
    <xf numFmtId="0" fontId="41" fillId="0" borderId="0" xfId="3" applyFont="1" applyAlignment="1">
      <alignment vertical="top"/>
    </xf>
    <xf numFmtId="170" fontId="43" fillId="0" borderId="0" xfId="3" applyNumberFormat="1" applyFont="1" applyAlignment="1">
      <alignment horizontal="center"/>
    </xf>
    <xf numFmtId="0" fontId="49" fillId="0" borderId="0" xfId="3" applyFont="1"/>
    <xf numFmtId="176" fontId="42" fillId="0" borderId="0" xfId="3" applyNumberFormat="1" applyFont="1"/>
    <xf numFmtId="176" fontId="50" fillId="0" borderId="0" xfId="3" applyNumberFormat="1" applyFont="1"/>
    <xf numFmtId="0" fontId="50" fillId="0" borderId="0" xfId="3" applyFont="1"/>
    <xf numFmtId="167" fontId="45" fillId="0" borderId="21" xfId="4" applyNumberFormat="1" applyFont="1" applyBorder="1" applyProtection="1"/>
    <xf numFmtId="167" fontId="41" fillId="0" borderId="22" xfId="4" applyNumberFormat="1" applyFont="1" applyBorder="1" applyProtection="1"/>
    <xf numFmtId="167" fontId="41" fillId="0" borderId="23" xfId="4" applyNumberFormat="1" applyFont="1" applyBorder="1" applyProtection="1"/>
    <xf numFmtId="167" fontId="51" fillId="0" borderId="21" xfId="4" applyNumberFormat="1" applyFont="1" applyBorder="1" applyProtection="1"/>
    <xf numFmtId="167" fontId="47" fillId="0" borderId="22" xfId="4" applyNumberFormat="1" applyFont="1" applyBorder="1" applyProtection="1"/>
    <xf numFmtId="167" fontId="47" fillId="0" borderId="23" xfId="4" applyNumberFormat="1" applyFont="1" applyBorder="1" applyProtection="1"/>
    <xf numFmtId="0" fontId="47" fillId="0" borderId="0" xfId="3" applyFont="1" applyAlignment="1">
      <alignment horizontal="center"/>
    </xf>
    <xf numFmtId="0" fontId="52" fillId="0" borderId="0" xfId="3" quotePrefix="1" applyFont="1" applyAlignment="1">
      <alignment horizontal="center"/>
    </xf>
    <xf numFmtId="0" fontId="53" fillId="0" borderId="0" xfId="3" applyFont="1"/>
    <xf numFmtId="167" fontId="53" fillId="0" borderId="0" xfId="4" applyNumberFormat="1" applyFont="1"/>
    <xf numFmtId="9" fontId="53" fillId="0" borderId="0" xfId="4" applyFont="1"/>
    <xf numFmtId="167" fontId="51" fillId="0" borderId="21" xfId="3" applyNumberFormat="1" applyFont="1" applyBorder="1"/>
    <xf numFmtId="9" fontId="51" fillId="0" borderId="21" xfId="3" applyNumberFormat="1" applyFont="1" applyBorder="1"/>
    <xf numFmtId="167" fontId="45" fillId="0" borderId="0" xfId="4" applyNumberFormat="1" applyFont="1" applyBorder="1" applyProtection="1"/>
    <xf numFmtId="167" fontId="41" fillId="0" borderId="0" xfId="4" applyNumberFormat="1" applyFont="1" applyBorder="1" applyProtection="1"/>
    <xf numFmtId="176" fontId="40" fillId="0" borderId="0" xfId="3" applyNumberFormat="1" applyFont="1" applyBorder="1"/>
    <xf numFmtId="167" fontId="47" fillId="0" borderId="0" xfId="4" applyNumberFormat="1" applyFont="1" applyBorder="1" applyProtection="1"/>
    <xf numFmtId="176" fontId="47" fillId="0" borderId="0" xfId="3" applyNumberFormat="1" applyFont="1" applyBorder="1" applyAlignment="1">
      <alignment horizontal="right"/>
    </xf>
    <xf numFmtId="0" fontId="40" fillId="0" borderId="26" xfId="3" applyFont="1" applyBorder="1" applyAlignment="1">
      <alignment horizontal="center" vertical="center" wrapText="1"/>
    </xf>
    <xf numFmtId="167" fontId="45" fillId="0" borderId="27" xfId="3" applyNumberFormat="1" applyFont="1" applyBorder="1" applyAlignment="1">
      <alignment horizontal="center"/>
    </xf>
    <xf numFmtId="170" fontId="41" fillId="0" borderId="0" xfId="3" applyNumberFormat="1" applyFont="1" applyAlignment="1">
      <alignment vertical="top"/>
    </xf>
    <xf numFmtId="176" fontId="40" fillId="0" borderId="28" xfId="3" applyNumberFormat="1" applyFont="1" applyBorder="1"/>
    <xf numFmtId="167" fontId="54" fillId="0" borderId="25" xfId="3" applyNumberFormat="1" applyFont="1" applyBorder="1" applyAlignment="1">
      <alignment horizontal="center"/>
    </xf>
    <xf numFmtId="167" fontId="54" fillId="0" borderId="27" xfId="3" applyNumberFormat="1" applyFont="1" applyBorder="1" applyAlignment="1">
      <alignment horizontal="center"/>
    </xf>
    <xf numFmtId="176" fontId="42" fillId="0" borderId="0" xfId="3" applyNumberFormat="1" applyFont="1" applyBorder="1"/>
    <xf numFmtId="0" fontId="42" fillId="0" borderId="0" xfId="3" applyFont="1" applyBorder="1"/>
    <xf numFmtId="178" fontId="50" fillId="0" borderId="0" xfId="6" applyFont="1" applyBorder="1"/>
    <xf numFmtId="0" fontId="50" fillId="0" borderId="0" xfId="3" applyFont="1" applyBorder="1"/>
    <xf numFmtId="164" fontId="0" fillId="4" borderId="0" xfId="1" applyNumberFormat="1" applyFont="1" applyFill="1" applyAlignment="1">
      <alignment horizontal="right"/>
    </xf>
    <xf numFmtId="0" fontId="55" fillId="0" borderId="7" xfId="7" applyFont="1" applyBorder="1" applyAlignment="1"/>
    <xf numFmtId="0" fontId="56" fillId="0" borderId="7" xfId="7" applyFont="1" applyBorder="1" applyAlignment="1"/>
    <xf numFmtId="0" fontId="43" fillId="0" borderId="0" xfId="8" applyFont="1"/>
    <xf numFmtId="0" fontId="44" fillId="0" borderId="0" xfId="9"/>
    <xf numFmtId="0" fontId="43" fillId="0" borderId="29" xfId="8" applyFont="1" applyBorder="1"/>
    <xf numFmtId="0" fontId="58" fillId="0" borderId="0" xfId="8" applyFont="1" applyAlignment="1">
      <alignment vertical="center"/>
    </xf>
    <xf numFmtId="0" fontId="59" fillId="8" borderId="0" xfId="8" applyFont="1" applyFill="1" applyAlignment="1">
      <alignment horizontal="center" vertical="center" wrapText="1"/>
    </xf>
    <xf numFmtId="0" fontId="58" fillId="0" borderId="29" xfId="8" applyFont="1" applyBorder="1" applyAlignment="1">
      <alignment vertical="center"/>
    </xf>
    <xf numFmtId="0" fontId="58" fillId="0" borderId="8" xfId="8" applyFont="1" applyBorder="1"/>
    <xf numFmtId="0" fontId="43" fillId="0" borderId="0" xfId="8" applyFont="1" applyAlignment="1">
      <alignment vertical="center"/>
    </xf>
    <xf numFmtId="0" fontId="43" fillId="0" borderId="29" xfId="8" applyFont="1" applyBorder="1" applyAlignment="1">
      <alignment vertical="center"/>
    </xf>
    <xf numFmtId="0" fontId="41" fillId="10" borderId="0" xfId="8" applyFont="1" applyFill="1"/>
    <xf numFmtId="9" fontId="61" fillId="10" borderId="0" xfId="8" applyNumberFormat="1" applyFont="1" applyFill="1"/>
    <xf numFmtId="0" fontId="41" fillId="10" borderId="29" xfId="8" applyFont="1" applyFill="1" applyBorder="1"/>
    <xf numFmtId="0" fontId="41" fillId="10" borderId="0" xfId="8" applyFont="1" applyFill="1" applyAlignment="1">
      <alignment vertical="center"/>
    </xf>
    <xf numFmtId="0" fontId="41" fillId="0" borderId="0" xfId="8" applyFont="1"/>
    <xf numFmtId="9" fontId="43" fillId="0" borderId="0" xfId="8" applyNumberFormat="1" applyFont="1"/>
    <xf numFmtId="9" fontId="62" fillId="11" borderId="0" xfId="8" applyNumberFormat="1" applyFont="1" applyFill="1"/>
    <xf numFmtId="0" fontId="63" fillId="0" borderId="0" xfId="8" applyFont="1" applyAlignment="1">
      <alignment vertical="center"/>
    </xf>
    <xf numFmtId="9" fontId="64" fillId="10" borderId="0" xfId="4" applyFont="1" applyFill="1"/>
    <xf numFmtId="0" fontId="63" fillId="0" borderId="0" xfId="8" applyFont="1"/>
    <xf numFmtId="167" fontId="65" fillId="0" borderId="0" xfId="8" applyNumberFormat="1" applyFont="1"/>
    <xf numFmtId="167" fontId="41" fillId="0" borderId="29" xfId="8" applyNumberFormat="1" applyFont="1" applyBorder="1"/>
    <xf numFmtId="167" fontId="41" fillId="0" borderId="0" xfId="8" applyNumberFormat="1" applyFont="1"/>
    <xf numFmtId="0" fontId="66" fillId="0" borderId="0" xfId="8" applyFont="1"/>
    <xf numFmtId="9" fontId="62" fillId="0" borderId="8" xfId="8" applyNumberFormat="1" applyFont="1" applyBorder="1"/>
    <xf numFmtId="0" fontId="41" fillId="0" borderId="29" xfId="8" applyFont="1" applyBorder="1"/>
    <xf numFmtId="9" fontId="64" fillId="0" borderId="8" xfId="8" applyNumberFormat="1" applyFont="1" applyBorder="1"/>
    <xf numFmtId="167" fontId="61" fillId="10" borderId="0" xfId="4" applyNumberFormat="1" applyFont="1" applyFill="1"/>
    <xf numFmtId="0" fontId="58" fillId="0" borderId="0" xfId="8" applyFont="1"/>
    <xf numFmtId="167" fontId="62" fillId="0" borderId="0" xfId="8" applyNumberFormat="1" applyFont="1"/>
    <xf numFmtId="167" fontId="64" fillId="0" borderId="0" xfId="8" applyNumberFormat="1" applyFont="1"/>
    <xf numFmtId="179" fontId="64" fillId="0" borderId="0" xfId="8" applyNumberFormat="1" applyFont="1"/>
    <xf numFmtId="0" fontId="41" fillId="0" borderId="0" xfId="8" applyFont="1" applyAlignment="1">
      <alignment vertical="center"/>
    </xf>
    <xf numFmtId="0" fontId="41" fillId="0" borderId="29" xfId="8" applyFont="1" applyBorder="1" applyAlignment="1">
      <alignment vertical="center"/>
    </xf>
    <xf numFmtId="10" fontId="62" fillId="0" borderId="0" xfId="8" applyNumberFormat="1" applyFont="1"/>
    <xf numFmtId="10" fontId="64" fillId="0" borderId="0" xfId="8" applyNumberFormat="1" applyFont="1"/>
    <xf numFmtId="167" fontId="61" fillId="10" borderId="0" xfId="8" applyNumberFormat="1" applyFont="1" applyFill="1" applyAlignment="1">
      <alignment vertical="center"/>
    </xf>
    <xf numFmtId="0" fontId="41" fillId="10" borderId="29" xfId="8" applyFont="1" applyFill="1" applyBorder="1" applyAlignment="1">
      <alignment vertical="center"/>
    </xf>
    <xf numFmtId="0" fontId="40" fillId="0" borderId="0" xfId="8" applyFont="1" applyAlignment="1">
      <alignment vertical="center"/>
    </xf>
    <xf numFmtId="167" fontId="40" fillId="0" borderId="0" xfId="8" applyNumberFormat="1" applyFont="1" applyAlignment="1">
      <alignment vertical="center"/>
    </xf>
    <xf numFmtId="0" fontId="49" fillId="0" borderId="0" xfId="8" applyFont="1"/>
    <xf numFmtId="179" fontId="45" fillId="0" borderId="0" xfId="8" applyNumberFormat="1" applyFont="1"/>
    <xf numFmtId="179" fontId="41" fillId="0" borderId="0" xfId="8" applyNumberFormat="1" applyFont="1"/>
    <xf numFmtId="0" fontId="66" fillId="0" borderId="0" xfId="8" applyFont="1" applyAlignment="1">
      <alignment vertical="center"/>
    </xf>
    <xf numFmtId="9" fontId="41" fillId="0" borderId="0" xfId="4" applyFont="1"/>
    <xf numFmtId="0" fontId="42" fillId="0" borderId="0" xfId="8" applyFont="1" applyAlignment="1">
      <alignment vertical="center"/>
    </xf>
    <xf numFmtId="0" fontId="67" fillId="0" borderId="0" xfId="8" applyFont="1" applyAlignment="1">
      <alignment vertical="center"/>
    </xf>
    <xf numFmtId="167" fontId="43" fillId="0" borderId="0" xfId="8" applyNumberFormat="1" applyFont="1"/>
    <xf numFmtId="179" fontId="40" fillId="0" borderId="0" xfId="8" applyNumberFormat="1" applyFont="1"/>
    <xf numFmtId="0" fontId="42" fillId="0" borderId="29" xfId="8" applyFont="1" applyBorder="1" applyAlignment="1">
      <alignment vertical="center"/>
    </xf>
    <xf numFmtId="0" fontId="69" fillId="8" borderId="0" xfId="8" applyFont="1" applyFill="1" applyAlignment="1">
      <alignment horizontal="centerContinuous" vertical="center"/>
    </xf>
    <xf numFmtId="0" fontId="60" fillId="10" borderId="0" xfId="8" applyFont="1" applyFill="1" applyAlignment="1">
      <alignment vertical="center"/>
    </xf>
    <xf numFmtId="167" fontId="55" fillId="10" borderId="0" xfId="8" applyNumberFormat="1" applyFont="1" applyFill="1" applyAlignment="1">
      <alignment vertical="center"/>
    </xf>
    <xf numFmtId="0" fontId="60" fillId="10" borderId="29" xfId="8" applyFont="1" applyFill="1" applyBorder="1" applyAlignment="1">
      <alignment vertical="center"/>
    </xf>
    <xf numFmtId="0" fontId="43" fillId="10" borderId="0" xfId="8" applyFont="1" applyFill="1"/>
    <xf numFmtId="164" fontId="3" fillId="4" borderId="0" xfId="1" applyNumberFormat="1" applyFont="1" applyFill="1" applyAlignment="1">
      <alignment horizontal="center" vertical="center"/>
    </xf>
    <xf numFmtId="0" fontId="57" fillId="3" borderId="0" xfId="8" applyFont="1" applyFill="1" applyAlignment="1">
      <alignment horizontal="center"/>
    </xf>
    <xf numFmtId="0" fontId="55" fillId="6" borderId="0" xfId="8" applyFont="1" applyFill="1" applyAlignment="1">
      <alignment horizontal="centerContinuous"/>
    </xf>
    <xf numFmtId="0" fontId="43" fillId="6" borderId="0" xfId="8" applyFont="1" applyFill="1" applyAlignment="1">
      <alignment horizontal="centerContinuous"/>
    </xf>
    <xf numFmtId="167" fontId="5" fillId="4" borderId="14" xfId="0" applyNumberFormat="1" applyFont="1" applyFill="1" applyBorder="1" applyAlignment="1">
      <alignment vertical="center"/>
    </xf>
    <xf numFmtId="0" fontId="5" fillId="4" borderId="15" xfId="0" applyFont="1" applyFill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3" fillId="4" borderId="16" xfId="0" applyFont="1" applyFill="1" applyBorder="1" applyAlignment="1">
      <alignment vertical="center"/>
    </xf>
    <xf numFmtId="167" fontId="5" fillId="4" borderId="30" xfId="0" applyNumberFormat="1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4" borderId="26" xfId="0" applyFont="1" applyFill="1" applyBorder="1" applyAlignment="1">
      <alignment vertical="center"/>
    </xf>
    <xf numFmtId="167" fontId="5" fillId="4" borderId="31" xfId="0" applyNumberFormat="1" applyFont="1" applyFill="1" applyBorder="1" applyAlignment="1">
      <alignment vertical="center"/>
    </xf>
    <xf numFmtId="0" fontId="70" fillId="4" borderId="10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3" fillId="4" borderId="32" xfId="0" applyFont="1" applyFill="1" applyBorder="1" applyAlignment="1">
      <alignment vertical="center"/>
    </xf>
    <xf numFmtId="0" fontId="44" fillId="0" borderId="0" xfId="5" applyBorder="1" applyAlignment="1">
      <alignment wrapText="1"/>
    </xf>
    <xf numFmtId="176" fontId="41" fillId="0" borderId="24" xfId="3" applyNumberFormat="1" applyFont="1" applyBorder="1"/>
    <xf numFmtId="0" fontId="40" fillId="0" borderId="0" xfId="3" applyFont="1" applyBorder="1"/>
    <xf numFmtId="0" fontId="41" fillId="0" borderId="0" xfId="3" applyFont="1" applyBorder="1"/>
    <xf numFmtId="0" fontId="71" fillId="0" borderId="0" xfId="3" applyFont="1"/>
    <xf numFmtId="0" fontId="71" fillId="0" borderId="0" xfId="3" applyFont="1" applyBorder="1"/>
    <xf numFmtId="0" fontId="74" fillId="0" borderId="0" xfId="3" applyFont="1" applyBorder="1"/>
    <xf numFmtId="0" fontId="40" fillId="12" borderId="0" xfId="3" applyFont="1" applyFill="1"/>
    <xf numFmtId="0" fontId="61" fillId="10" borderId="0" xfId="8" applyFont="1" applyFill="1" applyAlignment="1">
      <alignment vertical="center"/>
    </xf>
    <xf numFmtId="0" fontId="55" fillId="10" borderId="0" xfId="8" applyFont="1" applyFill="1" applyAlignment="1">
      <alignment vertical="center"/>
    </xf>
    <xf numFmtId="0" fontId="61" fillId="10" borderId="0" xfId="8" applyFont="1" applyFill="1"/>
    <xf numFmtId="0" fontId="64" fillId="10" borderId="0" xfId="8" applyFont="1" applyFill="1"/>
    <xf numFmtId="0" fontId="61" fillId="0" borderId="0" xfId="8" applyFont="1"/>
    <xf numFmtId="0" fontId="64" fillId="0" borderId="0" xfId="8" applyFont="1"/>
    <xf numFmtId="0" fontId="64" fillId="0" borderId="0" xfId="8" applyFont="1" applyAlignment="1">
      <alignment vertical="center"/>
    </xf>
    <xf numFmtId="0" fontId="43" fillId="0" borderId="33" xfId="8" applyFont="1" applyBorder="1"/>
    <xf numFmtId="167" fontId="43" fillId="0" borderId="34" xfId="2" applyNumberFormat="1" applyFont="1" applyBorder="1" applyAlignment="1">
      <alignment horizontal="center"/>
    </xf>
    <xf numFmtId="176" fontId="40" fillId="12" borderId="0" xfId="3" applyNumberFormat="1" applyFont="1" applyFill="1" applyBorder="1"/>
    <xf numFmtId="176" fontId="40" fillId="12" borderId="0" xfId="3" applyNumberFormat="1" applyFont="1" applyFill="1"/>
    <xf numFmtId="167" fontId="40" fillId="0" borderId="0" xfId="2" applyNumberFormat="1" applyFont="1"/>
    <xf numFmtId="0" fontId="40" fillId="6" borderId="0" xfId="3" applyFont="1" applyFill="1"/>
    <xf numFmtId="9" fontId="40" fillId="6" borderId="0" xfId="2" applyFont="1" applyFill="1"/>
    <xf numFmtId="176" fontId="73" fillId="12" borderId="0" xfId="3" applyNumberFormat="1" applyFont="1" applyFill="1"/>
    <xf numFmtId="170" fontId="40" fillId="0" borderId="0" xfId="3" applyNumberFormat="1" applyFont="1" applyAlignment="1">
      <alignment vertical="top"/>
    </xf>
    <xf numFmtId="176" fontId="72" fillId="12" borderId="0" xfId="3" applyNumberFormat="1" applyFont="1" applyFill="1"/>
    <xf numFmtId="0" fontId="72" fillId="12" borderId="0" xfId="3" applyFont="1" applyFill="1" applyBorder="1"/>
    <xf numFmtId="0" fontId="41" fillId="12" borderId="0" xfId="3" applyFont="1" applyFill="1" applyBorder="1"/>
    <xf numFmtId="176" fontId="41" fillId="12" borderId="0" xfId="3" applyNumberFormat="1" applyFont="1" applyFill="1"/>
    <xf numFmtId="176" fontId="43" fillId="0" borderId="0" xfId="3" applyNumberFormat="1" applyFont="1"/>
    <xf numFmtId="0" fontId="73" fillId="12" borderId="0" xfId="3" applyFont="1" applyFill="1" applyBorder="1"/>
    <xf numFmtId="9" fontId="15" fillId="0" borderId="0" xfId="2" applyFont="1" applyBorder="1" applyAlignment="1">
      <alignment vertical="center"/>
    </xf>
    <xf numFmtId="0" fontId="11" fillId="12" borderId="0" xfId="0" applyFont="1" applyFill="1" applyAlignment="1">
      <alignment vertical="center"/>
    </xf>
    <xf numFmtId="9" fontId="15" fillId="12" borderId="0" xfId="2" applyFont="1" applyFill="1" applyBorder="1" applyAlignment="1">
      <alignment vertical="center"/>
    </xf>
    <xf numFmtId="165" fontId="11" fillId="12" borderId="0" xfId="1" applyNumberFormat="1" applyFont="1" applyFill="1" applyBorder="1" applyAlignment="1">
      <alignment vertical="center"/>
    </xf>
    <xf numFmtId="165" fontId="15" fillId="12" borderId="0" xfId="1" applyNumberFormat="1" applyFont="1" applyFill="1" applyBorder="1" applyAlignment="1">
      <alignment vertical="center"/>
    </xf>
    <xf numFmtId="180" fontId="73" fillId="12" borderId="0" xfId="3" applyNumberFormat="1" applyFont="1" applyFill="1" applyAlignment="1">
      <alignment vertical="top"/>
    </xf>
    <xf numFmtId="9" fontId="77" fillId="0" borderId="0" xfId="0" applyNumberFormat="1" applyFont="1" applyAlignment="1">
      <alignment horizontal="right" vertical="center"/>
    </xf>
    <xf numFmtId="170" fontId="1" fillId="0" borderId="0" xfId="1" applyNumberFormat="1" applyFont="1" applyFill="1" applyAlignment="1">
      <alignment horizontal="right" vertical="center"/>
    </xf>
    <xf numFmtId="170" fontId="11" fillId="0" borderId="0" xfId="1" applyNumberFormat="1" applyFont="1" applyFill="1" applyAlignment="1">
      <alignment horizontal="right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1" fillId="6" borderId="12" xfId="0" applyFont="1" applyFill="1" applyBorder="1" applyAlignment="1">
      <alignment horizontal="center" vertical="center" wrapText="1"/>
    </xf>
    <xf numFmtId="0" fontId="40" fillId="0" borderId="26" xfId="3" applyFont="1" applyBorder="1" applyAlignment="1">
      <alignment horizontal="center" vertical="center" wrapText="1"/>
    </xf>
    <xf numFmtId="0" fontId="44" fillId="0" borderId="26" xfId="5" applyBorder="1" applyAlignment="1">
      <alignment horizontal="center" vertical="center" wrapText="1"/>
    </xf>
    <xf numFmtId="0" fontId="75" fillId="9" borderId="0" xfId="8" applyFont="1" applyFill="1" applyAlignment="1">
      <alignment horizontal="center" vertical="center" wrapText="1"/>
    </xf>
    <xf numFmtId="0" fontId="76" fillId="0" borderId="0" xfId="7" applyFont="1" applyAlignment="1">
      <alignment horizontal="center" vertical="center" wrapText="1"/>
    </xf>
    <xf numFmtId="0" fontId="76" fillId="0" borderId="0" xfId="7" applyFont="1" applyAlignment="1">
      <alignment vertical="center" wrapText="1"/>
    </xf>
  </cellXfs>
  <cellStyles count="10">
    <cellStyle name="Millares" xfId="1" builtinId="3"/>
    <cellStyle name="Millares 2" xfId="6" xr:uid="{57898C6A-BB7B-4FC5-8CCB-36D2169F0A10}"/>
    <cellStyle name="Normal" xfId="0" builtinId="0"/>
    <cellStyle name="Normal 2" xfId="5" xr:uid="{AD920BB5-3D5D-4C67-B99A-C98D397EF790}"/>
    <cellStyle name="Normal 2 2" xfId="9" xr:uid="{B5EA3607-88D8-49A9-AEF5-421B6FCF151D}"/>
    <cellStyle name="Normal 2 3" xfId="7" xr:uid="{2A504EFB-DD78-45F8-B885-30EC6585BF7A}"/>
    <cellStyle name="Normal_Beta_empresas privadas_30 jun-1 jul 2011" xfId="8" xr:uid="{BB585548-B546-4656-B5BD-74D483C01729}"/>
    <cellStyle name="Normal_Roche-Genentech_analisis" xfId="3" xr:uid="{0E08CB92-B651-45B4-9F60-4B4DA9EDDF8A}"/>
    <cellStyle name="Porcentaje" xfId="2" builtinId="5"/>
    <cellStyle name="Porcentaje 2" xfId="4" xr:uid="{E9FE0717-438E-4935-8D4F-4A8F4D65132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-AV/UTDT/MFIN/2020%20MFIN/Curso%20FC/5-IPO/Clase/Facebook%20IPO_anali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1"/>
      <sheetName val="Ex3 "/>
      <sheetName val="Ex4"/>
      <sheetName val="Ex5"/>
      <sheetName val="Ex6"/>
      <sheetName val="Shareholders (Ex8)"/>
      <sheetName val="Ex9"/>
      <sheetName val="Ex10"/>
      <sheetName val="DCF (Ex11)"/>
      <sheetName val="Comps (Ex12)"/>
      <sheetName val="Financials (Ex2)"/>
      <sheetName val="Model"/>
      <sheetName val="DCF"/>
      <sheetName val="WACC"/>
      <sheetName val="AVP"/>
      <sheetName val="Anex I. IPO terms"/>
      <sheetName val="Anex II. Prospectus--&gt;"/>
      <sheetName val="IPO Cash Flow"/>
      <sheetName val="IPO P&amp;L"/>
      <sheetName val="IPO Bce Sheet"/>
      <sheetName val="IPO Equ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>
        <row r="250">
          <cell r="E250">
            <v>0.39880952380952384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R31"/>
  <sheetViews>
    <sheetView showGridLines="0" zoomScale="87" workbookViewId="0">
      <selection activeCell="H18" sqref="H18"/>
    </sheetView>
  </sheetViews>
  <sheetFormatPr baseColWidth="10" defaultColWidth="9.1015625" defaultRowHeight="12.3" x14ac:dyDescent="0.55000000000000004"/>
  <cols>
    <col min="1" max="1" width="2.3125" style="2" customWidth="1"/>
    <col min="2" max="2" width="28.41796875" style="2" customWidth="1"/>
    <col min="3" max="7" width="12.3125" style="2" customWidth="1"/>
    <col min="8" max="8" width="12.68359375" style="2" customWidth="1"/>
    <col min="9" max="9" width="8.68359375" style="2" customWidth="1"/>
    <col min="10" max="10" width="9.05078125" style="2" customWidth="1"/>
    <col min="11" max="18" width="9.1015625" style="2"/>
    <col min="19" max="19" width="6.41796875" style="2" customWidth="1"/>
    <col min="20" max="16384" width="9.1015625" style="2"/>
  </cols>
  <sheetData>
    <row r="1" spans="1:18" x14ac:dyDescent="0.55000000000000004">
      <c r="A1" s="1"/>
      <c r="B1" s="1" t="s">
        <v>39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8" ht="12.6" thickBot="1" x14ac:dyDescent="0.6">
      <c r="B3" s="31" t="s">
        <v>44</v>
      </c>
    </row>
    <row r="4" spans="1:18" ht="39" customHeight="1" thickTop="1" x14ac:dyDescent="0.55000000000000004">
      <c r="C4" s="30" t="s">
        <v>41</v>
      </c>
      <c r="D4" s="30" t="s">
        <v>52</v>
      </c>
      <c r="E4" s="30" t="s">
        <v>43</v>
      </c>
      <c r="F4" s="30" t="s">
        <v>40</v>
      </c>
      <c r="G4" s="30" t="s">
        <v>50</v>
      </c>
      <c r="I4" s="50" t="s">
        <v>236</v>
      </c>
      <c r="J4" s="49" t="s">
        <v>60</v>
      </c>
      <c r="K4" s="50" t="s">
        <v>72</v>
      </c>
      <c r="L4" s="50" t="s">
        <v>70</v>
      </c>
      <c r="M4" s="50" t="s">
        <v>309</v>
      </c>
    </row>
    <row r="5" spans="1:18" ht="14.4" x14ac:dyDescent="0.55000000000000004">
      <c r="B5" s="5" t="s">
        <v>45</v>
      </c>
      <c r="C5" s="34">
        <v>15.9</v>
      </c>
      <c r="D5" s="34">
        <v>17.399999999999999</v>
      </c>
      <c r="E5" s="32">
        <v>0.13539999999999999</v>
      </c>
      <c r="F5" s="34">
        <v>1.53</v>
      </c>
      <c r="G5" s="33">
        <v>0.13469999999999999</v>
      </c>
      <c r="I5" s="189">
        <f>1/D5</f>
        <v>5.7471264367816098E-2</v>
      </c>
      <c r="J5" s="48">
        <f>F5*C5</f>
        <v>24.327000000000002</v>
      </c>
      <c r="K5" s="48">
        <f>C5+J5</f>
        <v>40.227000000000004</v>
      </c>
      <c r="L5" s="46">
        <f>J5/K5</f>
        <v>0.60474308300395252</v>
      </c>
      <c r="M5" s="48">
        <v>0.75</v>
      </c>
      <c r="O5" s="2">
        <f>C5*D5</f>
        <v>276.65999999999997</v>
      </c>
      <c r="P5" s="2">
        <f>C5*E5</f>
        <v>2.15286</v>
      </c>
      <c r="Q5" s="20">
        <f>G5*K5</f>
        <v>5.4185768999999997</v>
      </c>
    </row>
    <row r="6" spans="1:18" ht="14.4" x14ac:dyDescent="0.55000000000000004">
      <c r="B6" s="5" t="s">
        <v>46</v>
      </c>
      <c r="C6" s="34">
        <v>10.199999999999999</v>
      </c>
      <c r="D6" s="34">
        <v>15.3</v>
      </c>
      <c r="E6" s="32">
        <v>7.7600000000000002E-2</v>
      </c>
      <c r="F6" s="34">
        <v>0.92589999999999995</v>
      </c>
      <c r="G6" s="33">
        <v>0.1638</v>
      </c>
      <c r="I6" s="189">
        <f>1/D6</f>
        <v>6.535947712418301E-2</v>
      </c>
      <c r="J6" s="48">
        <f>F6*C6</f>
        <v>9.4441799999999994</v>
      </c>
      <c r="K6" s="48">
        <f>C6+J6</f>
        <v>19.644179999999999</v>
      </c>
      <c r="L6" s="46">
        <f>J6/K6</f>
        <v>0.48076224103016774</v>
      </c>
      <c r="M6" s="48">
        <v>0.62</v>
      </c>
      <c r="N6" s="24"/>
      <c r="O6" s="2">
        <f>C6*D6</f>
        <v>156.06</v>
      </c>
      <c r="P6" s="2">
        <f>C6*E6</f>
        <v>0.79152</v>
      </c>
      <c r="Q6" s="20">
        <f>G6*K6</f>
        <v>3.217716684</v>
      </c>
    </row>
    <row r="7" spans="1:18" ht="14.4" x14ac:dyDescent="0.55000000000000004">
      <c r="B7" s="5" t="s">
        <v>47</v>
      </c>
      <c r="C7" s="34">
        <v>3.74</v>
      </c>
      <c r="D7" s="34">
        <v>22.35</v>
      </c>
      <c r="E7" s="32">
        <v>9.4299999999999995E-2</v>
      </c>
      <c r="F7" s="34">
        <v>0.55159999999999998</v>
      </c>
      <c r="G7" s="33">
        <v>0.21060000000000001</v>
      </c>
      <c r="I7" s="189">
        <f>1/D7</f>
        <v>4.4742729306487691E-2</v>
      </c>
      <c r="J7" s="48">
        <f>F7*C7</f>
        <v>2.0629840000000002</v>
      </c>
      <c r="K7" s="48">
        <f>C7+J7</f>
        <v>5.8029840000000004</v>
      </c>
      <c r="L7" s="46">
        <f>J7/K7</f>
        <v>0.35550399587522558</v>
      </c>
      <c r="M7" s="48">
        <v>0.74</v>
      </c>
      <c r="N7" s="24"/>
      <c r="O7" s="2">
        <f>C7*D7</f>
        <v>83.589000000000013</v>
      </c>
      <c r="P7" s="2">
        <f>C7*E7</f>
        <v>0.352682</v>
      </c>
      <c r="Q7" s="20">
        <f>G7*K7</f>
        <v>1.2221084304000001</v>
      </c>
    </row>
    <row r="8" spans="1:18" ht="14.4" x14ac:dyDescent="0.55000000000000004">
      <c r="B8" s="5" t="s">
        <v>48</v>
      </c>
      <c r="C8" s="34">
        <v>2.2999999999999998</v>
      </c>
      <c r="D8" s="34" t="s">
        <v>42</v>
      </c>
      <c r="E8" s="32">
        <v>8.9899999999999994E-2</v>
      </c>
      <c r="F8" s="34">
        <v>1.0988</v>
      </c>
      <c r="G8" s="33">
        <v>-4.8000000000000001E-2</v>
      </c>
      <c r="I8" s="46" t="s">
        <v>42</v>
      </c>
      <c r="J8" s="48">
        <f>F8*C8</f>
        <v>2.5272399999999999</v>
      </c>
      <c r="K8" s="48">
        <f>C8+J8</f>
        <v>4.8272399999999998</v>
      </c>
      <c r="L8" s="46">
        <f>J8/K8</f>
        <v>0.52353725938631601</v>
      </c>
      <c r="M8" s="298" t="s">
        <v>42</v>
      </c>
      <c r="N8" s="24"/>
    </row>
    <row r="9" spans="1:18" ht="14.4" x14ac:dyDescent="0.55000000000000004">
      <c r="B9" s="35" t="s">
        <v>49</v>
      </c>
      <c r="C9" s="36">
        <v>0.13</v>
      </c>
      <c r="D9" s="34" t="s">
        <v>42</v>
      </c>
      <c r="E9" s="32">
        <v>-1.395</v>
      </c>
      <c r="F9" s="34">
        <v>26.15</v>
      </c>
      <c r="G9" s="33">
        <v>-4.6800000000000001E-2</v>
      </c>
      <c r="I9" s="46" t="s">
        <v>42</v>
      </c>
      <c r="J9" s="48">
        <f>F9*C9</f>
        <v>3.3994999999999997</v>
      </c>
      <c r="K9" s="48">
        <f>C9+J9</f>
        <v>3.5294999999999996</v>
      </c>
      <c r="L9" s="46">
        <f>J9/K9</f>
        <v>0.96316758747697973</v>
      </c>
      <c r="M9" s="48">
        <v>1.01</v>
      </c>
      <c r="N9" s="24"/>
    </row>
    <row r="10" spans="1:18" ht="14.4" x14ac:dyDescent="0.55000000000000004">
      <c r="B10"/>
      <c r="C10"/>
      <c r="D10"/>
      <c r="E10"/>
      <c r="F10"/>
      <c r="G10"/>
      <c r="I10"/>
      <c r="J10"/>
      <c r="L10"/>
      <c r="N10" s="24"/>
    </row>
    <row r="11" spans="1:18" ht="14.4" x14ac:dyDescent="0.55000000000000004">
      <c r="B11" s="40" t="s">
        <v>73</v>
      </c>
      <c r="D11" s="45">
        <f>AVERAGE(D5:D7)</f>
        <v>18.350000000000001</v>
      </c>
      <c r="E11" s="47">
        <f>AVERAGE(E5:E7)</f>
        <v>0.10243333333333333</v>
      </c>
      <c r="F11" s="47">
        <f>AVERAGE(F5:F8)</f>
        <v>1.026575</v>
      </c>
      <c r="G11" s="47">
        <f>AVERAGE(G5:G7)</f>
        <v>0.16969999999999999</v>
      </c>
      <c r="L11" s="47">
        <f>AVERAGE(L5:L7)</f>
        <v>0.48033643996978198</v>
      </c>
      <c r="M11" s="355">
        <f>AVERAGE(M5:M7,M9)</f>
        <v>0.78</v>
      </c>
      <c r="N11" s="7"/>
      <c r="O11" s="7">
        <f>SUM(O5:O7)</f>
        <v>516.30899999999997</v>
      </c>
      <c r="P11" s="7">
        <f>SUM(P5:P7)</f>
        <v>3.2970619999999999</v>
      </c>
      <c r="Q11" s="7">
        <f>SUM(Q5:Q7)</f>
        <v>9.8584020144000011</v>
      </c>
      <c r="R11" s="20"/>
    </row>
    <row r="12" spans="1:18" x14ac:dyDescent="0.55000000000000004">
      <c r="B12" s="39" t="s">
        <v>74</v>
      </c>
      <c r="D12" s="45">
        <f>O11/SUM(C5:C7)</f>
        <v>17.302580428954421</v>
      </c>
      <c r="E12" s="47">
        <f>P11/SUM(C5:C7)</f>
        <v>0.11049135388739945</v>
      </c>
      <c r="F12" s="47"/>
      <c r="G12" s="47">
        <f>Q11/SUM(K5:K7)</f>
        <v>0.15011081091797376</v>
      </c>
      <c r="L12" s="47">
        <f>SUM(J5:J7)/SUM(K5:K7)</f>
        <v>0.54563563230131107</v>
      </c>
    </row>
    <row r="15" spans="1:18" x14ac:dyDescent="0.55000000000000004">
      <c r="D15" s="6"/>
      <c r="E15" s="17"/>
      <c r="F15" s="23"/>
      <c r="G15" s="23"/>
    </row>
    <row r="16" spans="1:18" x14ac:dyDescent="0.55000000000000004">
      <c r="D16" s="6"/>
      <c r="E16" s="17"/>
      <c r="F16" s="23"/>
      <c r="G16" s="23"/>
    </row>
    <row r="17" spans="3:7" x14ac:dyDescent="0.55000000000000004">
      <c r="D17" s="6"/>
      <c r="E17" s="17"/>
      <c r="F17" s="23"/>
      <c r="G17" s="23"/>
    </row>
    <row r="24" spans="3:7" x14ac:dyDescent="0.55000000000000004">
      <c r="D24" s="191" t="s">
        <v>248</v>
      </c>
      <c r="E24" s="191" t="s">
        <v>255</v>
      </c>
      <c r="F24" s="191" t="s">
        <v>256</v>
      </c>
      <c r="G24" s="191" t="s">
        <v>257</v>
      </c>
    </row>
    <row r="25" spans="3:7" x14ac:dyDescent="0.55000000000000004">
      <c r="D25" s="192" t="s">
        <v>249</v>
      </c>
      <c r="E25" s="192" t="s">
        <v>176</v>
      </c>
      <c r="F25" s="192" t="s">
        <v>22</v>
      </c>
      <c r="G25" s="192" t="s">
        <v>258</v>
      </c>
    </row>
    <row r="26" spans="3:7" ht="14.4" x14ac:dyDescent="0.55000000000000004">
      <c r="C26" s="5" t="s">
        <v>250</v>
      </c>
      <c r="D26" s="188">
        <f>C5</f>
        <v>15.9</v>
      </c>
      <c r="E26" s="190">
        <f>I5</f>
        <v>5.7471264367816098E-2</v>
      </c>
      <c r="F26" s="190">
        <f>G5</f>
        <v>0.13469999999999999</v>
      </c>
      <c r="G26" s="190">
        <f>L5</f>
        <v>0.60474308300395252</v>
      </c>
    </row>
    <row r="27" spans="3:7" ht="14.4" x14ac:dyDescent="0.55000000000000004">
      <c r="C27" s="5" t="s">
        <v>251</v>
      </c>
      <c r="D27" s="188">
        <f t="shared" ref="D27:D30" si="0">C6</f>
        <v>10.199999999999999</v>
      </c>
      <c r="E27" s="190">
        <f>I6</f>
        <v>6.535947712418301E-2</v>
      </c>
      <c r="F27" s="190">
        <f>G6</f>
        <v>0.1638</v>
      </c>
      <c r="G27" s="190">
        <f>L6</f>
        <v>0.48076224103016774</v>
      </c>
    </row>
    <row r="28" spans="3:7" ht="14.4" x14ac:dyDescent="0.55000000000000004">
      <c r="C28" s="5" t="s">
        <v>252</v>
      </c>
      <c r="D28" s="188">
        <f t="shared" si="0"/>
        <v>3.74</v>
      </c>
      <c r="E28" s="190">
        <f>I7</f>
        <v>4.4742729306487691E-2</v>
      </c>
      <c r="F28" s="190">
        <f>G7</f>
        <v>0.21060000000000001</v>
      </c>
      <c r="G28" s="190">
        <f>L7</f>
        <v>0.35550399587522558</v>
      </c>
    </row>
    <row r="29" spans="3:7" ht="14.4" x14ac:dyDescent="0.55000000000000004">
      <c r="C29" s="5" t="s">
        <v>253</v>
      </c>
      <c r="D29" s="188">
        <f t="shared" si="0"/>
        <v>2.2999999999999998</v>
      </c>
      <c r="E29" s="190" t="str">
        <f>I8</f>
        <v>NA</v>
      </c>
      <c r="F29" s="190">
        <f>G8</f>
        <v>-4.8000000000000001E-2</v>
      </c>
      <c r="G29" s="190">
        <f>L8</f>
        <v>0.52353725938631601</v>
      </c>
    </row>
    <row r="30" spans="3:7" ht="14.4" x14ac:dyDescent="0.55000000000000004">
      <c r="C30" s="35" t="s">
        <v>254</v>
      </c>
      <c r="D30" s="188">
        <f t="shared" si="0"/>
        <v>0.13</v>
      </c>
      <c r="E30" s="190" t="str">
        <f>I9</f>
        <v>NA</v>
      </c>
      <c r="F30" s="190">
        <f>G9</f>
        <v>-4.6800000000000001E-2</v>
      </c>
      <c r="G30" s="190">
        <f>L9</f>
        <v>0.96316758747697973</v>
      </c>
    </row>
    <row r="31" spans="3:7" ht="14.4" x14ac:dyDescent="0.55000000000000004">
      <c r="C31" s="9" t="s">
        <v>160</v>
      </c>
      <c r="D31" s="188">
        <f>'Exhibit 2 (Winfield)'!S11/1000000</f>
        <v>0.29062500000000002</v>
      </c>
      <c r="E31" s="190">
        <f>'Exhibit 2 (Winfield)'!U11</f>
        <v>9.066787096774194E-2</v>
      </c>
      <c r="F31" s="190">
        <f>'Exhibit 2 (Winfield)'!N11</f>
        <v>0.10251618450333805</v>
      </c>
      <c r="G31" s="190">
        <f>('Exhibit 3'!C17+'Exhibit 3'!C20)/(('Exhibit 3'!C17+'Exhibit 3'!C20)+('Exhibit 3'!C21+'Exhibit 3'!C22+'Exhibit 3'!C23))</f>
        <v>2.5091729761211417E-2</v>
      </c>
    </row>
  </sheetData>
  <pageMargins left="0.3" right="0.3" top="0.5" bottom="0.5" header="0.1" footer="0.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1:Y34"/>
  <sheetViews>
    <sheetView showGridLines="0" zoomScale="86" workbookViewId="0">
      <selection activeCell="Q11" sqref="Q11"/>
    </sheetView>
  </sheetViews>
  <sheetFormatPr baseColWidth="10" defaultColWidth="9.1015625" defaultRowHeight="12.3" x14ac:dyDescent="0.55000000000000004"/>
  <cols>
    <col min="1" max="1" width="1.5234375" style="2" customWidth="1"/>
    <col min="2" max="2" width="11.68359375" style="2" customWidth="1"/>
    <col min="3" max="3" width="11.3671875" style="2" customWidth="1"/>
    <col min="4" max="4" width="11.734375" style="2" customWidth="1"/>
    <col min="5" max="5" width="10.68359375" style="2" customWidth="1"/>
    <col min="6" max="6" width="9.578125" style="2" customWidth="1"/>
    <col min="7" max="7" width="10.68359375" style="2" customWidth="1"/>
    <col min="8" max="9" width="10.3671875" style="2" customWidth="1"/>
    <col min="10" max="10" width="4.734375" style="2" customWidth="1"/>
    <col min="11" max="11" width="9.1015625" style="2"/>
    <col min="12" max="12" width="9.3125" style="2" bestFit="1" customWidth="1"/>
    <col min="13" max="13" width="9.3671875" style="2" customWidth="1"/>
    <col min="14" max="14" width="9.5234375" style="2" customWidth="1"/>
    <col min="15" max="15" width="10.20703125" style="2" customWidth="1"/>
    <col min="16" max="16" width="10.83984375" style="2" customWidth="1"/>
    <col min="17" max="17" width="9.89453125" style="2" customWidth="1"/>
    <col min="18" max="18" width="11" style="2" customWidth="1"/>
    <col min="19" max="19" width="9.68359375" style="2" customWidth="1"/>
    <col min="20" max="20" width="9.1015625" style="2"/>
    <col min="21" max="21" width="9.62890625" style="2" bestFit="1" customWidth="1"/>
    <col min="22" max="22" width="9.734375" style="2" customWidth="1"/>
    <col min="23" max="23" width="8.83984375" style="2" customWidth="1"/>
    <col min="24" max="16384" width="9.1015625" style="2"/>
  </cols>
  <sheetData>
    <row r="1" spans="1:25" x14ac:dyDescent="0.55000000000000004">
      <c r="A1" s="1"/>
      <c r="B1" s="1" t="s">
        <v>54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25" ht="12.6" thickBot="1" x14ac:dyDescent="0.6">
      <c r="B3" s="19" t="s">
        <v>33</v>
      </c>
    </row>
    <row r="4" spans="1:25" ht="15" customHeight="1" thickTop="1" thickBot="1" x14ac:dyDescent="0.6">
      <c r="C4" s="410" t="s">
        <v>0</v>
      </c>
      <c r="D4" s="411" t="s">
        <v>1</v>
      </c>
      <c r="E4" s="411" t="s">
        <v>2</v>
      </c>
      <c r="F4" s="411" t="s">
        <v>4</v>
      </c>
      <c r="G4" s="411" t="s">
        <v>3</v>
      </c>
      <c r="H4" s="411" t="s">
        <v>300</v>
      </c>
      <c r="I4" s="412"/>
      <c r="K4" s="49" t="s">
        <v>66</v>
      </c>
      <c r="L4" s="49" t="s">
        <v>28</v>
      </c>
      <c r="M4" s="49" t="s">
        <v>78</v>
      </c>
      <c r="N4" s="49" t="s">
        <v>61</v>
      </c>
      <c r="O4" s="49" t="s">
        <v>161</v>
      </c>
      <c r="P4" s="49" t="s">
        <v>63</v>
      </c>
      <c r="Q4" s="49" t="s">
        <v>63</v>
      </c>
      <c r="R4" s="49" t="s">
        <v>64</v>
      </c>
      <c r="S4" s="49" t="s">
        <v>66</v>
      </c>
      <c r="T4" s="49" t="s">
        <v>66</v>
      </c>
      <c r="U4" s="49" t="s">
        <v>176</v>
      </c>
      <c r="V4" s="50" t="s">
        <v>176</v>
      </c>
      <c r="W4" s="50" t="s">
        <v>235</v>
      </c>
      <c r="X4" s="50" t="s">
        <v>235</v>
      </c>
      <c r="Y4" s="50" t="s">
        <v>301</v>
      </c>
    </row>
    <row r="5" spans="1:25" ht="16.2" customHeight="1" thickTop="1" thickBot="1" x14ac:dyDescent="0.6">
      <c r="C5" s="410"/>
      <c r="D5" s="411"/>
      <c r="E5" s="411"/>
      <c r="F5" s="411"/>
      <c r="G5" s="411"/>
      <c r="H5" s="3" t="s">
        <v>5</v>
      </c>
      <c r="I5" s="4" t="s">
        <v>6</v>
      </c>
      <c r="K5" s="49" t="s">
        <v>28</v>
      </c>
      <c r="L5" s="49" t="s">
        <v>196</v>
      </c>
      <c r="M5" s="49" t="s">
        <v>79</v>
      </c>
      <c r="N5" s="49" t="s">
        <v>62</v>
      </c>
      <c r="O5" s="49" t="s">
        <v>197</v>
      </c>
      <c r="P5" s="49" t="s">
        <v>205</v>
      </c>
      <c r="Q5" s="49" t="s">
        <v>204</v>
      </c>
      <c r="R5" s="49" t="s">
        <v>65</v>
      </c>
      <c r="S5" s="49" t="s">
        <v>67</v>
      </c>
      <c r="T5" s="49" t="s">
        <v>69</v>
      </c>
      <c r="U5" s="50" t="s">
        <v>237</v>
      </c>
      <c r="V5" s="50" t="s">
        <v>238</v>
      </c>
      <c r="W5" s="50" t="s">
        <v>238</v>
      </c>
      <c r="X5" s="50" t="s">
        <v>237</v>
      </c>
      <c r="Y5" s="50" t="s">
        <v>302</v>
      </c>
    </row>
    <row r="6" spans="1:25" ht="12.6" thickTop="1" x14ac:dyDescent="0.55000000000000004">
      <c r="B6" s="5">
        <v>2006</v>
      </c>
      <c r="C6" s="6">
        <v>325088</v>
      </c>
      <c r="D6" s="6">
        <v>32509</v>
      </c>
      <c r="E6" s="6">
        <v>21455.94</v>
      </c>
      <c r="F6" s="7">
        <f t="shared" ref="F6:F9" si="0">E6/15000</f>
        <v>1.430396</v>
      </c>
      <c r="G6" s="7">
        <v>0.85</v>
      </c>
      <c r="H6" s="22">
        <v>17.03</v>
      </c>
      <c r="I6" s="22">
        <v>15.497300000000001</v>
      </c>
      <c r="K6" s="42">
        <f t="shared" ref="K6:K11" si="1">(H6+I6)/2</f>
        <v>16.263650000000002</v>
      </c>
      <c r="L6" s="41"/>
      <c r="M6" s="41"/>
      <c r="N6" s="51">
        <f t="shared" ref="N6:N12" si="2">D6/C6</f>
        <v>0.10000061521803327</v>
      </c>
      <c r="O6" s="41"/>
      <c r="P6" s="41">
        <f t="shared" ref="P6:P12" si="3">G6/F6</f>
        <v>0.59424103534965145</v>
      </c>
      <c r="Q6" s="51">
        <f t="shared" ref="Q6:Q11" si="4">G6/K6</f>
        <v>5.2263790723484575E-2</v>
      </c>
      <c r="R6" s="43">
        <f t="shared" ref="R6:R12" si="5">E6/F6</f>
        <v>14999.999999999998</v>
      </c>
      <c r="S6" s="43">
        <f t="shared" ref="S6:S11" si="6">R6*K6</f>
        <v>243954.75</v>
      </c>
      <c r="T6" s="44">
        <f t="shared" ref="T6:T11" si="7">K6/F6</f>
        <v>11.37003319360513</v>
      </c>
      <c r="U6" s="51">
        <f t="shared" ref="U6:U11" si="8">F6/K6</f>
        <v>8.7950490818481691E-2</v>
      </c>
      <c r="V6" s="51"/>
      <c r="W6" s="51"/>
      <c r="X6" s="51"/>
      <c r="Y6" s="51">
        <f t="shared" ref="Y6:Y11" si="9">1-E6/D6</f>
        <v>0.34000000000000008</v>
      </c>
    </row>
    <row r="7" spans="1:25" x14ac:dyDescent="0.55000000000000004">
      <c r="B7" s="5">
        <v>2007</v>
      </c>
      <c r="C7" s="6">
        <v>349556</v>
      </c>
      <c r="D7" s="6">
        <v>35655</v>
      </c>
      <c r="E7" s="6">
        <v>23888.85</v>
      </c>
      <c r="F7" s="7">
        <f t="shared" si="0"/>
        <v>1.59259</v>
      </c>
      <c r="G7" s="7">
        <v>0.9</v>
      </c>
      <c r="H7" s="22">
        <v>17.71</v>
      </c>
      <c r="I7" s="22">
        <v>16.506838399999999</v>
      </c>
      <c r="K7" s="42">
        <f t="shared" si="1"/>
        <v>17.1084192</v>
      </c>
      <c r="L7" s="41">
        <f>K7/K6-1</f>
        <v>5.1942165504053506E-2</v>
      </c>
      <c r="M7" s="41">
        <f t="shared" ref="M7:M12" si="10">C7/C6-1</f>
        <v>7.5265774190373058E-2</v>
      </c>
      <c r="N7" s="51">
        <f t="shared" si="2"/>
        <v>0.1020008239023218</v>
      </c>
      <c r="O7" s="41">
        <f t="shared" ref="O7:O12" si="11">E7/E6-1</f>
        <v>0.11339097704411927</v>
      </c>
      <c r="P7" s="41">
        <f t="shared" si="3"/>
        <v>0.5651171990279984</v>
      </c>
      <c r="Q7" s="51">
        <f t="shared" si="4"/>
        <v>5.2605678495415871E-2</v>
      </c>
      <c r="R7" s="43">
        <f t="shared" si="5"/>
        <v>15000</v>
      </c>
      <c r="S7" s="43">
        <f t="shared" si="6"/>
        <v>256626.288</v>
      </c>
      <c r="T7" s="44">
        <f t="shared" si="7"/>
        <v>10.742513264556477</v>
      </c>
      <c r="U7" s="51">
        <f t="shared" si="8"/>
        <v>9.3088086127793734E-2</v>
      </c>
      <c r="V7" s="51"/>
      <c r="W7" s="51"/>
      <c r="X7" s="51"/>
      <c r="Y7" s="51">
        <f t="shared" si="9"/>
        <v>0.33000000000000007</v>
      </c>
    </row>
    <row r="8" spans="1:25" x14ac:dyDescent="0.55000000000000004">
      <c r="B8" s="5">
        <v>2008</v>
      </c>
      <c r="C8" s="6">
        <v>371868</v>
      </c>
      <c r="D8" s="6">
        <v>33097</v>
      </c>
      <c r="E8" s="6">
        <v>21546.147000000001</v>
      </c>
      <c r="F8" s="7">
        <f t="shared" si="0"/>
        <v>1.4364098000000001</v>
      </c>
      <c r="G8" s="7">
        <v>0.9</v>
      </c>
      <c r="H8" s="22">
        <v>14.700296</v>
      </c>
      <c r="I8" s="22">
        <v>11.907239760000001</v>
      </c>
      <c r="K8" s="42">
        <f t="shared" si="1"/>
        <v>13.303767880000001</v>
      </c>
      <c r="L8" s="137">
        <f>K8/K7-1</f>
        <v>-0.22238473791897728</v>
      </c>
      <c r="M8" s="137">
        <f t="shared" si="10"/>
        <v>6.3829543764089225E-2</v>
      </c>
      <c r="N8" s="141">
        <f t="shared" si="2"/>
        <v>8.9002011466434328E-2</v>
      </c>
      <c r="O8" s="137">
        <f t="shared" si="11"/>
        <v>-9.8066796852924965E-2</v>
      </c>
      <c r="P8" s="137">
        <f t="shared" si="3"/>
        <v>0.62656214124966281</v>
      </c>
      <c r="Q8" s="141">
        <f t="shared" si="4"/>
        <v>6.7650007736003881E-2</v>
      </c>
      <c r="R8" s="43">
        <f t="shared" si="5"/>
        <v>15000</v>
      </c>
      <c r="S8" s="43">
        <f t="shared" si="6"/>
        <v>199556.51820000002</v>
      </c>
      <c r="T8" s="44">
        <f t="shared" si="7"/>
        <v>9.261819210645875</v>
      </c>
      <c r="U8" s="51">
        <f t="shared" si="8"/>
        <v>0.10797014898007977</v>
      </c>
      <c r="V8" s="51"/>
      <c r="W8" s="51"/>
      <c r="X8" s="51"/>
      <c r="Y8" s="51">
        <f t="shared" si="9"/>
        <v>0.34899999999999998</v>
      </c>
    </row>
    <row r="9" spans="1:25" x14ac:dyDescent="0.55000000000000004">
      <c r="B9" s="5">
        <v>2009</v>
      </c>
      <c r="C9" s="6">
        <v>379457</v>
      </c>
      <c r="D9" s="6">
        <v>35290</v>
      </c>
      <c r="E9" s="6">
        <v>22903.21</v>
      </c>
      <c r="F9" s="7">
        <f t="shared" si="0"/>
        <v>1.5268806666666666</v>
      </c>
      <c r="G9" s="7">
        <v>1</v>
      </c>
      <c r="H9" s="22">
        <v>16.559999999999999</v>
      </c>
      <c r="I9" s="22">
        <v>14.653255052800002</v>
      </c>
      <c r="K9" s="42">
        <f t="shared" si="1"/>
        <v>15.606627526400001</v>
      </c>
      <c r="L9" s="41">
        <f>K9/K8-1</f>
        <v>0.17309830321543473</v>
      </c>
      <c r="M9" s="41">
        <f t="shared" si="10"/>
        <v>2.0407779104413493E-2</v>
      </c>
      <c r="N9" s="51">
        <f t="shared" si="2"/>
        <v>9.3001315037013421E-2</v>
      </c>
      <c r="O9" s="41">
        <f t="shared" si="11"/>
        <v>6.2984022154865871E-2</v>
      </c>
      <c r="P9" s="41">
        <f t="shared" si="3"/>
        <v>0.65493002945875278</v>
      </c>
      <c r="Q9" s="51">
        <f t="shared" si="4"/>
        <v>6.4075342242160327E-2</v>
      </c>
      <c r="R9" s="43">
        <f t="shared" si="5"/>
        <v>15000</v>
      </c>
      <c r="S9" s="43">
        <f t="shared" si="6"/>
        <v>234099.41289599999</v>
      </c>
      <c r="T9" s="44">
        <f t="shared" si="7"/>
        <v>10.221249025616935</v>
      </c>
      <c r="U9" s="51">
        <f t="shared" si="8"/>
        <v>9.7835401279604578E-2</v>
      </c>
      <c r="V9" s="51"/>
      <c r="W9" s="51"/>
      <c r="X9" s="51"/>
      <c r="Y9" s="51">
        <f t="shared" si="9"/>
        <v>0.35099999999999998</v>
      </c>
    </row>
    <row r="10" spans="1:25" x14ac:dyDescent="0.55000000000000004">
      <c r="B10" s="5">
        <v>2010</v>
      </c>
      <c r="C10" s="6">
        <v>383223</v>
      </c>
      <c r="D10" s="6">
        <v>38002</v>
      </c>
      <c r="E10" s="6">
        <v>24853.308000000001</v>
      </c>
      <c r="F10" s="7">
        <f>E10/15000</f>
        <v>1.6568872000000001</v>
      </c>
      <c r="G10" s="7">
        <v>1</v>
      </c>
      <c r="H10" s="22">
        <v>18.8</v>
      </c>
      <c r="I10" s="22">
        <v>16.899999999999999</v>
      </c>
      <c r="K10" s="42">
        <f t="shared" si="1"/>
        <v>17.850000000000001</v>
      </c>
      <c r="L10" s="41">
        <f>K10/K9-1</f>
        <v>0.14374485902256184</v>
      </c>
      <c r="M10" s="41">
        <f t="shared" si="10"/>
        <v>9.9247082014561894E-3</v>
      </c>
      <c r="N10" s="51">
        <f t="shared" si="2"/>
        <v>9.9164194215900406E-2</v>
      </c>
      <c r="O10" s="41">
        <f t="shared" si="11"/>
        <v>8.5145182705830491E-2</v>
      </c>
      <c r="P10" s="41">
        <f t="shared" si="3"/>
        <v>0.60354138772995525</v>
      </c>
      <c r="Q10" s="51">
        <f t="shared" si="4"/>
        <v>5.6022408963585429E-2</v>
      </c>
      <c r="R10" s="43">
        <f t="shared" si="5"/>
        <v>15000</v>
      </c>
      <c r="S10" s="43">
        <f t="shared" si="6"/>
        <v>267750</v>
      </c>
      <c r="T10" s="44">
        <f t="shared" si="7"/>
        <v>10.773213770979702</v>
      </c>
      <c r="U10" s="51">
        <f t="shared" si="8"/>
        <v>9.2822812324929976E-2</v>
      </c>
      <c r="V10" s="51"/>
      <c r="W10" s="51"/>
      <c r="X10" s="51"/>
      <c r="Y10" s="51">
        <f t="shared" si="9"/>
        <v>0.34599999999999997</v>
      </c>
    </row>
    <row r="11" spans="1:25" x14ac:dyDescent="0.55000000000000004">
      <c r="B11" s="5">
        <v>2011</v>
      </c>
      <c r="C11" s="6">
        <v>395440</v>
      </c>
      <c r="D11" s="6">
        <v>40539</v>
      </c>
      <c r="E11" s="6">
        <v>26350.350000000002</v>
      </c>
      <c r="F11" s="7">
        <f>E11/15000</f>
        <v>1.7566900000000001</v>
      </c>
      <c r="G11" s="7">
        <v>1</v>
      </c>
      <c r="H11" s="22">
        <v>21.2</v>
      </c>
      <c r="I11" s="22">
        <v>17.55</v>
      </c>
      <c r="K11" s="42">
        <f t="shared" si="1"/>
        <v>19.375</v>
      </c>
      <c r="L11" s="41">
        <f>K11/K10-1</f>
        <v>8.5434173669467706E-2</v>
      </c>
      <c r="M11" s="41">
        <f t="shared" si="10"/>
        <v>3.1879610566171612E-2</v>
      </c>
      <c r="N11" s="51">
        <f t="shared" si="2"/>
        <v>0.10251618450333805</v>
      </c>
      <c r="O11" s="41">
        <f t="shared" si="11"/>
        <v>6.0235120411335163E-2</v>
      </c>
      <c r="P11" s="41">
        <f t="shared" si="3"/>
        <v>0.56925240082200046</v>
      </c>
      <c r="Q11" s="51">
        <f t="shared" si="4"/>
        <v>5.1612903225806452E-2</v>
      </c>
      <c r="R11" s="43">
        <f t="shared" si="5"/>
        <v>15000</v>
      </c>
      <c r="S11" s="43">
        <f t="shared" si="6"/>
        <v>290625</v>
      </c>
      <c r="T11" s="44">
        <f t="shared" si="7"/>
        <v>11.029265265926259</v>
      </c>
      <c r="U11" s="51">
        <f t="shared" si="8"/>
        <v>9.066787096774194E-2</v>
      </c>
      <c r="V11" s="51">
        <f>1/('Exhibit 3'!C21+'Exhibit 3'!C22+'Exhibit 3'!C23)*E11</f>
        <v>3.9354314056696343E-2</v>
      </c>
      <c r="W11" s="51">
        <f>1/'Exhibit 3'!C13*D11</f>
        <v>5.4074999899957447E-2</v>
      </c>
      <c r="X11" s="51">
        <f>1/('Exhibit 3'!C20+'Exhibit 3'!C17+S11)*D11</f>
        <v>0.13168083986773124</v>
      </c>
      <c r="Y11" s="51">
        <f t="shared" si="9"/>
        <v>0.35</v>
      </c>
    </row>
    <row r="12" spans="1:25" ht="12.6" thickBot="1" x14ac:dyDescent="0.6">
      <c r="B12" s="5" t="s">
        <v>7</v>
      </c>
      <c r="C12" s="6">
        <v>410223</v>
      </c>
      <c r="D12" s="6">
        <v>42121</v>
      </c>
      <c r="E12" s="6">
        <v>27378.65</v>
      </c>
      <c r="F12" s="7">
        <f>E12/15000</f>
        <v>1.8252433333333333</v>
      </c>
      <c r="G12" s="7">
        <v>1</v>
      </c>
      <c r="K12" s="42"/>
      <c r="L12" s="41"/>
      <c r="M12" s="41">
        <f t="shared" si="10"/>
        <v>3.7383673882257717E-2</v>
      </c>
      <c r="N12" s="51">
        <f t="shared" si="2"/>
        <v>0.10267829936400445</v>
      </c>
      <c r="O12" s="41">
        <f t="shared" si="11"/>
        <v>3.9024149584350853E-2</v>
      </c>
      <c r="P12" s="41">
        <f t="shared" si="3"/>
        <v>0.54787215585867088</v>
      </c>
      <c r="Q12" s="51"/>
      <c r="R12" s="43">
        <f t="shared" si="5"/>
        <v>15000</v>
      </c>
      <c r="S12" s="42"/>
      <c r="T12" s="42"/>
      <c r="U12" s="51"/>
      <c r="V12" s="51"/>
      <c r="W12" s="51"/>
      <c r="X12" s="51"/>
    </row>
    <row r="13" spans="1:25" ht="12.6" thickBot="1" x14ac:dyDescent="0.6">
      <c r="B13" s="5"/>
      <c r="K13" s="7"/>
      <c r="N13" s="7"/>
      <c r="O13" s="7"/>
      <c r="P13" s="7"/>
      <c r="Q13" s="7"/>
      <c r="R13" s="7"/>
      <c r="S13" s="196"/>
      <c r="T13" s="197" t="s">
        <v>246</v>
      </c>
      <c r="U13" s="198">
        <f>S11</f>
        <v>290625</v>
      </c>
      <c r="V13" s="198">
        <f>'Exhibit 3'!C21+'Exhibit 3'!C22+'Exhibit 3'!C23</f>
        <v>669567</v>
      </c>
      <c r="W13" s="199">
        <f>U13/V13</f>
        <v>0.43404916908987451</v>
      </c>
      <c r="X13" s="200" t="s">
        <v>239</v>
      </c>
      <c r="Y13" s="201"/>
    </row>
    <row r="14" spans="1:25" x14ac:dyDescent="0.55000000000000004">
      <c r="B14" s="41" t="s">
        <v>80</v>
      </c>
      <c r="C14" s="51">
        <f>((C12/C6)^(1/6)-1)</f>
        <v>3.9528765003894462E-2</v>
      </c>
      <c r="D14" s="51">
        <f>((D12/D6)^(1/6)-1)</f>
        <v>4.4117024661628923E-2</v>
      </c>
      <c r="E14" s="51">
        <f>((E12/E6)^(1/6)-1)</f>
        <v>4.1463564133703334E-2</v>
      </c>
      <c r="F14" s="51">
        <f>((F12/F6)^(1/6)-1)</f>
        <v>4.1463564133703334E-2</v>
      </c>
      <c r="G14" s="51">
        <f>((G12/G6)^(1/6)-1)</f>
        <v>2.745666184905371E-2</v>
      </c>
      <c r="M14" s="23"/>
    </row>
    <row r="15" spans="1:25" x14ac:dyDescent="0.55000000000000004">
      <c r="B15" s="41" t="s">
        <v>81</v>
      </c>
      <c r="C15" s="51">
        <f t="shared" ref="C15:I15" si="12">((C11/C6)^(1/5)-1)</f>
        <v>3.9958315206635397E-2</v>
      </c>
      <c r="D15" s="51">
        <f t="shared" si="12"/>
        <v>4.5138591355220692E-2</v>
      </c>
      <c r="E15" s="51">
        <f t="shared" si="12"/>
        <v>4.1952133882852127E-2</v>
      </c>
      <c r="F15" s="51">
        <f t="shared" si="12"/>
        <v>4.1952133882852127E-2</v>
      </c>
      <c r="G15" s="51">
        <f t="shared" si="12"/>
        <v>3.3037804113932312E-2</v>
      </c>
      <c r="H15" s="51">
        <f t="shared" si="12"/>
        <v>4.4778537793241924E-2</v>
      </c>
      <c r="I15" s="51">
        <f t="shared" si="12"/>
        <v>2.5189657254231612E-2</v>
      </c>
      <c r="J15" s="51"/>
      <c r="K15" s="51">
        <f>((K11/K6)^(1/5)-1)</f>
        <v>3.5630276123637117E-2</v>
      </c>
      <c r="L15" s="51"/>
      <c r="M15" s="51"/>
      <c r="N15" s="51"/>
      <c r="O15" s="51"/>
      <c r="P15" s="51"/>
      <c r="Q15" s="51">
        <f>AVERAGE(Q6:Q11)</f>
        <v>5.7371688564409419E-2</v>
      </c>
      <c r="R15" s="51" t="s">
        <v>338</v>
      </c>
      <c r="S15" s="51">
        <f>((S11/S6)^(1/5)-1)</f>
        <v>3.5630276123637117E-2</v>
      </c>
      <c r="T15" s="51">
        <f>((T11/T6)^(1/5)-1)</f>
        <v>-6.0673207085401026E-3</v>
      </c>
    </row>
    <row r="16" spans="1:25" ht="12.6" thickBot="1" x14ac:dyDescent="0.6">
      <c r="D16" s="21"/>
      <c r="F16" s="20"/>
      <c r="H16" s="20"/>
      <c r="K16" s="136"/>
      <c r="L16" s="136"/>
    </row>
    <row r="17" spans="2:15" ht="12.6" thickBot="1" x14ac:dyDescent="0.6">
      <c r="D17" s="21"/>
      <c r="E17" s="17"/>
      <c r="F17" s="23"/>
      <c r="H17" s="20"/>
      <c r="K17" s="359">
        <f>K18+K19</f>
        <v>9.3001964688046529E-2</v>
      </c>
      <c r="L17" s="360" t="s">
        <v>336</v>
      </c>
      <c r="M17" s="361"/>
      <c r="N17" s="361"/>
      <c r="O17" s="362"/>
    </row>
    <row r="18" spans="2:15" x14ac:dyDescent="0.55000000000000004">
      <c r="D18" s="21"/>
      <c r="E18" s="17"/>
      <c r="F18" s="23"/>
      <c r="K18" s="363">
        <f>K15</f>
        <v>3.5630276123637117E-2</v>
      </c>
      <c r="L18" s="364" t="s">
        <v>337</v>
      </c>
      <c r="M18" s="365"/>
      <c r="N18" s="365"/>
      <c r="O18" s="366"/>
    </row>
    <row r="19" spans="2:15" ht="12.6" thickBot="1" x14ac:dyDescent="0.6">
      <c r="D19" s="21"/>
      <c r="E19" s="17"/>
      <c r="F19" s="23"/>
      <c r="K19" s="367">
        <f>Q15</f>
        <v>5.7371688564409419E-2</v>
      </c>
      <c r="L19" s="368" t="s">
        <v>339</v>
      </c>
      <c r="M19" s="369"/>
      <c r="N19" s="369"/>
      <c r="O19" s="370"/>
    </row>
    <row r="20" spans="2:15" x14ac:dyDescent="0.55000000000000004">
      <c r="D20" s="21"/>
      <c r="L20" s="136"/>
    </row>
    <row r="21" spans="2:15" x14ac:dyDescent="0.55000000000000004">
      <c r="D21" s="24"/>
      <c r="K21" s="136"/>
    </row>
    <row r="22" spans="2:15" x14ac:dyDescent="0.55000000000000004">
      <c r="D22" s="24"/>
    </row>
    <row r="25" spans="2:15" x14ac:dyDescent="0.55000000000000004">
      <c r="C25" s="191" t="s">
        <v>248</v>
      </c>
      <c r="D25" s="191" t="s">
        <v>255</v>
      </c>
      <c r="E25" s="191" t="s">
        <v>256</v>
      </c>
      <c r="F25" s="191" t="s">
        <v>257</v>
      </c>
      <c r="H25" s="191" t="s">
        <v>260</v>
      </c>
      <c r="I25" s="191" t="s">
        <v>261</v>
      </c>
      <c r="K25" s="191" t="s">
        <v>262</v>
      </c>
    </row>
    <row r="26" spans="2:15" x14ac:dyDescent="0.55000000000000004">
      <c r="C26" s="192" t="s">
        <v>78</v>
      </c>
      <c r="D26" s="192" t="s">
        <v>22</v>
      </c>
      <c r="E26" s="192" t="s">
        <v>161</v>
      </c>
      <c r="F26" s="192" t="s">
        <v>259</v>
      </c>
      <c r="H26" s="192" t="s">
        <v>249</v>
      </c>
      <c r="I26" s="192" t="s">
        <v>69</v>
      </c>
      <c r="J26" s="192"/>
      <c r="K26" s="192" t="s">
        <v>176</v>
      </c>
    </row>
    <row r="27" spans="2:15" x14ac:dyDescent="0.55000000000000004">
      <c r="B27" s="5">
        <v>2006</v>
      </c>
      <c r="C27" s="17">
        <f>C6</f>
        <v>325088</v>
      </c>
      <c r="D27" s="17">
        <f>D6</f>
        <v>32509</v>
      </c>
      <c r="E27" s="17">
        <f>E6</f>
        <v>21455.94</v>
      </c>
      <c r="F27" s="193">
        <f>P6</f>
        <v>0.59424103534965145</v>
      </c>
      <c r="H27" s="17">
        <f>S6</f>
        <v>243954.75</v>
      </c>
      <c r="I27" s="194">
        <f>T6</f>
        <v>11.37003319360513</v>
      </c>
      <c r="K27" s="195">
        <f t="shared" ref="K27:K32" si="13">U6</f>
        <v>8.7950490818481691E-2</v>
      </c>
    </row>
    <row r="28" spans="2:15" x14ac:dyDescent="0.55000000000000004">
      <c r="B28" s="5">
        <v>2007</v>
      </c>
      <c r="C28" s="17">
        <f t="shared" ref="C28:E32" si="14">C7</f>
        <v>349556</v>
      </c>
      <c r="D28" s="17">
        <f t="shared" si="14"/>
        <v>35655</v>
      </c>
      <c r="E28" s="17">
        <f t="shared" si="14"/>
        <v>23888.85</v>
      </c>
      <c r="F28" s="193">
        <f t="shared" ref="F28:F32" si="15">P7</f>
        <v>0.5651171990279984</v>
      </c>
      <c r="H28" s="17">
        <f t="shared" ref="H28:H32" si="16">S7</f>
        <v>256626.288</v>
      </c>
      <c r="I28" s="194">
        <f t="shared" ref="I28:I32" si="17">T7</f>
        <v>10.742513264556477</v>
      </c>
      <c r="K28" s="195">
        <f t="shared" si="13"/>
        <v>9.3088086127793734E-2</v>
      </c>
    </row>
    <row r="29" spans="2:15" x14ac:dyDescent="0.55000000000000004">
      <c r="B29" s="5">
        <v>2008</v>
      </c>
      <c r="C29" s="17">
        <f t="shared" si="14"/>
        <v>371868</v>
      </c>
      <c r="D29" s="17">
        <f t="shared" si="14"/>
        <v>33097</v>
      </c>
      <c r="E29" s="17">
        <f t="shared" si="14"/>
        <v>21546.147000000001</v>
      </c>
      <c r="F29" s="193">
        <f t="shared" si="15"/>
        <v>0.62656214124966281</v>
      </c>
      <c r="H29" s="17">
        <f t="shared" si="16"/>
        <v>199556.51820000002</v>
      </c>
      <c r="I29" s="194">
        <f t="shared" si="17"/>
        <v>9.261819210645875</v>
      </c>
      <c r="K29" s="195">
        <f t="shared" si="13"/>
        <v>0.10797014898007977</v>
      </c>
    </row>
    <row r="30" spans="2:15" x14ac:dyDescent="0.55000000000000004">
      <c r="B30" s="5">
        <v>2009</v>
      </c>
      <c r="C30" s="17">
        <f t="shared" si="14"/>
        <v>379457</v>
      </c>
      <c r="D30" s="17">
        <f t="shared" si="14"/>
        <v>35290</v>
      </c>
      <c r="E30" s="17">
        <f t="shared" si="14"/>
        <v>22903.21</v>
      </c>
      <c r="F30" s="193">
        <f t="shared" si="15"/>
        <v>0.65493002945875278</v>
      </c>
      <c r="H30" s="17">
        <f t="shared" si="16"/>
        <v>234099.41289599999</v>
      </c>
      <c r="I30" s="194">
        <f t="shared" si="17"/>
        <v>10.221249025616935</v>
      </c>
      <c r="K30" s="195">
        <f t="shared" si="13"/>
        <v>9.7835401279604578E-2</v>
      </c>
    </row>
    <row r="31" spans="2:15" x14ac:dyDescent="0.55000000000000004">
      <c r="B31" s="5">
        <v>2010</v>
      </c>
      <c r="C31" s="17">
        <f t="shared" si="14"/>
        <v>383223</v>
      </c>
      <c r="D31" s="17">
        <f t="shared" si="14"/>
        <v>38002</v>
      </c>
      <c r="E31" s="17">
        <f t="shared" si="14"/>
        <v>24853.308000000001</v>
      </c>
      <c r="F31" s="193">
        <f t="shared" si="15"/>
        <v>0.60354138772995525</v>
      </c>
      <c r="H31" s="17">
        <f t="shared" si="16"/>
        <v>267750</v>
      </c>
      <c r="I31" s="194">
        <f t="shared" si="17"/>
        <v>10.773213770979702</v>
      </c>
      <c r="K31" s="195">
        <f t="shared" si="13"/>
        <v>9.2822812324929976E-2</v>
      </c>
    </row>
    <row r="32" spans="2:15" x14ac:dyDescent="0.55000000000000004">
      <c r="B32" s="5">
        <v>2011</v>
      </c>
      <c r="C32" s="17">
        <f t="shared" si="14"/>
        <v>395440</v>
      </c>
      <c r="D32" s="17">
        <f t="shared" si="14"/>
        <v>40539</v>
      </c>
      <c r="E32" s="17">
        <f t="shared" si="14"/>
        <v>26350.350000000002</v>
      </c>
      <c r="F32" s="193">
        <f t="shared" si="15"/>
        <v>0.56925240082200046</v>
      </c>
      <c r="H32" s="17">
        <f t="shared" si="16"/>
        <v>290625</v>
      </c>
      <c r="I32" s="194">
        <f t="shared" si="17"/>
        <v>11.029265265926259</v>
      </c>
      <c r="K32" s="195">
        <f t="shared" si="13"/>
        <v>9.066787096774194E-2</v>
      </c>
    </row>
    <row r="34" spans="2:8" x14ac:dyDescent="0.55000000000000004">
      <c r="B34" s="41" t="s">
        <v>81</v>
      </c>
      <c r="C34" s="51">
        <f>((C32/C27)^(1/5)-1)</f>
        <v>3.9958315206635397E-2</v>
      </c>
      <c r="D34" s="51">
        <f>((D32/D27)^(1/5)-1)</f>
        <v>4.5138591355220692E-2</v>
      </c>
      <c r="E34" s="51">
        <f>((E32/E27)^(1/5)-1)</f>
        <v>4.1952133882852127E-2</v>
      </c>
      <c r="H34" s="51">
        <f>((H32/H27)^(1/5)-1)</f>
        <v>3.5630276123637117E-2</v>
      </c>
    </row>
  </sheetData>
  <mergeCells count="6">
    <mergeCell ref="C4:C5"/>
    <mergeCell ref="H4:I4"/>
    <mergeCell ref="G4:G5"/>
    <mergeCell ref="F4:F5"/>
    <mergeCell ref="E4:E5"/>
    <mergeCell ref="D4:D5"/>
  </mergeCells>
  <pageMargins left="0.3" right="0.3" top="0.5" bottom="0.5" header="0.1" footer="0.1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ADCE-FA04-4B8F-B3D3-7508BEB60DD9}">
  <sheetPr codeName="Hoja3">
    <pageSetUpPr fitToPage="1"/>
  </sheetPr>
  <dimension ref="A1:M34"/>
  <sheetViews>
    <sheetView showGridLines="0" topLeftCell="A3" workbookViewId="0">
      <selection activeCell="C36" sqref="C36"/>
    </sheetView>
  </sheetViews>
  <sheetFormatPr baseColWidth="10" defaultColWidth="9.1015625" defaultRowHeight="12.3" x14ac:dyDescent="0.55000000000000004"/>
  <cols>
    <col min="1" max="1" width="2.3125" style="2" customWidth="1"/>
    <col min="2" max="2" width="44.3125" style="2" customWidth="1"/>
    <col min="3" max="3" width="13.41796875" style="2" bestFit="1" customWidth="1"/>
    <col min="4" max="4" width="12.1015625" style="2" bestFit="1" customWidth="1"/>
    <col min="5" max="5" width="14.578125" style="2" bestFit="1" customWidth="1"/>
    <col min="6" max="16384" width="9.1015625" style="2"/>
  </cols>
  <sheetData>
    <row r="1" spans="1:13" x14ac:dyDescent="0.55000000000000004">
      <c r="A1" s="1"/>
      <c r="B1" s="1" t="s">
        <v>55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 x14ac:dyDescent="0.55000000000000004">
      <c r="B3" s="19" t="s">
        <v>34</v>
      </c>
      <c r="C3" s="25">
        <v>2011</v>
      </c>
    </row>
    <row r="4" spans="1:13" x14ac:dyDescent="0.55000000000000004">
      <c r="B4" s="2" t="s">
        <v>8</v>
      </c>
      <c r="C4" s="6">
        <v>27330</v>
      </c>
    </row>
    <row r="5" spans="1:13" x14ac:dyDescent="0.55000000000000004">
      <c r="B5" s="2" t="s">
        <v>9</v>
      </c>
      <c r="C5" s="6">
        <v>48741</v>
      </c>
    </row>
    <row r="6" spans="1:13" x14ac:dyDescent="0.55000000000000004">
      <c r="B6" s="2" t="s">
        <v>10</v>
      </c>
      <c r="C6" s="6">
        <v>7488</v>
      </c>
    </row>
    <row r="7" spans="1:13" x14ac:dyDescent="0.55000000000000004">
      <c r="B7" s="28" t="s">
        <v>11</v>
      </c>
      <c r="C7" s="27">
        <f>SUM(C4:C6)</f>
        <v>83559</v>
      </c>
    </row>
    <row r="8" spans="1:13" x14ac:dyDescent="0.55000000000000004">
      <c r="C8" s="6"/>
    </row>
    <row r="9" spans="1:13" x14ac:dyDescent="0.55000000000000004">
      <c r="B9" s="2" t="s">
        <v>12</v>
      </c>
      <c r="C9" s="6">
        <v>522043</v>
      </c>
    </row>
    <row r="10" spans="1:13" x14ac:dyDescent="0.55000000000000004">
      <c r="B10" s="2" t="s">
        <v>53</v>
      </c>
      <c r="C10" s="6">
        <v>101423</v>
      </c>
    </row>
    <row r="11" spans="1:13" x14ac:dyDescent="0.55000000000000004">
      <c r="B11" s="2" t="s">
        <v>13</v>
      </c>
      <c r="C11" s="6">
        <v>42656</v>
      </c>
      <c r="D11" s="17"/>
    </row>
    <row r="12" spans="1:13" x14ac:dyDescent="0.55000000000000004">
      <c r="C12" s="6"/>
    </row>
    <row r="13" spans="1:13" ht="12.6" thickBot="1" x14ac:dyDescent="0.6">
      <c r="B13" s="28" t="s">
        <v>14</v>
      </c>
      <c r="C13" s="29">
        <f>SUM(C7:C11)</f>
        <v>749681</v>
      </c>
      <c r="D13" s="17"/>
      <c r="E13" s="20"/>
    </row>
    <row r="14" spans="1:13" ht="12.6" thickTop="1" x14ac:dyDescent="0.55000000000000004">
      <c r="C14" s="6"/>
      <c r="D14" s="20"/>
    </row>
    <row r="15" spans="1:13" x14ac:dyDescent="0.55000000000000004">
      <c r="B15" s="2" t="s">
        <v>15</v>
      </c>
      <c r="C15" s="6">
        <v>36998</v>
      </c>
    </row>
    <row r="16" spans="1:13" x14ac:dyDescent="0.55000000000000004">
      <c r="B16" s="2" t="s">
        <v>16</v>
      </c>
      <c r="C16" s="6">
        <v>25883</v>
      </c>
      <c r="D16" s="17"/>
    </row>
    <row r="17" spans="2:5" x14ac:dyDescent="0.55000000000000004">
      <c r="B17" s="2" t="s">
        <v>38</v>
      </c>
      <c r="C17" s="6">
        <v>1420</v>
      </c>
    </row>
    <row r="18" spans="2:5" x14ac:dyDescent="0.55000000000000004">
      <c r="B18" s="28" t="s">
        <v>17</v>
      </c>
      <c r="C18" s="27">
        <f>SUM(C15:C17)</f>
        <v>64301</v>
      </c>
    </row>
    <row r="19" spans="2:5" x14ac:dyDescent="0.55000000000000004">
      <c r="B19" s="8"/>
      <c r="C19" s="6"/>
    </row>
    <row r="20" spans="2:5" x14ac:dyDescent="0.55000000000000004">
      <c r="B20" s="2" t="s">
        <v>36</v>
      </c>
      <c r="C20" s="6">
        <v>15813</v>
      </c>
      <c r="D20" s="24"/>
    </row>
    <row r="21" spans="2:5" x14ac:dyDescent="0.55000000000000004">
      <c r="B21" s="2" t="s">
        <v>18</v>
      </c>
      <c r="C21" s="6">
        <v>15</v>
      </c>
    </row>
    <row r="22" spans="2:5" x14ac:dyDescent="0.55000000000000004">
      <c r="B22" s="2" t="s">
        <v>19</v>
      </c>
      <c r="C22" s="6">
        <v>146257</v>
      </c>
      <c r="D22" s="24"/>
      <c r="E22" s="20"/>
    </row>
    <row r="23" spans="2:5" x14ac:dyDescent="0.55000000000000004">
      <c r="B23" s="2" t="s">
        <v>20</v>
      </c>
      <c r="C23" s="6">
        <v>523295</v>
      </c>
      <c r="D23" s="37"/>
      <c r="E23" s="17"/>
    </row>
    <row r="24" spans="2:5" x14ac:dyDescent="0.55000000000000004">
      <c r="B24" s="28" t="s">
        <v>37</v>
      </c>
      <c r="C24" s="27">
        <f>SUM(C20:C23)</f>
        <v>685380</v>
      </c>
      <c r="D24" s="20"/>
    </row>
    <row r="25" spans="2:5" x14ac:dyDescent="0.55000000000000004">
      <c r="B25" s="8"/>
      <c r="C25" s="6"/>
    </row>
    <row r="26" spans="2:5" ht="12.6" thickBot="1" x14ac:dyDescent="0.6">
      <c r="B26" s="9" t="s">
        <v>21</v>
      </c>
      <c r="C26" s="29">
        <f>C24+C18</f>
        <v>749681</v>
      </c>
      <c r="D26" s="17"/>
    </row>
    <row r="27" spans="2:5" ht="12.6" thickTop="1" x14ac:dyDescent="0.55000000000000004"/>
    <row r="29" spans="2:5" x14ac:dyDescent="0.55000000000000004">
      <c r="B29" s="184" t="s">
        <v>240</v>
      </c>
      <c r="C29" s="185"/>
    </row>
    <row r="30" spans="2:5" x14ac:dyDescent="0.55000000000000004">
      <c r="B30" s="185" t="s">
        <v>241</v>
      </c>
      <c r="C30" s="186">
        <f>C21+C22+C23</f>
        <v>669567</v>
      </c>
      <c r="D30" s="17"/>
    </row>
    <row r="31" spans="2:5" x14ac:dyDescent="0.55000000000000004">
      <c r="B31" s="185" t="s">
        <v>243</v>
      </c>
      <c r="C31" s="186">
        <f>-'Exhibit 2 (Winfield)'!E11</f>
        <v>-26350.350000000002</v>
      </c>
    </row>
    <row r="32" spans="2:5" x14ac:dyDescent="0.55000000000000004">
      <c r="B32" s="185" t="s">
        <v>242</v>
      </c>
      <c r="C32" s="187">
        <f>'Exhibit 2 (Winfield)'!G11*15000</f>
        <v>15000</v>
      </c>
    </row>
    <row r="33" spans="2:3" x14ac:dyDescent="0.55000000000000004">
      <c r="B33" s="185" t="s">
        <v>244</v>
      </c>
      <c r="C33" s="186">
        <f>C30+C31+C32</f>
        <v>658216.65</v>
      </c>
    </row>
    <row r="34" spans="2:3" x14ac:dyDescent="0.55000000000000004">
      <c r="B34" s="185" t="s">
        <v>245</v>
      </c>
      <c r="C34" s="186">
        <f>C13*C33/C30</f>
        <v>736972.5753937246</v>
      </c>
    </row>
  </sheetData>
  <pageMargins left="0.3" right="0.3" top="0.5" bottom="0.5" header="0.1" footer="0.1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pageSetUpPr fitToPage="1"/>
  </sheetPr>
  <dimension ref="A1:M23"/>
  <sheetViews>
    <sheetView showGridLines="0" workbookViewId="0">
      <selection activeCell="F12" sqref="F12"/>
    </sheetView>
  </sheetViews>
  <sheetFormatPr baseColWidth="10" defaultColWidth="9.1015625" defaultRowHeight="12.3" x14ac:dyDescent="0.55000000000000004"/>
  <cols>
    <col min="1" max="1" width="2.3125" style="2" customWidth="1"/>
    <col min="2" max="2" width="31.41796875" style="2" customWidth="1"/>
    <col min="3" max="6" width="16.41796875" style="2" bestFit="1" customWidth="1"/>
    <col min="7" max="8" width="9.1015625" style="2"/>
    <col min="9" max="9" width="17.68359375" style="2" bestFit="1" customWidth="1"/>
    <col min="10" max="16384" width="9.1015625" style="2"/>
  </cols>
  <sheetData>
    <row r="1" spans="1:13" x14ac:dyDescent="0.55000000000000004">
      <c r="A1" s="1"/>
      <c r="B1" s="1" t="s">
        <v>51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 ht="12.6" thickBot="1" x14ac:dyDescent="0.6">
      <c r="B3" s="19" t="s">
        <v>32</v>
      </c>
    </row>
    <row r="4" spans="1:13" ht="16.5" customHeight="1" thickTop="1" thickBot="1" x14ac:dyDescent="0.6">
      <c r="B4" s="9"/>
      <c r="C4" s="413" t="s">
        <v>31</v>
      </c>
      <c r="D4" s="414"/>
      <c r="E4" s="413" t="s">
        <v>35</v>
      </c>
      <c r="F4" s="414"/>
    </row>
    <row r="5" spans="1:13" ht="12.9" thickTop="1" thickBot="1" x14ac:dyDescent="0.45">
      <c r="B5" s="16"/>
      <c r="C5" s="13" t="s">
        <v>29</v>
      </c>
      <c r="D5" s="13" t="s">
        <v>28</v>
      </c>
      <c r="E5" s="13" t="s">
        <v>29</v>
      </c>
      <c r="F5" s="13" t="s">
        <v>28</v>
      </c>
    </row>
    <row r="6" spans="1:13" ht="12.6" thickTop="1" x14ac:dyDescent="0.4">
      <c r="B6" s="10" t="s">
        <v>22</v>
      </c>
      <c r="C6" s="11">
        <v>24350</v>
      </c>
      <c r="D6" s="11">
        <f>C6</f>
        <v>24350</v>
      </c>
      <c r="E6" s="11">
        <v>66000</v>
      </c>
      <c r="F6" s="11">
        <v>66000</v>
      </c>
    </row>
    <row r="7" spans="1:13" x14ac:dyDescent="0.4">
      <c r="B7" s="10" t="s">
        <v>23</v>
      </c>
      <c r="C7" s="15">
        <v>8125</v>
      </c>
      <c r="D7" s="15">
        <v>0</v>
      </c>
      <c r="E7" s="15">
        <f>C7</f>
        <v>8125</v>
      </c>
      <c r="F7" s="15">
        <v>0</v>
      </c>
      <c r="H7" s="17"/>
      <c r="I7" s="18"/>
    </row>
    <row r="8" spans="1:13" x14ac:dyDescent="0.4">
      <c r="B8" s="10" t="s">
        <v>24</v>
      </c>
      <c r="C8" s="15">
        <f>C6-C7</f>
        <v>16225</v>
      </c>
      <c r="D8" s="15">
        <f t="shared" ref="D8:F8" si="0">D6-D7</f>
        <v>24350</v>
      </c>
      <c r="E8" s="15">
        <f t="shared" si="0"/>
        <v>57875</v>
      </c>
      <c r="F8" s="15">
        <f t="shared" si="0"/>
        <v>66000</v>
      </c>
      <c r="H8" s="17"/>
      <c r="I8" s="18"/>
    </row>
    <row r="9" spans="1:13" x14ac:dyDescent="0.4">
      <c r="B9" s="10" t="s">
        <v>25</v>
      </c>
      <c r="C9" s="15">
        <f>C8*35%</f>
        <v>5678.75</v>
      </c>
      <c r="D9" s="15">
        <f>D8*35%</f>
        <v>8522.5</v>
      </c>
      <c r="E9" s="15">
        <f>E8*35%</f>
        <v>20256.25</v>
      </c>
      <c r="F9" s="15">
        <f>F8*35%</f>
        <v>23100</v>
      </c>
      <c r="H9" s="17"/>
      <c r="I9" s="18"/>
    </row>
    <row r="10" spans="1:13" x14ac:dyDescent="0.4">
      <c r="B10" s="10" t="s">
        <v>26</v>
      </c>
      <c r="C10" s="15">
        <f>C8-C9</f>
        <v>10546.25</v>
      </c>
      <c r="D10" s="15">
        <f t="shared" ref="D10:F10" si="1">D8-D9</f>
        <v>15827.5</v>
      </c>
      <c r="E10" s="15">
        <f t="shared" si="1"/>
        <v>37618.75</v>
      </c>
      <c r="F10" s="15">
        <f t="shared" si="1"/>
        <v>42900</v>
      </c>
      <c r="H10" s="17"/>
      <c r="I10" s="18"/>
    </row>
    <row r="11" spans="1:13" x14ac:dyDescent="0.4">
      <c r="B11" s="10"/>
      <c r="C11" s="15"/>
      <c r="D11" s="15"/>
      <c r="E11" s="15"/>
      <c r="F11" s="15"/>
    </row>
    <row r="12" spans="1:13" x14ac:dyDescent="0.4">
      <c r="B12" s="10" t="s">
        <v>30</v>
      </c>
      <c r="C12" s="14">
        <v>15</v>
      </c>
      <c r="D12" s="14">
        <v>22.5</v>
      </c>
      <c r="E12" s="14">
        <v>15</v>
      </c>
      <c r="F12" s="14">
        <v>22.5</v>
      </c>
    </row>
    <row r="13" spans="1:13" x14ac:dyDescent="0.4">
      <c r="B13" s="10" t="s">
        <v>27</v>
      </c>
      <c r="C13" s="12">
        <f>C10/C12/1000</f>
        <v>0.70308333333333339</v>
      </c>
      <c r="D13" s="12">
        <f t="shared" ref="D13:F13" si="2">D10/D12/1000</f>
        <v>0.70344444444444443</v>
      </c>
      <c r="E13" s="12">
        <f t="shared" si="2"/>
        <v>2.5079166666666666</v>
      </c>
      <c r="F13" s="12">
        <f t="shared" si="2"/>
        <v>1.9066666666666667</v>
      </c>
    </row>
    <row r="15" spans="1:13" x14ac:dyDescent="0.4">
      <c r="B15" s="38"/>
      <c r="C15" s="26"/>
      <c r="D15" s="26"/>
    </row>
    <row r="16" spans="1:13" x14ac:dyDescent="0.55000000000000004">
      <c r="C16" s="26"/>
      <c r="D16" s="26"/>
    </row>
    <row r="17" spans="2:9" x14ac:dyDescent="0.55000000000000004">
      <c r="C17" s="20"/>
      <c r="D17" s="20"/>
      <c r="I17" s="22"/>
    </row>
    <row r="20" spans="2:9" x14ac:dyDescent="0.55000000000000004">
      <c r="I20" s="20"/>
    </row>
    <row r="21" spans="2:9" x14ac:dyDescent="0.55000000000000004">
      <c r="I21" s="21"/>
    </row>
    <row r="23" spans="2:9" x14ac:dyDescent="0.4">
      <c r="B23" s="38"/>
    </row>
  </sheetData>
  <mergeCells count="2">
    <mergeCell ref="C4:D4"/>
    <mergeCell ref="E4:F4"/>
  </mergeCells>
  <pageMargins left="0.3" right="0.3" top="0.5" bottom="0.5" header="0.1" footer="0.1"/>
  <pageSetup paperSize="9" orientation="landscape" r:id="rId1"/>
  <ignoredErrors>
    <ignoredError sqref="C9:F9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5">
    <pageSetUpPr fitToPage="1"/>
  </sheetPr>
  <dimension ref="A1:S104"/>
  <sheetViews>
    <sheetView showGridLines="0" topLeftCell="A55" zoomScale="101" zoomScaleNormal="97" workbookViewId="0">
      <selection activeCell="K84" sqref="K84"/>
    </sheetView>
  </sheetViews>
  <sheetFormatPr baseColWidth="10" defaultColWidth="9.1015625" defaultRowHeight="14.4" x14ac:dyDescent="0.55000000000000004"/>
  <cols>
    <col min="1" max="1" width="2.3125" style="54" customWidth="1"/>
    <col min="2" max="2" width="30.1015625" style="54" customWidth="1"/>
    <col min="3" max="3" width="13.83984375" style="54" customWidth="1"/>
    <col min="4" max="4" width="2.5234375" style="54" customWidth="1"/>
    <col min="5" max="14" width="13.83984375" style="54" customWidth="1"/>
    <col min="15" max="16384" width="9.1015625" style="54"/>
  </cols>
  <sheetData>
    <row r="1" spans="1:19" s="76" customFormat="1" ht="15.9" thickBot="1" x14ac:dyDescent="0.6">
      <c r="A1" s="77" t="s">
        <v>92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5"/>
      <c r="P1" s="75"/>
      <c r="Q1" s="75"/>
    </row>
    <row r="2" spans="1:19" ht="14.7" thickTop="1" x14ac:dyDescent="0.55000000000000004"/>
    <row r="3" spans="1:19" x14ac:dyDescent="0.55000000000000004">
      <c r="A3" s="57" t="s">
        <v>93</v>
      </c>
    </row>
    <row r="4" spans="1:19" ht="14.7" thickBot="1" x14ac:dyDescent="0.6">
      <c r="G4" s="55" t="s">
        <v>83</v>
      </c>
      <c r="H4" s="55"/>
      <c r="I4" s="56"/>
      <c r="K4" s="55" t="s">
        <v>84</v>
      </c>
      <c r="L4" s="55"/>
      <c r="M4" s="56"/>
    </row>
    <row r="5" spans="1:19" ht="15.6" customHeight="1" thickTop="1" thickBot="1" x14ac:dyDescent="0.6">
      <c r="B5" s="72" t="s">
        <v>57</v>
      </c>
      <c r="C5" s="58">
        <v>2011</v>
      </c>
      <c r="D5" s="60"/>
      <c r="E5" s="58" t="s">
        <v>7</v>
      </c>
      <c r="G5" s="59" t="s">
        <v>91</v>
      </c>
      <c r="H5" s="59" t="s">
        <v>90</v>
      </c>
      <c r="I5" s="59" t="s">
        <v>82</v>
      </c>
      <c r="K5" s="59" t="s">
        <v>91</v>
      </c>
      <c r="L5" s="59" t="s">
        <v>90</v>
      </c>
      <c r="M5" s="59" t="s">
        <v>82</v>
      </c>
    </row>
    <row r="6" spans="1:19" ht="14.7" thickTop="1" x14ac:dyDescent="0.55000000000000004">
      <c r="B6" s="54" t="s">
        <v>8</v>
      </c>
      <c r="C6" s="61">
        <v>27330</v>
      </c>
      <c r="D6" s="61"/>
      <c r="E6" s="61">
        <f>E60</f>
        <v>35450.399043291145</v>
      </c>
      <c r="G6" s="139"/>
      <c r="H6" s="139">
        <f>H29</f>
        <v>-6406.25</v>
      </c>
      <c r="I6" s="139">
        <f>E6+G6+H6</f>
        <v>29044.149043291145</v>
      </c>
      <c r="J6" s="74"/>
      <c r="K6" s="139"/>
      <c r="L6" s="139">
        <f>L29</f>
        <v>-7500</v>
      </c>
      <c r="M6" s="61">
        <f>E6+K6+L6</f>
        <v>27950.399043291145</v>
      </c>
      <c r="R6" s="62">
        <f>('Exhibit 2 (Winfield)'!C6-'Exhibit 2 (Winfield)'!D6)/12*3</f>
        <v>73144.75</v>
      </c>
      <c r="S6" s="63" t="s">
        <v>68</v>
      </c>
    </row>
    <row r="7" spans="1:19" x14ac:dyDescent="0.55000000000000004">
      <c r="B7" s="54" t="s">
        <v>9</v>
      </c>
      <c r="C7" s="61">
        <v>48741</v>
      </c>
      <c r="D7" s="61"/>
      <c r="E7" s="61">
        <f>E64</f>
        <v>50563.11764869513</v>
      </c>
      <c r="G7" s="61"/>
      <c r="H7" s="61"/>
      <c r="I7" s="61">
        <f>E7+G7+H7</f>
        <v>50563.11764869513</v>
      </c>
      <c r="K7" s="61"/>
      <c r="L7" s="61"/>
      <c r="M7" s="61">
        <f>E7+K7+L7</f>
        <v>50563.11764869513</v>
      </c>
    </row>
    <row r="8" spans="1:19" x14ac:dyDescent="0.55000000000000004">
      <c r="B8" s="54" t="s">
        <v>10</v>
      </c>
      <c r="C8" s="84">
        <v>7488</v>
      </c>
      <c r="D8" s="61"/>
      <c r="E8" s="84">
        <f>C8</f>
        <v>7488</v>
      </c>
      <c r="G8" s="84"/>
      <c r="H8" s="84"/>
      <c r="I8" s="84">
        <f>E8+G8+H8</f>
        <v>7488</v>
      </c>
      <c r="K8" s="84"/>
      <c r="L8" s="84"/>
      <c r="M8" s="84">
        <f>E8+K8+L8</f>
        <v>7488</v>
      </c>
    </row>
    <row r="9" spans="1:19" x14ac:dyDescent="0.55000000000000004">
      <c r="B9" s="64" t="s">
        <v>11</v>
      </c>
      <c r="C9" s="65">
        <f>SUM(C6:C8)</f>
        <v>83559</v>
      </c>
      <c r="D9" s="65"/>
      <c r="E9" s="65">
        <f>SUM(E6:E8)</f>
        <v>93501.516691986268</v>
      </c>
      <c r="G9" s="65"/>
      <c r="H9" s="65">
        <f>SUM(H6:H8)</f>
        <v>-6406.25</v>
      </c>
      <c r="I9" s="65">
        <f>SUM(I6:I8)</f>
        <v>87095.266691986268</v>
      </c>
      <c r="K9" s="65">
        <f>SUM(K6:K8)</f>
        <v>0</v>
      </c>
      <c r="L9" s="65">
        <f>SUM(L6:L8)</f>
        <v>-7500</v>
      </c>
      <c r="M9" s="65">
        <f>SUM(M6:M8)</f>
        <v>86001.516691986268</v>
      </c>
    </row>
    <row r="10" spans="1:19" ht="6" customHeight="1" x14ac:dyDescent="0.55000000000000004">
      <c r="C10" s="61"/>
      <c r="D10" s="61"/>
      <c r="E10" s="61"/>
      <c r="G10" s="61"/>
      <c r="H10" s="61"/>
      <c r="I10" s="61"/>
      <c r="K10" s="61"/>
      <c r="L10" s="61"/>
      <c r="M10" s="61"/>
    </row>
    <row r="11" spans="1:19" x14ac:dyDescent="0.55000000000000004">
      <c r="B11" s="54" t="s">
        <v>12</v>
      </c>
      <c r="C11" s="61">
        <v>522043</v>
      </c>
      <c r="D11" s="61"/>
      <c r="E11" s="61">
        <f>E87</f>
        <v>524440.85</v>
      </c>
      <c r="G11" s="61"/>
      <c r="H11" s="61"/>
      <c r="I11" s="61">
        <f>E11+G11+H11</f>
        <v>524440.85</v>
      </c>
      <c r="K11" s="61"/>
      <c r="L11" s="61"/>
      <c r="M11" s="61">
        <f>E11+K11+L11</f>
        <v>524440.85</v>
      </c>
    </row>
    <row r="12" spans="1:19" x14ac:dyDescent="0.55000000000000004">
      <c r="B12" s="54" t="s">
        <v>53</v>
      </c>
      <c r="C12" s="61">
        <v>101423</v>
      </c>
      <c r="D12" s="61"/>
      <c r="E12" s="61">
        <f>C12</f>
        <v>101423</v>
      </c>
      <c r="G12" s="61"/>
      <c r="H12" s="61"/>
      <c r="I12" s="61">
        <f>E12+G12+H12</f>
        <v>101423</v>
      </c>
      <c r="K12" s="61"/>
      <c r="L12" s="61"/>
      <c r="M12" s="61">
        <f>E12+K12+L12</f>
        <v>101423</v>
      </c>
    </row>
    <row r="13" spans="1:19" x14ac:dyDescent="0.55000000000000004">
      <c r="B13" s="54" t="s">
        <v>13</v>
      </c>
      <c r="C13" s="86">
        <v>42656</v>
      </c>
      <c r="D13" s="85"/>
      <c r="E13" s="86">
        <f>C13</f>
        <v>42656</v>
      </c>
      <c r="F13" s="66"/>
      <c r="G13" s="86">
        <f>G27+G41</f>
        <v>140521.35</v>
      </c>
      <c r="H13" s="86"/>
      <c r="I13" s="84">
        <f>E13+G13+H13</f>
        <v>183177.35</v>
      </c>
      <c r="K13" s="86">
        <f>K27+K41</f>
        <v>140521.35</v>
      </c>
      <c r="L13" s="86"/>
      <c r="M13" s="84">
        <f>E13+K13+L13</f>
        <v>183177.35</v>
      </c>
    </row>
    <row r="14" spans="1:19" x14ac:dyDescent="0.55000000000000004">
      <c r="B14" s="64" t="s">
        <v>14</v>
      </c>
      <c r="C14" s="79">
        <f>SUM(C9:C13)</f>
        <v>749681</v>
      </c>
      <c r="D14" s="79"/>
      <c r="E14" s="79">
        <f>SUM(E9:E13)</f>
        <v>762021.36669198622</v>
      </c>
      <c r="F14" s="66"/>
      <c r="G14" s="79">
        <f>SUM(G9:G13)</f>
        <v>140521.35</v>
      </c>
      <c r="H14" s="79">
        <f>SUM(H9:H13)</f>
        <v>-6406.25</v>
      </c>
      <c r="I14" s="79">
        <f>SUM(I9:I13)</f>
        <v>896136.46669198619</v>
      </c>
      <c r="K14" s="79">
        <f>SUM(K9:K13)</f>
        <v>140521.35</v>
      </c>
      <c r="L14" s="79">
        <f>SUM(L9:L13)</f>
        <v>-7500</v>
      </c>
      <c r="M14" s="79">
        <f>SUM(M9:M13)</f>
        <v>895042.71669198619</v>
      </c>
    </row>
    <row r="15" spans="1:19" ht="6" customHeight="1" x14ac:dyDescent="0.55000000000000004">
      <c r="C15" s="61"/>
      <c r="D15" s="61"/>
      <c r="E15" s="61"/>
      <c r="F15" s="67"/>
      <c r="G15" s="61"/>
      <c r="H15" s="61"/>
      <c r="I15" s="61"/>
      <c r="K15" s="61"/>
      <c r="L15" s="61"/>
      <c r="M15" s="61"/>
    </row>
    <row r="16" spans="1:19" x14ac:dyDescent="0.55000000000000004">
      <c r="B16" s="54" t="s">
        <v>15</v>
      </c>
      <c r="C16" s="61">
        <v>36998</v>
      </c>
      <c r="D16" s="61"/>
      <c r="E16" s="61">
        <f>E68</f>
        <v>38379.716691986272</v>
      </c>
      <c r="G16" s="61"/>
      <c r="H16" s="61"/>
      <c r="I16" s="61">
        <f>E16+G16+H16</f>
        <v>38379.716691986272</v>
      </c>
      <c r="K16" s="61"/>
      <c r="L16" s="61"/>
      <c r="M16" s="61">
        <f>E16+K16+L16</f>
        <v>38379.716691986272</v>
      </c>
    </row>
    <row r="17" spans="2:13" x14ac:dyDescent="0.55000000000000004">
      <c r="B17" s="54" t="s">
        <v>95</v>
      </c>
      <c r="C17" s="61">
        <v>25883</v>
      </c>
      <c r="D17" s="61"/>
      <c r="E17" s="61">
        <f>C17</f>
        <v>25883</v>
      </c>
      <c r="F17" s="66"/>
      <c r="G17" s="61"/>
      <c r="H17" s="61"/>
      <c r="I17" s="61">
        <f>E17+G17+H17</f>
        <v>25883</v>
      </c>
      <c r="K17" s="61"/>
      <c r="L17" s="61"/>
      <c r="M17" s="61">
        <f>E17+K17+L17</f>
        <v>25883</v>
      </c>
    </row>
    <row r="18" spans="2:13" x14ac:dyDescent="0.55000000000000004">
      <c r="B18" s="54" t="s">
        <v>38</v>
      </c>
      <c r="C18" s="86">
        <v>1420</v>
      </c>
      <c r="D18" s="83"/>
      <c r="E18" s="86">
        <f>E97</f>
        <v>1420</v>
      </c>
      <c r="G18" s="86"/>
      <c r="H18" s="86"/>
      <c r="I18" s="84">
        <f>E18+G18+H18</f>
        <v>1420</v>
      </c>
      <c r="K18" s="86"/>
      <c r="L18" s="86"/>
      <c r="M18" s="84">
        <f>E18+K18+L18</f>
        <v>1420</v>
      </c>
    </row>
    <row r="19" spans="2:13" x14ac:dyDescent="0.55000000000000004">
      <c r="B19" s="64" t="s">
        <v>17</v>
      </c>
      <c r="C19" s="65">
        <f>SUM(C16:C18)</f>
        <v>64301</v>
      </c>
      <c r="D19" s="65"/>
      <c r="E19" s="65">
        <f>SUM(E16:E18)</f>
        <v>65682.716691986279</v>
      </c>
      <c r="G19" s="65"/>
      <c r="H19" s="65"/>
      <c r="I19" s="65">
        <f>SUM(I16:I18)</f>
        <v>65682.716691986279</v>
      </c>
      <c r="K19" s="65"/>
      <c r="L19" s="65"/>
      <c r="M19" s="65">
        <f>SUM(M16:M18)</f>
        <v>65682.716691986279</v>
      </c>
    </row>
    <row r="20" spans="2:13" ht="6" customHeight="1" x14ac:dyDescent="0.55000000000000004">
      <c r="B20" s="68"/>
      <c r="C20" s="61"/>
      <c r="D20" s="61"/>
      <c r="E20" s="61"/>
      <c r="G20" s="61"/>
      <c r="H20" s="61"/>
      <c r="I20" s="61"/>
      <c r="K20" s="61"/>
      <c r="L20" s="61"/>
      <c r="M20" s="61"/>
    </row>
    <row r="21" spans="2:13" x14ac:dyDescent="0.55000000000000004">
      <c r="B21" s="54" t="s">
        <v>36</v>
      </c>
      <c r="C21" s="61">
        <v>15813</v>
      </c>
      <c r="D21" s="61"/>
      <c r="E21" s="61">
        <f>E92</f>
        <v>14393</v>
      </c>
      <c r="F21" s="69"/>
      <c r="G21" s="61"/>
      <c r="H21" s="61"/>
      <c r="I21" s="61">
        <f>E21+G21+H21</f>
        <v>14393</v>
      </c>
      <c r="K21" s="61"/>
      <c r="L21" s="61"/>
      <c r="M21" s="61">
        <f>E21+K21+L21</f>
        <v>14393</v>
      </c>
    </row>
    <row r="22" spans="2:13" x14ac:dyDescent="0.55000000000000004">
      <c r="B22" s="54" t="s">
        <v>85</v>
      </c>
      <c r="C22" s="84">
        <v>0</v>
      </c>
      <c r="D22" s="61"/>
      <c r="E22" s="84">
        <v>0</v>
      </c>
      <c r="F22" s="69"/>
      <c r="G22" s="84"/>
      <c r="H22" s="84">
        <f>G27</f>
        <v>125000</v>
      </c>
      <c r="I22" s="84">
        <f>E22+G22+H22</f>
        <v>125000</v>
      </c>
      <c r="K22" s="84"/>
      <c r="L22" s="84"/>
      <c r="M22" s="84">
        <f>E22+K22+L22</f>
        <v>0</v>
      </c>
    </row>
    <row r="23" spans="2:13" x14ac:dyDescent="0.55000000000000004">
      <c r="B23" s="64" t="s">
        <v>75</v>
      </c>
      <c r="C23" s="65">
        <f>C21+C22</f>
        <v>15813</v>
      </c>
      <c r="D23" s="65"/>
      <c r="E23" s="65">
        <f>E21+E22</f>
        <v>14393</v>
      </c>
      <c r="F23" s="69"/>
      <c r="G23" s="65"/>
      <c r="H23" s="65">
        <f>H21+H22</f>
        <v>125000</v>
      </c>
      <c r="I23" s="65">
        <f>I21+I22</f>
        <v>139393</v>
      </c>
      <c r="K23" s="65"/>
      <c r="L23" s="65"/>
      <c r="M23" s="65">
        <f>M21+M22</f>
        <v>14393</v>
      </c>
    </row>
    <row r="24" spans="2:13" ht="6" customHeight="1" x14ac:dyDescent="0.55000000000000004">
      <c r="B24" s="64"/>
      <c r="C24" s="87"/>
      <c r="D24" s="65"/>
      <c r="E24" s="87"/>
      <c r="F24" s="69"/>
      <c r="G24" s="87"/>
      <c r="H24" s="87"/>
      <c r="I24" s="87"/>
      <c r="K24" s="87"/>
      <c r="L24" s="87"/>
      <c r="M24" s="87"/>
    </row>
    <row r="25" spans="2:13" x14ac:dyDescent="0.55000000000000004">
      <c r="B25" s="64" t="s">
        <v>77</v>
      </c>
      <c r="C25" s="79">
        <f>C19+C23</f>
        <v>80114</v>
      </c>
      <c r="D25" s="79"/>
      <c r="E25" s="79">
        <f>E19+E23</f>
        <v>80075.716691986279</v>
      </c>
      <c r="F25" s="69"/>
      <c r="G25" s="79">
        <f>G19+G23</f>
        <v>0</v>
      </c>
      <c r="H25" s="79">
        <f>H19+H23</f>
        <v>125000</v>
      </c>
      <c r="I25" s="79">
        <f>I19+I23</f>
        <v>205075.71669198628</v>
      </c>
      <c r="K25" s="79"/>
      <c r="L25" s="79"/>
      <c r="M25" s="79">
        <f>M19+M23</f>
        <v>80075.716691986279</v>
      </c>
    </row>
    <row r="26" spans="2:13" ht="6" customHeight="1" x14ac:dyDescent="0.55000000000000004">
      <c r="C26" s="88"/>
      <c r="D26" s="61"/>
      <c r="E26" s="61"/>
      <c r="F26" s="69"/>
      <c r="G26" s="61"/>
      <c r="H26" s="61"/>
      <c r="I26" s="61"/>
      <c r="K26" s="61"/>
      <c r="L26" s="61"/>
      <c r="M26" s="61"/>
    </row>
    <row r="27" spans="2:13" x14ac:dyDescent="0.55000000000000004">
      <c r="B27" s="54" t="s">
        <v>18</v>
      </c>
      <c r="C27" s="61">
        <v>15</v>
      </c>
      <c r="D27" s="61"/>
      <c r="E27" s="61">
        <f>C27</f>
        <v>15</v>
      </c>
      <c r="G27" s="61">
        <v>125000</v>
      </c>
      <c r="H27" s="61">
        <f>-H22</f>
        <v>-125000</v>
      </c>
      <c r="I27" s="61">
        <f>E27+G27+H27</f>
        <v>15</v>
      </c>
      <c r="K27" s="61">
        <v>125000</v>
      </c>
      <c r="L27" s="61"/>
      <c r="M27" s="61">
        <f>E27+K27+L27</f>
        <v>125015</v>
      </c>
    </row>
    <row r="28" spans="2:13" x14ac:dyDescent="0.55000000000000004">
      <c r="B28" s="54" t="s">
        <v>19</v>
      </c>
      <c r="C28" s="61">
        <v>146257</v>
      </c>
      <c r="D28" s="61"/>
      <c r="E28" s="61">
        <f>C28</f>
        <v>146257</v>
      </c>
      <c r="F28" s="69"/>
      <c r="G28" s="61"/>
      <c r="H28" s="61"/>
      <c r="I28" s="61">
        <f>E28+G28+H28</f>
        <v>146257</v>
      </c>
      <c r="L28" s="61"/>
      <c r="M28" s="61">
        <f>E28+K28+L28</f>
        <v>146257</v>
      </c>
    </row>
    <row r="29" spans="2:13" x14ac:dyDescent="0.55000000000000004">
      <c r="B29" s="54" t="s">
        <v>20</v>
      </c>
      <c r="C29" s="84">
        <v>523295</v>
      </c>
      <c r="D29" s="61"/>
      <c r="E29" s="84">
        <f>C29+E41-E102</f>
        <v>535673.65</v>
      </c>
      <c r="F29" s="70"/>
      <c r="G29" s="84">
        <f>G41</f>
        <v>15521.35</v>
      </c>
      <c r="H29" s="128">
        <f>-Bond!C10-Bond!C11+Acquisition!C40+Acquisition!C41</f>
        <v>-6406.25</v>
      </c>
      <c r="I29" s="84">
        <f>E29+G29+H29</f>
        <v>544788.75</v>
      </c>
      <c r="K29" s="84">
        <f>K41</f>
        <v>15521.35</v>
      </c>
      <c r="L29" s="128">
        <f>-K27*0.06+Acquisition!F40+Acquisition!F41</f>
        <v>-7500</v>
      </c>
      <c r="M29" s="84">
        <f>E29+K29+L29</f>
        <v>543695</v>
      </c>
    </row>
    <row r="30" spans="2:13" x14ac:dyDescent="0.55000000000000004">
      <c r="B30" s="64" t="s">
        <v>76</v>
      </c>
      <c r="C30" s="79">
        <f>C27+C28+C29</f>
        <v>669567</v>
      </c>
      <c r="D30" s="79"/>
      <c r="E30" s="79">
        <f>E27+E28+E29</f>
        <v>681945.65</v>
      </c>
      <c r="F30" s="67"/>
      <c r="G30" s="79">
        <f>G27+G28+G29</f>
        <v>140521.35</v>
      </c>
      <c r="H30" s="79">
        <f>H27+H28+H29</f>
        <v>-131406.25</v>
      </c>
      <c r="I30" s="79">
        <f>I27+I28+I29</f>
        <v>691060.75</v>
      </c>
      <c r="K30" s="79">
        <f>K27+K28+K29</f>
        <v>140521.35</v>
      </c>
      <c r="L30" s="79">
        <f>L27+L28+L29</f>
        <v>-7500</v>
      </c>
      <c r="M30" s="79">
        <f>M27+M28+M29</f>
        <v>814967</v>
      </c>
    </row>
    <row r="31" spans="2:13" ht="6" customHeight="1" x14ac:dyDescent="0.55000000000000004">
      <c r="B31" s="68"/>
      <c r="C31" s="87"/>
      <c r="D31" s="65"/>
      <c r="E31" s="87"/>
      <c r="G31" s="87"/>
      <c r="H31" s="87"/>
      <c r="I31" s="87"/>
      <c r="K31" s="87"/>
      <c r="L31" s="87"/>
      <c r="M31" s="87"/>
    </row>
    <row r="32" spans="2:13" x14ac:dyDescent="0.55000000000000004">
      <c r="B32" s="71" t="s">
        <v>94</v>
      </c>
      <c r="C32" s="79">
        <f>C25+C30</f>
        <v>749681</v>
      </c>
      <c r="D32" s="79"/>
      <c r="E32" s="79">
        <f>E25+E30</f>
        <v>762021.36669198633</v>
      </c>
      <c r="F32" s="183"/>
      <c r="G32" s="79">
        <f>G25+G30</f>
        <v>140521.35</v>
      </c>
      <c r="H32" s="79">
        <f>H25+H30</f>
        <v>-6406.25</v>
      </c>
      <c r="I32" s="79">
        <f>I25+I30</f>
        <v>896136.46669198631</v>
      </c>
      <c r="J32" s="96"/>
      <c r="K32" s="79">
        <f>K25+K30</f>
        <v>140521.35</v>
      </c>
      <c r="L32" s="79">
        <f>L25+L30</f>
        <v>-7500</v>
      </c>
      <c r="M32" s="79">
        <f>M25+M30</f>
        <v>895042.71669198631</v>
      </c>
    </row>
    <row r="33" spans="2:13" ht="14.4" customHeight="1" thickBot="1" x14ac:dyDescent="0.6">
      <c r="B33" s="71"/>
      <c r="C33" s="95">
        <f>C14-C32</f>
        <v>0</v>
      </c>
      <c r="D33" s="79"/>
      <c r="E33" s="95">
        <f>E14-E32</f>
        <v>0</v>
      </c>
      <c r="F33" s="66"/>
      <c r="G33" s="95">
        <f>G14-G32</f>
        <v>0</v>
      </c>
      <c r="H33" s="95">
        <f>H14-H32</f>
        <v>0</v>
      </c>
      <c r="I33" s="95">
        <f>I14-I32</f>
        <v>0</v>
      </c>
      <c r="K33" s="95">
        <f>K14-K32</f>
        <v>0</v>
      </c>
      <c r="L33" s="95">
        <f>L14-L32</f>
        <v>0</v>
      </c>
      <c r="M33" s="95">
        <f>M14-M32</f>
        <v>0</v>
      </c>
    </row>
    <row r="34" spans="2:13" ht="15" thickTop="1" thickBot="1" x14ac:dyDescent="0.6">
      <c r="B34" s="72" t="s">
        <v>56</v>
      </c>
      <c r="C34" s="58">
        <v>2011</v>
      </c>
      <c r="D34" s="60"/>
      <c r="E34" s="58" t="s">
        <v>7</v>
      </c>
      <c r="G34" s="58" t="s">
        <v>91</v>
      </c>
      <c r="H34" s="58" t="s">
        <v>90</v>
      </c>
      <c r="I34" s="58" t="s">
        <v>82</v>
      </c>
      <c r="K34" s="59" t="s">
        <v>91</v>
      </c>
      <c r="L34" s="59" t="s">
        <v>90</v>
      </c>
      <c r="M34" s="59" t="s">
        <v>82</v>
      </c>
    </row>
    <row r="35" spans="2:13" ht="14.7" thickTop="1" x14ac:dyDescent="0.55000000000000004">
      <c r="B35" s="54" t="s">
        <v>78</v>
      </c>
      <c r="C35" s="61">
        <f>'Exhibit 2 (Winfield)'!C11</f>
        <v>395440</v>
      </c>
      <c r="D35" s="61"/>
      <c r="E35" s="61">
        <f>'Exhibit 2 (Winfield)'!C12</f>
        <v>410223</v>
      </c>
      <c r="F35" s="183"/>
      <c r="G35" s="61">
        <f>G36/G37</f>
        <v>191032</v>
      </c>
      <c r="H35" s="61"/>
      <c r="I35" s="61">
        <f>E35+G35+H35</f>
        <v>601255</v>
      </c>
      <c r="J35" s="61"/>
      <c r="K35" s="61">
        <f>K36/K37</f>
        <v>191032</v>
      </c>
      <c r="L35" s="61"/>
      <c r="M35" s="61">
        <f>E35+K35+L35</f>
        <v>601255</v>
      </c>
    </row>
    <row r="36" spans="2:13" x14ac:dyDescent="0.55000000000000004">
      <c r="B36" s="54" t="s">
        <v>22</v>
      </c>
      <c r="C36" s="61">
        <f>C39-C38</f>
        <v>40539</v>
      </c>
      <c r="D36" s="61"/>
      <c r="E36" s="61">
        <f>E39-E38</f>
        <v>42121</v>
      </c>
      <c r="F36" s="183"/>
      <c r="G36" s="61">
        <v>23879</v>
      </c>
      <c r="H36" s="61"/>
      <c r="I36" s="61">
        <f>E36+G36+H36</f>
        <v>66000</v>
      </c>
      <c r="J36" s="61"/>
      <c r="K36" s="61">
        <v>23879</v>
      </c>
      <c r="L36" s="61"/>
      <c r="M36" s="61">
        <f>E36+K36+L36</f>
        <v>66000</v>
      </c>
    </row>
    <row r="37" spans="2:13" x14ac:dyDescent="0.55000000000000004">
      <c r="B37" s="54" t="s">
        <v>96</v>
      </c>
      <c r="C37" s="73">
        <f>C36/C35</f>
        <v>0.10251618450333805</v>
      </c>
      <c r="D37" s="73"/>
      <c r="E37" s="73">
        <f>E36/E35</f>
        <v>0.10267829936400445</v>
      </c>
      <c r="G37" s="73">
        <f>(0.12+0.13)/2</f>
        <v>0.125</v>
      </c>
      <c r="H37" s="73"/>
      <c r="I37" s="73">
        <v>0.125</v>
      </c>
      <c r="K37" s="73">
        <f>(0.12+0.13)/2</f>
        <v>0.125</v>
      </c>
      <c r="L37" s="73"/>
      <c r="M37" s="73">
        <v>0.125</v>
      </c>
    </row>
    <row r="38" spans="2:13" x14ac:dyDescent="0.55000000000000004">
      <c r="B38" s="54" t="s">
        <v>97</v>
      </c>
      <c r="C38" s="84">
        <v>0</v>
      </c>
      <c r="D38" s="61"/>
      <c r="E38" s="84">
        <v>0</v>
      </c>
      <c r="F38" s="61"/>
      <c r="G38" s="84">
        <v>0</v>
      </c>
      <c r="H38" s="84">
        <f>Bond!D18</f>
        <v>-8125</v>
      </c>
      <c r="I38" s="84">
        <f>E38+G38+H38</f>
        <v>-8125</v>
      </c>
      <c r="J38" s="61"/>
      <c r="K38" s="84">
        <v>0</v>
      </c>
      <c r="L38" s="84">
        <v>0</v>
      </c>
      <c r="M38" s="84">
        <f>E38+K38+L38</f>
        <v>0</v>
      </c>
    </row>
    <row r="39" spans="2:13" x14ac:dyDescent="0.55000000000000004">
      <c r="B39" s="54" t="s">
        <v>86</v>
      </c>
      <c r="C39" s="61">
        <f>'Exhibit 2 (Winfield)'!D11</f>
        <v>40539</v>
      </c>
      <c r="D39" s="61"/>
      <c r="E39" s="61">
        <f>'Exhibit 2 (Winfield)'!D12</f>
        <v>42121</v>
      </c>
      <c r="F39" s="61"/>
      <c r="G39" s="61">
        <f>G36+G38</f>
        <v>23879</v>
      </c>
      <c r="H39" s="61">
        <f>H36+H38</f>
        <v>-8125</v>
      </c>
      <c r="I39" s="61">
        <f>I36+I38</f>
        <v>57875</v>
      </c>
      <c r="J39" s="61"/>
      <c r="K39" s="61">
        <f>K36+K38</f>
        <v>23879</v>
      </c>
      <c r="L39" s="61">
        <f>L36+L38</f>
        <v>0</v>
      </c>
      <c r="M39" s="61">
        <f>M36+M38</f>
        <v>66000</v>
      </c>
    </row>
    <row r="40" spans="2:13" x14ac:dyDescent="0.55000000000000004">
      <c r="B40" s="54" t="s">
        <v>98</v>
      </c>
      <c r="C40" s="92">
        <f>C39/C35</f>
        <v>0.10251618450333805</v>
      </c>
      <c r="D40" s="73"/>
      <c r="E40" s="92">
        <f>E39/E35</f>
        <v>0.10267829936400445</v>
      </c>
      <c r="F40" s="61"/>
      <c r="G40" s="92">
        <f>G39/G35</f>
        <v>0.125</v>
      </c>
      <c r="H40" s="92"/>
      <c r="I40" s="92">
        <f>I39/I35</f>
        <v>9.6256995783818841E-2</v>
      </c>
      <c r="J40" s="61"/>
      <c r="K40" s="92">
        <f>K39/K35</f>
        <v>0.125</v>
      </c>
      <c r="L40" s="92"/>
      <c r="M40" s="92">
        <f>M39/M35</f>
        <v>0.10977039691977614</v>
      </c>
    </row>
    <row r="41" spans="2:13" x14ac:dyDescent="0.55000000000000004">
      <c r="B41" s="71" t="s">
        <v>87</v>
      </c>
      <c r="C41" s="65">
        <f>'Exhibit 2 (Winfield)'!E11</f>
        <v>26350.350000000002</v>
      </c>
      <c r="D41" s="65"/>
      <c r="E41" s="65">
        <f>'Exhibit 2 (Winfield)'!E12</f>
        <v>27378.65</v>
      </c>
      <c r="F41" s="183"/>
      <c r="G41" s="65">
        <f>G39*(1-0.35)</f>
        <v>15521.35</v>
      </c>
      <c r="H41" s="65">
        <f>H39*(1-0.35)</f>
        <v>-5281.25</v>
      </c>
      <c r="I41" s="65">
        <f>E41+G41+H41</f>
        <v>37618.75</v>
      </c>
      <c r="J41" s="61">
        <f>'Exhibit 4'!E10-I41</f>
        <v>0</v>
      </c>
      <c r="K41" s="65">
        <f>K39*(1-0.35)</f>
        <v>15521.35</v>
      </c>
      <c r="L41" s="65">
        <f>L39*(1-0.35)</f>
        <v>0</v>
      </c>
      <c r="M41" s="65">
        <f>E41+K41+L41</f>
        <v>42900</v>
      </c>
    </row>
    <row r="42" spans="2:13" x14ac:dyDescent="0.55000000000000004">
      <c r="B42" s="54" t="s">
        <v>88</v>
      </c>
      <c r="C42" s="61">
        <v>15000</v>
      </c>
      <c r="D42" s="61"/>
      <c r="E42" s="61">
        <v>15000</v>
      </c>
      <c r="F42" s="61"/>
      <c r="G42" s="61"/>
      <c r="H42" s="61"/>
      <c r="I42" s="61">
        <f>C42+G42</f>
        <v>15000</v>
      </c>
      <c r="J42" s="61"/>
      <c r="K42" s="61"/>
      <c r="L42" s="61">
        <v>7500</v>
      </c>
      <c r="M42" s="61">
        <f>E42+K42+L42</f>
        <v>22500</v>
      </c>
    </row>
    <row r="43" spans="2:13" x14ac:dyDescent="0.55000000000000004">
      <c r="B43" s="71" t="s">
        <v>89</v>
      </c>
      <c r="C43" s="93">
        <f>C41/C42</f>
        <v>1.7566900000000001</v>
      </c>
      <c r="D43" s="93"/>
      <c r="E43" s="93">
        <f>E41/E42</f>
        <v>1.8252433333333333</v>
      </c>
      <c r="F43" s="183"/>
      <c r="G43" s="61"/>
      <c r="H43" s="61"/>
      <c r="I43" s="93">
        <f>I41/I42</f>
        <v>2.5079166666666666</v>
      </c>
      <c r="J43" s="61"/>
      <c r="K43" s="61"/>
      <c r="L43" s="61"/>
      <c r="M43" s="93">
        <f>M41/M42</f>
        <v>1.9066666666666667</v>
      </c>
    </row>
    <row r="44" spans="2:13" x14ac:dyDescent="0.55000000000000004">
      <c r="I44" s="67">
        <f>Acquisition!C50-I43</f>
        <v>0</v>
      </c>
      <c r="M44" s="67">
        <f>Acquisition!F50-M43</f>
        <v>0</v>
      </c>
    </row>
    <row r="45" spans="2:13" ht="14.7" thickBot="1" x14ac:dyDescent="0.6">
      <c r="B45" s="72" t="s">
        <v>58</v>
      </c>
      <c r="C45" s="58">
        <v>2011</v>
      </c>
      <c r="D45" s="60"/>
      <c r="E45" s="58" t="s">
        <v>7</v>
      </c>
      <c r="G45" s="134" t="s">
        <v>91</v>
      </c>
      <c r="H45" s="58" t="s">
        <v>90</v>
      </c>
      <c r="I45" s="58" t="s">
        <v>82</v>
      </c>
      <c r="K45" s="134" t="s">
        <v>91</v>
      </c>
      <c r="L45" s="58" t="s">
        <v>90</v>
      </c>
      <c r="M45" s="58" t="s">
        <v>82</v>
      </c>
    </row>
    <row r="46" spans="2:13" ht="14.7" thickTop="1" x14ac:dyDescent="0.55000000000000004">
      <c r="B46" s="54" t="s">
        <v>87</v>
      </c>
      <c r="E46" s="66">
        <f>E41</f>
        <v>27378.65</v>
      </c>
      <c r="G46" s="66">
        <f>G41</f>
        <v>15521.35</v>
      </c>
      <c r="H46" s="61">
        <f>Acquisition!C40+Acquisition!C41</f>
        <v>-5281.25</v>
      </c>
      <c r="I46" s="61">
        <f>E46+G46+H46</f>
        <v>37618.75</v>
      </c>
      <c r="J46" s="81">
        <f>Acquisition!C48-I46</f>
        <v>0</v>
      </c>
      <c r="K46" s="66">
        <f>K41</f>
        <v>15521.35</v>
      </c>
      <c r="L46" s="61"/>
      <c r="M46" s="61">
        <f>E46+K46+L46</f>
        <v>42900</v>
      </c>
    </row>
    <row r="47" spans="2:13" x14ac:dyDescent="0.55000000000000004">
      <c r="B47" s="54" t="s">
        <v>109</v>
      </c>
      <c r="E47" s="66">
        <f>E78+E82</f>
        <v>27602.15</v>
      </c>
      <c r="G47" s="66">
        <f>0.06*G$35</f>
        <v>11461.92</v>
      </c>
      <c r="H47" s="66"/>
      <c r="I47" s="61">
        <f>E47+G47+H47</f>
        <v>39064.07</v>
      </c>
      <c r="K47" s="66">
        <f>G47</f>
        <v>11461.92</v>
      </c>
      <c r="L47" s="66"/>
      <c r="M47" s="61">
        <f>E47+K47+L47</f>
        <v>39064.07</v>
      </c>
    </row>
    <row r="48" spans="2:13" x14ac:dyDescent="0.55000000000000004">
      <c r="B48" s="54" t="s">
        <v>110</v>
      </c>
      <c r="E48" s="66">
        <f>E73</f>
        <v>-440.40095670885785</v>
      </c>
      <c r="G48" s="66">
        <f>-0.001205*G$35</f>
        <v>-230.19355999999999</v>
      </c>
      <c r="H48" s="66"/>
      <c r="I48" s="61">
        <f>E48+G48+H48</f>
        <v>-670.59451670885778</v>
      </c>
      <c r="K48" s="66">
        <f>G48</f>
        <v>-230.19355999999999</v>
      </c>
      <c r="L48" s="66"/>
      <c r="M48" s="61">
        <f>E48+K48+L48</f>
        <v>-670.59451670885778</v>
      </c>
    </row>
    <row r="49" spans="2:14" x14ac:dyDescent="0.55000000000000004">
      <c r="B49" s="54" t="s">
        <v>111</v>
      </c>
      <c r="E49" s="143">
        <f>-E85</f>
        <v>-30000</v>
      </c>
      <c r="F49" s="96"/>
      <c r="G49" s="143">
        <f>-0.068995*G$35</f>
        <v>-13180.252840000001</v>
      </c>
      <c r="H49" s="88"/>
      <c r="I49" s="88">
        <f>E49+G49+H49</f>
        <v>-43180.252840000001</v>
      </c>
      <c r="J49" s="96"/>
      <c r="K49" s="143">
        <f>G49</f>
        <v>-13180.252840000001</v>
      </c>
      <c r="L49" s="88"/>
      <c r="M49" s="88">
        <f>E49+K49+L49</f>
        <v>-43180.252840000001</v>
      </c>
    </row>
    <row r="50" spans="2:14" x14ac:dyDescent="0.55000000000000004">
      <c r="B50" s="54" t="s">
        <v>208</v>
      </c>
      <c r="E50" s="90">
        <v>0</v>
      </c>
      <c r="G50" s="90">
        <v>0</v>
      </c>
      <c r="H50" s="84">
        <f>-H53</f>
        <v>-125000</v>
      </c>
      <c r="I50" s="84">
        <f>E50+G50+H50</f>
        <v>-125000</v>
      </c>
      <c r="K50" s="90">
        <v>0</v>
      </c>
      <c r="L50" s="84">
        <f>-L55</f>
        <v>-125000</v>
      </c>
      <c r="M50" s="84">
        <f>E50+K50+L50</f>
        <v>-125000</v>
      </c>
    </row>
    <row r="51" spans="2:14" x14ac:dyDescent="0.55000000000000004">
      <c r="B51" s="71" t="s">
        <v>123</v>
      </c>
      <c r="E51" s="91">
        <f>SUM(E46:E50)</f>
        <v>24540.399043291145</v>
      </c>
      <c r="G51" s="91">
        <f>SUM(G46:G50)</f>
        <v>13572.8236</v>
      </c>
      <c r="H51" s="91">
        <f>SUM(H46:H50)</f>
        <v>-130281.25</v>
      </c>
      <c r="I51" s="91">
        <f>SUM(I46:I50)</f>
        <v>-92168.027356708859</v>
      </c>
      <c r="K51" s="91">
        <f>SUM(K46:K50)</f>
        <v>13572.8236</v>
      </c>
      <c r="L51" s="91">
        <f>SUM(L46:L50)</f>
        <v>-125000</v>
      </c>
      <c r="M51" s="91">
        <f>SUM(M46:M50)</f>
        <v>-86886.777356708859</v>
      </c>
    </row>
    <row r="52" spans="2:14" x14ac:dyDescent="0.55000000000000004">
      <c r="B52" s="54" t="s">
        <v>125</v>
      </c>
      <c r="E52" s="66">
        <f>E96</f>
        <v>-1420</v>
      </c>
      <c r="G52" s="66">
        <v>0</v>
      </c>
      <c r="H52" s="66"/>
      <c r="I52" s="61">
        <f>E52+G52+H52</f>
        <v>-1420</v>
      </c>
      <c r="K52" s="66">
        <f>G52</f>
        <v>0</v>
      </c>
      <c r="L52" s="66"/>
      <c r="M52" s="61">
        <f>E52+K52+L52</f>
        <v>-1420</v>
      </c>
    </row>
    <row r="53" spans="2:14" x14ac:dyDescent="0.55000000000000004">
      <c r="B53" s="54" t="s">
        <v>124</v>
      </c>
      <c r="E53" s="66">
        <v>0</v>
      </c>
      <c r="G53" s="66">
        <v>0</v>
      </c>
      <c r="H53" s="66">
        <f>G27</f>
        <v>125000</v>
      </c>
      <c r="I53" s="61">
        <f>E53+G53+H53</f>
        <v>125000</v>
      </c>
      <c r="K53" s="66">
        <f>G53</f>
        <v>0</v>
      </c>
      <c r="L53" s="66"/>
      <c r="M53" s="61">
        <f>E53+K53+L53</f>
        <v>0</v>
      </c>
    </row>
    <row r="54" spans="2:14" x14ac:dyDescent="0.55000000000000004">
      <c r="B54" s="54" t="s">
        <v>126</v>
      </c>
      <c r="E54" s="66">
        <v>0</v>
      </c>
      <c r="G54" s="66">
        <v>0</v>
      </c>
      <c r="H54" s="66"/>
      <c r="I54" s="61">
        <f>E54+G54+H54</f>
        <v>0</v>
      </c>
      <c r="K54" s="66">
        <f>G54</f>
        <v>0</v>
      </c>
      <c r="L54" s="66"/>
      <c r="M54" s="61">
        <f>E54+K54+L54</f>
        <v>0</v>
      </c>
    </row>
    <row r="55" spans="2:14" x14ac:dyDescent="0.55000000000000004">
      <c r="B55" s="54" t="s">
        <v>127</v>
      </c>
      <c r="E55" s="66">
        <v>0</v>
      </c>
      <c r="G55" s="66">
        <v>0</v>
      </c>
      <c r="H55" s="66"/>
      <c r="I55" s="61">
        <f>E55+G55+H55</f>
        <v>0</v>
      </c>
      <c r="K55" s="66">
        <f>G55</f>
        <v>0</v>
      </c>
      <c r="L55" s="66">
        <f>K27</f>
        <v>125000</v>
      </c>
      <c r="M55" s="61">
        <f>E55+K55+L55</f>
        <v>125000</v>
      </c>
    </row>
    <row r="56" spans="2:14" x14ac:dyDescent="0.55000000000000004">
      <c r="B56" s="54" t="s">
        <v>128</v>
      </c>
      <c r="E56" s="90">
        <f>-E102</f>
        <v>-15000</v>
      </c>
      <c r="G56" s="90">
        <f>-G102</f>
        <v>-8536.7425000000003</v>
      </c>
      <c r="H56" s="90">
        <f>-H102</f>
        <v>2904.6875000000005</v>
      </c>
      <c r="I56" s="84">
        <f>E56+G56+H56</f>
        <v>-20632.055</v>
      </c>
      <c r="K56" s="90">
        <f>G56</f>
        <v>-8536.7425000000003</v>
      </c>
      <c r="L56" s="90">
        <f>-L102</f>
        <v>0</v>
      </c>
      <c r="M56" s="84">
        <f>E56+K56+L56</f>
        <v>-23536.7425</v>
      </c>
    </row>
    <row r="57" spans="2:14" x14ac:dyDescent="0.55000000000000004">
      <c r="B57" s="71" t="s">
        <v>129</v>
      </c>
      <c r="E57" s="94">
        <f>SUM(E52:E56)</f>
        <v>-16420</v>
      </c>
      <c r="G57" s="94">
        <f>SUM(G52:G56)</f>
        <v>-8536.7425000000003</v>
      </c>
      <c r="H57" s="94">
        <f>SUM(H52:H56)</f>
        <v>127904.6875</v>
      </c>
      <c r="I57" s="94">
        <f>SUM(I52:I56)</f>
        <v>102947.94500000001</v>
      </c>
      <c r="K57" s="94">
        <f>SUM(K52:K56)</f>
        <v>-8536.7425000000003</v>
      </c>
      <c r="L57" s="94">
        <f>SUM(L52:L56)</f>
        <v>125000</v>
      </c>
      <c r="M57" s="94">
        <f>SUM(M52:M56)</f>
        <v>100043.25750000001</v>
      </c>
    </row>
    <row r="58" spans="2:14" x14ac:dyDescent="0.55000000000000004">
      <c r="B58" s="71" t="s">
        <v>135</v>
      </c>
      <c r="E58" s="91">
        <f>E51+E57</f>
        <v>8120.3990432911451</v>
      </c>
      <c r="G58" s="91">
        <f>G51+G57</f>
        <v>5036.0810999999994</v>
      </c>
      <c r="H58" s="91">
        <f>H51+H57</f>
        <v>-2376.5625</v>
      </c>
      <c r="I58" s="91">
        <f>I51+I57</f>
        <v>10779.917643291148</v>
      </c>
      <c r="K58" s="91">
        <f>K51+K57</f>
        <v>5036.0810999999994</v>
      </c>
      <c r="L58" s="91">
        <f>L51+L57</f>
        <v>0</v>
      </c>
      <c r="M58" s="91">
        <f>M51+M57</f>
        <v>13156.480143291148</v>
      </c>
    </row>
    <row r="59" spans="2:14" x14ac:dyDescent="0.55000000000000004">
      <c r="B59" s="71" t="s">
        <v>136</v>
      </c>
      <c r="E59" s="91">
        <f>C60</f>
        <v>27330</v>
      </c>
      <c r="G59" s="91"/>
      <c r="I59" s="91">
        <f>E59</f>
        <v>27330</v>
      </c>
      <c r="K59" s="91"/>
      <c r="M59" s="91">
        <f>E59</f>
        <v>27330</v>
      </c>
    </row>
    <row r="60" spans="2:14" x14ac:dyDescent="0.55000000000000004">
      <c r="B60" s="71" t="s">
        <v>137</v>
      </c>
      <c r="C60" s="91">
        <f>C6</f>
        <v>27330</v>
      </c>
      <c r="E60" s="91">
        <f>E59+E58</f>
        <v>35450.399043291145</v>
      </c>
      <c r="G60" s="91"/>
      <c r="I60" s="91">
        <f>I59+I58</f>
        <v>38109.917643291148</v>
      </c>
      <c r="K60" s="91"/>
      <c r="M60" s="91">
        <f>M59+M58</f>
        <v>40486.480143291148</v>
      </c>
      <c r="N60" s="66">
        <f>M60-I60+H46</f>
        <v>-2904.6875</v>
      </c>
    </row>
    <row r="63" spans="2:14" ht="14.7" thickBot="1" x14ac:dyDescent="0.6">
      <c r="B63" s="72" t="s">
        <v>99</v>
      </c>
      <c r="C63" s="58">
        <v>2011</v>
      </c>
      <c r="D63" s="60"/>
      <c r="E63" s="58" t="s">
        <v>7</v>
      </c>
    </row>
    <row r="64" spans="2:14" ht="14.7" thickTop="1" x14ac:dyDescent="0.55000000000000004">
      <c r="B64" s="54" t="s">
        <v>9</v>
      </c>
      <c r="C64" s="66">
        <f>C7</f>
        <v>48741</v>
      </c>
      <c r="E64" s="66">
        <f>E66*(E65/365)</f>
        <v>50563.11764869513</v>
      </c>
    </row>
    <row r="65" spans="2:6" x14ac:dyDescent="0.55000000000000004">
      <c r="B65" s="54" t="s">
        <v>78</v>
      </c>
      <c r="C65" s="66">
        <f>C35</f>
        <v>395440</v>
      </c>
      <c r="E65" s="66">
        <f>E35</f>
        <v>410223</v>
      </c>
    </row>
    <row r="66" spans="2:6" x14ac:dyDescent="0.55000000000000004">
      <c r="B66" s="71" t="s">
        <v>100</v>
      </c>
      <c r="C66" s="65">
        <f>C64/(C65/365)</f>
        <v>44.989037527817118</v>
      </c>
      <c r="E66" s="82">
        <f>C66</f>
        <v>44.989037527817118</v>
      </c>
    </row>
    <row r="67" spans="2:6" ht="6.3" customHeight="1" x14ac:dyDescent="0.55000000000000004"/>
    <row r="68" spans="2:6" x14ac:dyDescent="0.55000000000000004">
      <c r="B68" s="54" t="s">
        <v>15</v>
      </c>
      <c r="C68" s="66">
        <f>C16</f>
        <v>36998</v>
      </c>
      <c r="E68" s="66">
        <f>E70*(E69/365)</f>
        <v>38379.716691986272</v>
      </c>
    </row>
    <row r="69" spans="2:6" x14ac:dyDescent="0.55000000000000004">
      <c r="B69" s="54" t="s">
        <v>103</v>
      </c>
      <c r="C69" s="66">
        <f>(C35-C36)-C18</f>
        <v>353481</v>
      </c>
      <c r="E69" s="66">
        <f>(E35-E36)-E18</f>
        <v>366682</v>
      </c>
    </row>
    <row r="70" spans="2:6" x14ac:dyDescent="0.55000000000000004">
      <c r="B70" s="71" t="s">
        <v>102</v>
      </c>
      <c r="C70" s="65">
        <f>C68/(C69/365)</f>
        <v>38.203665826451775</v>
      </c>
      <c r="E70" s="82">
        <f>C70</f>
        <v>38.203665826451775</v>
      </c>
    </row>
    <row r="71" spans="2:6" ht="6.3" customHeight="1" x14ac:dyDescent="0.55000000000000004"/>
    <row r="72" spans="2:6" x14ac:dyDescent="0.55000000000000004">
      <c r="B72" s="54" t="s">
        <v>116</v>
      </c>
      <c r="C72" s="90">
        <f>C64-C68</f>
        <v>11743</v>
      </c>
      <c r="E72" s="90">
        <f>E64-E68</f>
        <v>12183.400956708858</v>
      </c>
      <c r="F72" s="131" t="s">
        <v>195</v>
      </c>
    </row>
    <row r="73" spans="2:6" x14ac:dyDescent="0.55000000000000004">
      <c r="B73" s="54" t="s">
        <v>117</v>
      </c>
      <c r="C73" s="66"/>
      <c r="E73" s="66">
        <f>C72-E72</f>
        <v>-440.40095670885785</v>
      </c>
      <c r="F73" s="133">
        <f>-E73/$E$35</f>
        <v>1.0735647604080167E-3</v>
      </c>
    </row>
    <row r="75" spans="2:6" ht="14.7" thickBot="1" x14ac:dyDescent="0.6">
      <c r="B75" s="72" t="s">
        <v>59</v>
      </c>
      <c r="C75" s="58">
        <v>2011</v>
      </c>
      <c r="D75" s="60"/>
      <c r="E75" s="58" t="s">
        <v>7</v>
      </c>
    </row>
    <row r="76" spans="2:6" ht="14.7" thickTop="1" x14ac:dyDescent="0.55000000000000004">
      <c r="B76" s="54" t="s">
        <v>106</v>
      </c>
      <c r="C76" s="66">
        <f>C11</f>
        <v>522043</v>
      </c>
      <c r="E76" s="66">
        <f>E87</f>
        <v>524440.85</v>
      </c>
    </row>
    <row r="77" spans="2:6" x14ac:dyDescent="0.55000000000000004">
      <c r="B77" s="54" t="s">
        <v>104</v>
      </c>
      <c r="C77" s="82">
        <v>20</v>
      </c>
    </row>
    <row r="78" spans="2:6" x14ac:dyDescent="0.55000000000000004">
      <c r="B78" s="54" t="s">
        <v>105</v>
      </c>
      <c r="C78" s="66">
        <f>C76/C77</f>
        <v>26102.15</v>
      </c>
      <c r="E78" s="66">
        <f>C78</f>
        <v>26102.15</v>
      </c>
    </row>
    <row r="79" spans="2:6" ht="7.8" customHeight="1" x14ac:dyDescent="0.55000000000000004"/>
    <row r="80" spans="2:6" x14ac:dyDescent="0.55000000000000004">
      <c r="B80" s="54" t="s">
        <v>107</v>
      </c>
      <c r="C80" s="66"/>
      <c r="E80" s="89">
        <v>30000</v>
      </c>
    </row>
    <row r="81" spans="2:6" x14ac:dyDescent="0.55000000000000004">
      <c r="B81" s="54" t="s">
        <v>104</v>
      </c>
      <c r="E81" s="82">
        <v>20</v>
      </c>
    </row>
    <row r="82" spans="2:6" x14ac:dyDescent="0.55000000000000004">
      <c r="B82" s="54" t="s">
        <v>108</v>
      </c>
      <c r="C82" s="66">
        <f>C80/E81</f>
        <v>0</v>
      </c>
      <c r="E82" s="66">
        <f>E80/E81</f>
        <v>1500</v>
      </c>
    </row>
    <row r="83" spans="2:6" x14ac:dyDescent="0.55000000000000004">
      <c r="F83" s="131" t="s">
        <v>195</v>
      </c>
    </row>
    <row r="84" spans="2:6" x14ac:dyDescent="0.55000000000000004">
      <c r="B84" s="54" t="s">
        <v>114</v>
      </c>
      <c r="E84" s="66">
        <f>C87</f>
        <v>522043</v>
      </c>
    </row>
    <row r="85" spans="2:6" x14ac:dyDescent="0.55000000000000004">
      <c r="B85" s="54" t="s">
        <v>112</v>
      </c>
      <c r="E85" s="66">
        <f>E80</f>
        <v>30000</v>
      </c>
      <c r="F85" s="132">
        <f>E85/$E$35</f>
        <v>7.3130955602196859E-2</v>
      </c>
    </row>
    <row r="86" spans="2:6" x14ac:dyDescent="0.55000000000000004">
      <c r="B86" s="54" t="s">
        <v>113</v>
      </c>
      <c r="C86" s="90"/>
      <c r="E86" s="90">
        <f>-E78-E82</f>
        <v>-27602.15</v>
      </c>
      <c r="F86" s="132">
        <f>-E86/$E$35</f>
        <v>6.7285720205839269E-2</v>
      </c>
    </row>
    <row r="87" spans="2:6" x14ac:dyDescent="0.55000000000000004">
      <c r="B87" s="54" t="s">
        <v>115</v>
      </c>
      <c r="C87" s="66">
        <f>C11</f>
        <v>522043</v>
      </c>
      <c r="E87" s="66">
        <f>E84+E85+E86</f>
        <v>524440.85</v>
      </c>
    </row>
    <row r="89" spans="2:6" ht="14.7" thickBot="1" x14ac:dyDescent="0.6">
      <c r="B89" s="72" t="s">
        <v>130</v>
      </c>
      <c r="C89" s="58">
        <v>2011</v>
      </c>
      <c r="D89" s="60"/>
      <c r="E89" s="58" t="s">
        <v>7</v>
      </c>
    </row>
    <row r="90" spans="2:6" ht="14.7" thickTop="1" x14ac:dyDescent="0.55000000000000004">
      <c r="B90" s="54" t="s">
        <v>119</v>
      </c>
      <c r="E90" s="66">
        <f>C92</f>
        <v>15813</v>
      </c>
    </row>
    <row r="91" spans="2:6" x14ac:dyDescent="0.55000000000000004">
      <c r="B91" s="54" t="s">
        <v>118</v>
      </c>
      <c r="C91" s="90"/>
      <c r="E91" s="90">
        <f>-C18</f>
        <v>-1420</v>
      </c>
    </row>
    <row r="92" spans="2:6" x14ac:dyDescent="0.55000000000000004">
      <c r="B92" s="54" t="s">
        <v>120</v>
      </c>
      <c r="C92" s="66">
        <f>C21</f>
        <v>15813</v>
      </c>
      <c r="E92" s="66">
        <f>E90+E91</f>
        <v>14393</v>
      </c>
    </row>
    <row r="94" spans="2:6" x14ac:dyDescent="0.55000000000000004">
      <c r="B94" s="54" t="s">
        <v>131</v>
      </c>
      <c r="E94" s="66">
        <f>C97</f>
        <v>1420</v>
      </c>
    </row>
    <row r="95" spans="2:6" x14ac:dyDescent="0.55000000000000004">
      <c r="B95" s="54" t="s">
        <v>121</v>
      </c>
      <c r="E95" s="66">
        <f>-E91</f>
        <v>1420</v>
      </c>
    </row>
    <row r="96" spans="2:6" x14ac:dyDescent="0.55000000000000004">
      <c r="B96" s="54" t="s">
        <v>122</v>
      </c>
      <c r="C96" s="90"/>
      <c r="E96" s="90">
        <f>E91</f>
        <v>-1420</v>
      </c>
    </row>
    <row r="97" spans="2:13" x14ac:dyDescent="0.55000000000000004">
      <c r="B97" s="54" t="s">
        <v>132</v>
      </c>
      <c r="C97" s="66">
        <f>C18</f>
        <v>1420</v>
      </c>
      <c r="E97" s="66">
        <f>E94+E95+E96</f>
        <v>1420</v>
      </c>
    </row>
    <row r="99" spans="2:13" ht="14.7" thickBot="1" x14ac:dyDescent="0.6">
      <c r="B99" s="72" t="s">
        <v>128</v>
      </c>
      <c r="C99" s="58">
        <v>2011</v>
      </c>
      <c r="D99" s="60"/>
      <c r="E99" s="58" t="s">
        <v>7</v>
      </c>
      <c r="G99" s="58" t="s">
        <v>91</v>
      </c>
      <c r="H99" s="58" t="s">
        <v>90</v>
      </c>
      <c r="I99" s="58" t="s">
        <v>82</v>
      </c>
      <c r="K99" s="58" t="s">
        <v>91</v>
      </c>
      <c r="L99" s="58" t="s">
        <v>90</v>
      </c>
      <c r="M99" s="58" t="s">
        <v>82</v>
      </c>
    </row>
    <row r="100" spans="2:13" ht="14.7" thickTop="1" x14ac:dyDescent="0.55000000000000004">
      <c r="B100" s="54" t="s">
        <v>133</v>
      </c>
      <c r="C100" s="67">
        <f>'Exhibit 2 (Winfield)'!G11</f>
        <v>1</v>
      </c>
      <c r="E100" s="67">
        <f>'Exhibit 2 (Winfield)'!G12</f>
        <v>1</v>
      </c>
      <c r="I100" s="67">
        <f>I102/I101</f>
        <v>1.3754703333333334</v>
      </c>
      <c r="M100" s="67">
        <f>M102/M101</f>
        <v>1.0460774444444445</v>
      </c>
    </row>
    <row r="101" spans="2:13" x14ac:dyDescent="0.55000000000000004">
      <c r="B101" s="54" t="s">
        <v>88</v>
      </c>
      <c r="C101" s="66">
        <v>15000</v>
      </c>
      <c r="D101" s="66"/>
      <c r="E101" s="66">
        <f>C101</f>
        <v>15000</v>
      </c>
      <c r="G101" s="66">
        <v>0</v>
      </c>
      <c r="H101" s="66">
        <f>Acquisition!C45</f>
        <v>0</v>
      </c>
      <c r="I101" s="66">
        <f>E101+G101+H101</f>
        <v>15000</v>
      </c>
      <c r="K101" s="66">
        <v>0</v>
      </c>
      <c r="L101" s="66">
        <f>Acquisition!F45</f>
        <v>7500</v>
      </c>
      <c r="M101" s="66">
        <f>E101+K101+L101</f>
        <v>22500</v>
      </c>
    </row>
    <row r="102" spans="2:13" x14ac:dyDescent="0.55000000000000004">
      <c r="B102" s="71" t="s">
        <v>134</v>
      </c>
      <c r="C102" s="91">
        <f>C100*C101</f>
        <v>15000</v>
      </c>
      <c r="D102" s="71"/>
      <c r="E102" s="91">
        <f>E100*E101</f>
        <v>15000</v>
      </c>
      <c r="F102" s="71"/>
      <c r="G102" s="91">
        <f>G103*G104</f>
        <v>8536.7425000000003</v>
      </c>
      <c r="H102" s="91">
        <f>H103*H104</f>
        <v>-2904.6875000000005</v>
      </c>
      <c r="I102" s="91">
        <f>E102+G102+H102</f>
        <v>20632.055</v>
      </c>
      <c r="K102" s="91">
        <f>K103*K104</f>
        <v>8536.7425000000003</v>
      </c>
      <c r="L102" s="91">
        <f>L103*L104</f>
        <v>0</v>
      </c>
      <c r="M102" s="91">
        <f>E102+K102+L102</f>
        <v>23536.7425</v>
      </c>
    </row>
    <row r="103" spans="2:13" x14ac:dyDescent="0.55000000000000004">
      <c r="B103" s="54" t="s">
        <v>161</v>
      </c>
      <c r="C103" s="66">
        <f>C41</f>
        <v>26350.350000000002</v>
      </c>
      <c r="E103" s="66">
        <f>E41</f>
        <v>27378.65</v>
      </c>
      <c r="G103" s="66">
        <f>G41</f>
        <v>15521.35</v>
      </c>
      <c r="H103" s="66">
        <f>H41</f>
        <v>-5281.25</v>
      </c>
      <c r="I103" s="66">
        <f>E103+G103+H103</f>
        <v>37618.75</v>
      </c>
      <c r="K103" s="66">
        <f>K41</f>
        <v>15521.35</v>
      </c>
      <c r="L103" s="66">
        <f>L41</f>
        <v>0</v>
      </c>
      <c r="M103" s="66">
        <f>I103+K103+L103</f>
        <v>53140.1</v>
      </c>
    </row>
    <row r="104" spans="2:13" x14ac:dyDescent="0.55000000000000004">
      <c r="B104" s="54" t="s">
        <v>138</v>
      </c>
      <c r="C104" s="69">
        <f>C102/C103</f>
        <v>0.56925240082200046</v>
      </c>
      <c r="E104" s="69">
        <f>E102/E103</f>
        <v>0.54787215585867088</v>
      </c>
      <c r="G104" s="158">
        <v>0.55000000000000004</v>
      </c>
      <c r="H104" s="158">
        <v>0.55000000000000004</v>
      </c>
      <c r="I104" s="69">
        <f>I102/I103</f>
        <v>0.54845137065957805</v>
      </c>
      <c r="K104" s="158">
        <v>0.55000000000000004</v>
      </c>
      <c r="L104" s="158">
        <v>0.55000000000000004</v>
      </c>
      <c r="M104" s="69">
        <f>M102/M103</f>
        <v>0.44291867158699366</v>
      </c>
    </row>
  </sheetData>
  <pageMargins left="0.3" right="0.3" top="0.5" bottom="0.5" header="0.1" footer="0.1"/>
  <pageSetup paperSize="9" orientation="landscape" r:id="rId1"/>
  <ignoredErrors>
    <ignoredError sqref="C9" formulaRange="1"/>
  </ignoredError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2E90-0228-4E6F-BF05-ED3AFDBD2B1C}">
  <sheetPr codeName="Hoja6">
    <pageSetUpPr fitToPage="1"/>
  </sheetPr>
  <dimension ref="A1:AC70"/>
  <sheetViews>
    <sheetView showGridLines="0" topLeftCell="A28" zoomScale="101" zoomScaleNormal="97" workbookViewId="0">
      <selection activeCell="I54" sqref="I54"/>
    </sheetView>
  </sheetViews>
  <sheetFormatPr baseColWidth="10" defaultColWidth="9.1015625" defaultRowHeight="14.4" x14ac:dyDescent="0.55000000000000004"/>
  <cols>
    <col min="1" max="1" width="2.3125" style="54" customWidth="1"/>
    <col min="2" max="2" width="30.1015625" style="54" customWidth="1"/>
    <col min="3" max="3" width="13.83984375" style="54" customWidth="1"/>
    <col min="4" max="4" width="2.47265625" style="54" customWidth="1"/>
    <col min="5" max="5" width="13.83984375" style="54" customWidth="1"/>
    <col min="6" max="6" width="2.47265625" style="54" customWidth="1"/>
    <col min="7" max="7" width="13.83984375" style="54" customWidth="1"/>
    <col min="8" max="8" width="2.47265625" style="54" customWidth="1"/>
    <col min="9" max="9" width="13.83984375" style="54" customWidth="1"/>
    <col min="10" max="10" width="2.47265625" style="54" customWidth="1"/>
    <col min="11" max="11" width="13.83984375" style="54" customWidth="1"/>
    <col min="12" max="12" width="2.47265625" style="54" customWidth="1"/>
    <col min="13" max="13" width="13.83984375" style="54" customWidth="1"/>
    <col min="14" max="14" width="1.89453125" style="54" customWidth="1"/>
    <col min="15" max="15" width="9.1015625" style="54"/>
    <col min="16" max="16" width="10.3671875" style="54" bestFit="1" customWidth="1"/>
    <col min="17" max="23" width="9.1015625" style="54"/>
    <col min="24" max="24" width="9.7890625" style="54" bestFit="1" customWidth="1"/>
    <col min="25" max="16384" width="9.1015625" style="54"/>
  </cols>
  <sheetData>
    <row r="1" spans="1:17" s="76" customFormat="1" ht="15.9" thickBot="1" x14ac:dyDescent="0.6">
      <c r="A1" s="77" t="s">
        <v>92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5"/>
      <c r="P1" s="75"/>
      <c r="Q1" s="75"/>
    </row>
    <row r="2" spans="1:17" ht="14.7" thickTop="1" x14ac:dyDescent="0.55000000000000004">
      <c r="A2" s="57" t="s">
        <v>93</v>
      </c>
    </row>
    <row r="3" spans="1:17" ht="14.7" thickBot="1" x14ac:dyDescent="0.6">
      <c r="E3" s="66"/>
      <c r="G3" s="55" t="s">
        <v>218</v>
      </c>
      <c r="H3" s="55"/>
      <c r="I3" s="55"/>
      <c r="K3" s="164" t="s">
        <v>222</v>
      </c>
      <c r="L3" s="55"/>
      <c r="M3" s="55"/>
    </row>
    <row r="4" spans="1:17" ht="15" thickTop="1" thickBot="1" x14ac:dyDescent="0.6">
      <c r="C4" s="145" t="s">
        <v>160</v>
      </c>
      <c r="D4" s="146"/>
      <c r="E4" s="145"/>
      <c r="F4" s="95"/>
      <c r="G4" s="145" t="s">
        <v>206</v>
      </c>
      <c r="H4" s="146"/>
      <c r="I4" s="145"/>
      <c r="J4" s="95"/>
      <c r="K4" s="145" t="s">
        <v>206</v>
      </c>
      <c r="L4" s="146"/>
      <c r="M4" s="145"/>
    </row>
    <row r="5" spans="1:17" ht="15.6" customHeight="1" thickBot="1" x14ac:dyDescent="0.6">
      <c r="B5" s="72" t="s">
        <v>219</v>
      </c>
      <c r="C5" s="58">
        <v>2011</v>
      </c>
      <c r="D5" s="60"/>
      <c r="E5" s="58" t="s">
        <v>7</v>
      </c>
      <c r="F5" s="60"/>
      <c r="G5" s="58" t="s">
        <v>7</v>
      </c>
      <c r="H5" s="60"/>
      <c r="I5" s="58" t="s">
        <v>200</v>
      </c>
      <c r="J5" s="60"/>
      <c r="K5" s="58" t="s">
        <v>7</v>
      </c>
      <c r="L5" s="60"/>
      <c r="M5" s="163" t="s">
        <v>200</v>
      </c>
    </row>
    <row r="6" spans="1:17" ht="14.7" thickTop="1" x14ac:dyDescent="0.55000000000000004">
      <c r="B6" s="54" t="s">
        <v>38</v>
      </c>
      <c r="C6" s="85">
        <f>'Pro Forma'!C18</f>
        <v>1420</v>
      </c>
      <c r="D6" s="83"/>
      <c r="E6" s="85">
        <f>'Pro Forma'!E18</f>
        <v>1420</v>
      </c>
      <c r="F6" s="85"/>
      <c r="G6" s="88">
        <f>'Pro Forma'!I18</f>
        <v>1420</v>
      </c>
      <c r="H6" s="85"/>
      <c r="I6" s="85">
        <f>G6</f>
        <v>1420</v>
      </c>
      <c r="J6" s="85"/>
      <c r="K6" s="88">
        <f>G6</f>
        <v>1420</v>
      </c>
      <c r="L6" s="85"/>
      <c r="M6" s="85">
        <f>K6</f>
        <v>1420</v>
      </c>
    </row>
    <row r="7" spans="1:17" x14ac:dyDescent="0.55000000000000004">
      <c r="B7" s="54" t="s">
        <v>36</v>
      </c>
      <c r="C7" s="88">
        <f>'Pro Forma'!C21</f>
        <v>15813</v>
      </c>
      <c r="D7" s="88"/>
      <c r="E7" s="88">
        <f>'Pro Forma'!E21</f>
        <v>14393</v>
      </c>
      <c r="F7" s="88"/>
      <c r="G7" s="88">
        <f>'Pro Forma'!I21</f>
        <v>14393</v>
      </c>
      <c r="H7" s="61"/>
      <c r="I7" s="61">
        <f>G7-I6</f>
        <v>12973</v>
      </c>
      <c r="J7" s="88"/>
      <c r="K7" s="88">
        <f>G7</f>
        <v>14393</v>
      </c>
      <c r="L7" s="61"/>
      <c r="M7" s="61">
        <f>K7-M6</f>
        <v>12973</v>
      </c>
      <c r="N7" s="69"/>
    </row>
    <row r="8" spans="1:17" x14ac:dyDescent="0.55000000000000004">
      <c r="B8" s="54" t="s">
        <v>85</v>
      </c>
      <c r="C8" s="84">
        <v>0</v>
      </c>
      <c r="D8" s="61"/>
      <c r="E8" s="84">
        <v>0</v>
      </c>
      <c r="F8" s="88"/>
      <c r="G8" s="84">
        <f>'Pro Forma'!I22</f>
        <v>125000</v>
      </c>
      <c r="H8" s="88"/>
      <c r="I8" s="84">
        <f>Bond!E17</f>
        <v>118750</v>
      </c>
      <c r="J8" s="88"/>
      <c r="K8" s="84">
        <f>G8</f>
        <v>125000</v>
      </c>
      <c r="L8" s="88"/>
      <c r="M8" s="84">
        <f>Bond!I17</f>
        <v>93750</v>
      </c>
      <c r="N8" s="69"/>
    </row>
    <row r="9" spans="1:17" x14ac:dyDescent="0.55000000000000004">
      <c r="B9" s="64" t="s">
        <v>220</v>
      </c>
      <c r="C9" s="79">
        <f>C6+C7+C8</f>
        <v>17233</v>
      </c>
      <c r="D9" s="79"/>
      <c r="E9" s="79">
        <f>E6+E7+E8</f>
        <v>15813</v>
      </c>
      <c r="F9" s="79"/>
      <c r="G9" s="79">
        <f>G6+G7+G8</f>
        <v>140813</v>
      </c>
      <c r="H9" s="79"/>
      <c r="I9" s="79">
        <f>I6+I7+I8</f>
        <v>133143</v>
      </c>
      <c r="J9" s="79"/>
      <c r="K9" s="79">
        <f>K6+K7+K8</f>
        <v>140813</v>
      </c>
      <c r="L9" s="79"/>
      <c r="M9" s="79">
        <f>M6+M7+M8</f>
        <v>108143</v>
      </c>
      <c r="N9" s="69"/>
    </row>
    <row r="10" spans="1:17" ht="6" customHeight="1" x14ac:dyDescent="0.55000000000000004">
      <c r="C10" s="88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9"/>
    </row>
    <row r="11" spans="1:17" x14ac:dyDescent="0.55000000000000004">
      <c r="B11" s="54" t="s">
        <v>18</v>
      </c>
      <c r="C11" s="61">
        <f>'Pro Forma'!C27</f>
        <v>15</v>
      </c>
      <c r="D11" s="61"/>
      <c r="E11" s="61">
        <f>'Pro Forma'!E27</f>
        <v>15</v>
      </c>
      <c r="F11" s="61"/>
      <c r="G11" s="61">
        <f>'Pro Forma'!I27</f>
        <v>15</v>
      </c>
      <c r="H11" s="61"/>
      <c r="I11" s="61">
        <f>G11</f>
        <v>15</v>
      </c>
      <c r="J11" s="61"/>
      <c r="K11" s="88">
        <f>G11</f>
        <v>15</v>
      </c>
      <c r="L11" s="61"/>
      <c r="M11" s="61">
        <f>K11</f>
        <v>15</v>
      </c>
    </row>
    <row r="12" spans="1:17" x14ac:dyDescent="0.55000000000000004">
      <c r="B12" s="54" t="s">
        <v>19</v>
      </c>
      <c r="C12" s="61">
        <f>'Pro Forma'!C28</f>
        <v>146257</v>
      </c>
      <c r="D12" s="61"/>
      <c r="E12" s="61">
        <f>'Pro Forma'!E28</f>
        <v>146257</v>
      </c>
      <c r="F12" s="61"/>
      <c r="G12" s="61">
        <f>'Pro Forma'!I28</f>
        <v>146257</v>
      </c>
      <c r="H12" s="61"/>
      <c r="I12" s="61">
        <f>G12</f>
        <v>146257</v>
      </c>
      <c r="J12" s="61"/>
      <c r="K12" s="88">
        <f>G12</f>
        <v>146257</v>
      </c>
      <c r="L12" s="61"/>
      <c r="M12" s="61">
        <f>K12</f>
        <v>146257</v>
      </c>
      <c r="N12" s="69"/>
    </row>
    <row r="13" spans="1:17" x14ac:dyDescent="0.55000000000000004">
      <c r="B13" s="54" t="s">
        <v>20</v>
      </c>
      <c r="C13" s="84">
        <f>'Pro Forma'!C29</f>
        <v>523295</v>
      </c>
      <c r="D13" s="61"/>
      <c r="E13" s="84">
        <f>'Pro Forma'!E29</f>
        <v>535673.65</v>
      </c>
      <c r="F13" s="88"/>
      <c r="G13" s="84">
        <f>'Pro Forma'!I29</f>
        <v>544788.75</v>
      </c>
      <c r="H13" s="88"/>
      <c r="I13" s="84">
        <f>G13+I33+I51</f>
        <v>562397.34257624997</v>
      </c>
      <c r="J13" s="88"/>
      <c r="K13" s="84">
        <f>G13</f>
        <v>544788.75</v>
      </c>
      <c r="L13" s="88"/>
      <c r="M13" s="84">
        <f>K13+M33+M51</f>
        <v>562397.34257624997</v>
      </c>
      <c r="N13" s="70"/>
    </row>
    <row r="14" spans="1:17" x14ac:dyDescent="0.55000000000000004">
      <c r="B14" s="64" t="s">
        <v>76</v>
      </c>
      <c r="C14" s="79">
        <f>C11+C12+C13</f>
        <v>669567</v>
      </c>
      <c r="D14" s="79"/>
      <c r="E14" s="79">
        <f>E11+E12+E13</f>
        <v>681945.65</v>
      </c>
      <c r="F14" s="79"/>
      <c r="G14" s="79">
        <f>G11+G12+G13</f>
        <v>691060.75</v>
      </c>
      <c r="H14" s="79"/>
      <c r="I14" s="79">
        <f>I11+I12+I13</f>
        <v>708669.34257624997</v>
      </c>
      <c r="J14" s="79"/>
      <c r="K14" s="79">
        <f>K11+K12+K13</f>
        <v>691060.75</v>
      </c>
      <c r="L14" s="79"/>
      <c r="M14" s="79">
        <f>M11+M12+M13</f>
        <v>708669.34257624997</v>
      </c>
      <c r="N14" s="67"/>
    </row>
    <row r="15" spans="1:17" ht="6" customHeight="1" x14ac:dyDescent="0.55000000000000004">
      <c r="B15" s="68"/>
      <c r="C15" s="87"/>
      <c r="D15" s="65"/>
      <c r="E15" s="87"/>
      <c r="F15" s="79"/>
      <c r="G15" s="87"/>
      <c r="H15" s="79"/>
      <c r="I15" s="87"/>
      <c r="J15" s="79"/>
      <c r="K15" s="87"/>
      <c r="L15" s="79"/>
      <c r="M15" s="87"/>
    </row>
    <row r="16" spans="1:17" x14ac:dyDescent="0.55000000000000004">
      <c r="B16" s="71" t="s">
        <v>221</v>
      </c>
      <c r="C16" s="79">
        <f>C9+C14</f>
        <v>686800</v>
      </c>
      <c r="D16" s="79"/>
      <c r="E16" s="79">
        <f>E9+E14</f>
        <v>697758.65</v>
      </c>
      <c r="F16" s="79"/>
      <c r="G16" s="79">
        <f>G9+G14</f>
        <v>831873.75</v>
      </c>
      <c r="H16" s="79"/>
      <c r="I16" s="79">
        <f>I9+I14</f>
        <v>841812.34257624997</v>
      </c>
      <c r="J16" s="79"/>
      <c r="K16" s="79">
        <f>K9+K14</f>
        <v>831873.75</v>
      </c>
      <c r="L16" s="79"/>
      <c r="M16" s="79">
        <f>M9+M14</f>
        <v>816812.34257624997</v>
      </c>
      <c r="N16" s="66"/>
    </row>
    <row r="17" spans="2:19" ht="14.4" customHeight="1" x14ac:dyDescent="0.55000000000000004">
      <c r="B17" s="71"/>
      <c r="C17" s="95"/>
      <c r="D17" s="79"/>
      <c r="E17" s="95"/>
      <c r="F17" s="95"/>
      <c r="G17" s="162">
        <f>Acquisition!C73-G16</f>
        <v>0</v>
      </c>
      <c r="H17" s="95"/>
      <c r="I17" s="95"/>
      <c r="J17" s="95"/>
      <c r="K17" s="162"/>
      <c r="L17" s="95"/>
      <c r="M17" s="95"/>
      <c r="N17" s="66"/>
    </row>
    <row r="18" spans="2:19" ht="14.4" customHeight="1" x14ac:dyDescent="0.55000000000000004">
      <c r="B18" s="402" t="s">
        <v>369</v>
      </c>
      <c r="C18" s="403">
        <f>C9/C16</f>
        <v>2.5091729761211417E-2</v>
      </c>
      <c r="D18" s="404"/>
      <c r="E18" s="403">
        <f>E9/E16</f>
        <v>2.2662563910888098E-2</v>
      </c>
      <c r="F18" s="405"/>
      <c r="G18" s="403">
        <f>G9/G16</f>
        <v>0.16927208004820443</v>
      </c>
      <c r="H18" s="405"/>
      <c r="I18" s="403">
        <f>I9/I16</f>
        <v>0.15816232818888626</v>
      </c>
      <c r="J18" s="95"/>
      <c r="K18" s="401">
        <f>K9/K16</f>
        <v>0.16927208004820443</v>
      </c>
      <c r="L18" s="95"/>
      <c r="M18" s="401">
        <f>M9/M16</f>
        <v>0.13239638330992137</v>
      </c>
      <c r="N18" s="66"/>
    </row>
    <row r="19" spans="2:19" ht="14.4" customHeight="1" x14ac:dyDescent="0.55000000000000004">
      <c r="B19" s="71"/>
      <c r="C19" s="95"/>
      <c r="D19" s="79"/>
      <c r="E19" s="95"/>
      <c r="F19" s="95"/>
      <c r="G19" s="162"/>
      <c r="H19" s="95"/>
      <c r="I19" s="95"/>
      <c r="J19" s="95"/>
      <c r="K19" s="162"/>
      <c r="L19" s="95"/>
      <c r="M19" s="95"/>
      <c r="N19" s="66"/>
    </row>
    <row r="20" spans="2:19" ht="14.4" customHeight="1" thickBot="1" x14ac:dyDescent="0.6">
      <c r="B20" s="71"/>
      <c r="C20" s="95"/>
      <c r="D20" s="79"/>
      <c r="E20" s="95"/>
      <c r="F20" s="95"/>
      <c r="G20" s="55" t="s">
        <v>218</v>
      </c>
      <c r="H20" s="55"/>
      <c r="I20" s="55"/>
      <c r="K20" s="164" t="s">
        <v>222</v>
      </c>
      <c r="L20" s="55"/>
      <c r="M20" s="55"/>
      <c r="N20" s="66"/>
    </row>
    <row r="21" spans="2:19" ht="14.4" customHeight="1" thickTop="1" thickBot="1" x14ac:dyDescent="0.6">
      <c r="B21" s="71"/>
      <c r="C21" s="145" t="s">
        <v>160</v>
      </c>
      <c r="D21" s="146"/>
      <c r="E21" s="145"/>
      <c r="F21" s="95"/>
      <c r="G21" s="145" t="s">
        <v>206</v>
      </c>
      <c r="H21" s="146"/>
      <c r="I21" s="145"/>
      <c r="J21" s="95"/>
      <c r="K21" s="145" t="s">
        <v>206</v>
      </c>
      <c r="L21" s="146"/>
      <c r="M21" s="145"/>
      <c r="N21" s="66"/>
    </row>
    <row r="22" spans="2:19" ht="14.7" thickBot="1" x14ac:dyDescent="0.6">
      <c r="B22" s="72" t="s">
        <v>56</v>
      </c>
      <c r="C22" s="58">
        <v>2011</v>
      </c>
      <c r="D22" s="60"/>
      <c r="E22" s="58" t="s">
        <v>7</v>
      </c>
      <c r="F22" s="60"/>
      <c r="G22" s="58" t="s">
        <v>7</v>
      </c>
      <c r="H22" s="60"/>
      <c r="I22" s="58" t="s">
        <v>200</v>
      </c>
      <c r="J22" s="60"/>
      <c r="K22" s="58" t="s">
        <v>7</v>
      </c>
      <c r="L22" s="60"/>
      <c r="M22" s="163" t="s">
        <v>200</v>
      </c>
    </row>
    <row r="23" spans="2:19" ht="15" thickTop="1" thickBot="1" x14ac:dyDescent="0.6">
      <c r="B23" s="54" t="s">
        <v>78</v>
      </c>
      <c r="C23" s="61">
        <f>'Exhibit 2 (Winfield)'!C11</f>
        <v>395440</v>
      </c>
      <c r="D23" s="61"/>
      <c r="E23" s="61">
        <f>'Exhibit 2 (Winfield)'!C12</f>
        <v>410223</v>
      </c>
      <c r="F23" s="61"/>
      <c r="G23" s="61">
        <f>'Pro Forma'!I35</f>
        <v>601255</v>
      </c>
      <c r="H23" s="61"/>
      <c r="I23" s="61">
        <f>G23*(1+I24)</f>
        <v>619292.65</v>
      </c>
      <c r="J23" s="61"/>
      <c r="K23" s="61">
        <f>'Pro Forma'!M35</f>
        <v>601255</v>
      </c>
      <c r="L23" s="61"/>
      <c r="M23" s="138">
        <f>K23*(1+M24)</f>
        <v>619292.65</v>
      </c>
      <c r="N23" s="61"/>
    </row>
    <row r="24" spans="2:19" ht="14.7" thickBot="1" x14ac:dyDescent="0.6">
      <c r="B24" s="54" t="s">
        <v>207</v>
      </c>
      <c r="C24" s="61"/>
      <c r="D24" s="61"/>
      <c r="E24" s="73">
        <f>E23/C23-1</f>
        <v>3.7383673882257717E-2</v>
      </c>
      <c r="F24" s="61"/>
      <c r="G24" s="73">
        <f>G23/E23-1</f>
        <v>0.46567842368662893</v>
      </c>
      <c r="H24" s="61"/>
      <c r="I24" s="147">
        <v>0.03</v>
      </c>
      <c r="J24" s="61"/>
      <c r="K24" s="73">
        <f>K23/E23-1</f>
        <v>0.46567842368662893</v>
      </c>
      <c r="L24" s="61"/>
      <c r="M24" s="178">
        <v>0.03</v>
      </c>
      <c r="N24" s="61"/>
    </row>
    <row r="25" spans="2:19" x14ac:dyDescent="0.55000000000000004">
      <c r="B25" s="54" t="s">
        <v>101</v>
      </c>
      <c r="C25" s="166">
        <f>C28-C23</f>
        <v>-354901</v>
      </c>
      <c r="D25" s="61"/>
      <c r="E25" s="166">
        <f>E28-E23</f>
        <v>-368102</v>
      </c>
      <c r="F25" s="61"/>
      <c r="G25" s="166">
        <f>G28-G23</f>
        <v>-535255</v>
      </c>
      <c r="H25" s="61"/>
      <c r="I25" s="166">
        <f>I28-I23</f>
        <v>-551170.45850000007</v>
      </c>
      <c r="J25" s="61"/>
      <c r="K25" s="166">
        <f>K28-K23</f>
        <v>-535255</v>
      </c>
      <c r="L25" s="61"/>
      <c r="M25" s="166">
        <f>M26+M27</f>
        <v>-551170.45850000007</v>
      </c>
      <c r="N25" s="61"/>
      <c r="Q25" s="54" t="s">
        <v>274</v>
      </c>
      <c r="R25" s="220">
        <v>0.01</v>
      </c>
      <c r="S25" s="54" t="s">
        <v>273</v>
      </c>
    </row>
    <row r="26" spans="2:19" x14ac:dyDescent="0.55000000000000004">
      <c r="B26" s="52" t="s">
        <v>224</v>
      </c>
      <c r="C26" s="167">
        <f>C25*0.8</f>
        <v>-283920.8</v>
      </c>
      <c r="D26" s="167"/>
      <c r="E26" s="167">
        <f>E25*0.8</f>
        <v>-294481.60000000003</v>
      </c>
      <c r="F26" s="167"/>
      <c r="G26" s="167">
        <f>G25*0.8</f>
        <v>-428204</v>
      </c>
      <c r="H26" s="167"/>
      <c r="I26" s="167">
        <f>I25*0.8</f>
        <v>-440936.36680000008</v>
      </c>
      <c r="J26" s="167"/>
      <c r="K26" s="167">
        <f>G26</f>
        <v>-428204</v>
      </c>
      <c r="L26" s="53"/>
      <c r="M26" s="165">
        <f>I26</f>
        <v>-440936.36680000008</v>
      </c>
      <c r="N26" s="61"/>
      <c r="R26" s="221">
        <f>-I25*R25/I23</f>
        <v>8.8999999999999999E-3</v>
      </c>
      <c r="S26" s="54" t="s">
        <v>275</v>
      </c>
    </row>
    <row r="27" spans="2:19" x14ac:dyDescent="0.55000000000000004">
      <c r="B27" s="52" t="s">
        <v>225</v>
      </c>
      <c r="C27" s="167">
        <f>C25-C26</f>
        <v>-70980.200000000012</v>
      </c>
      <c r="D27" s="167"/>
      <c r="E27" s="167">
        <f>E25-E26</f>
        <v>-73620.399999999965</v>
      </c>
      <c r="F27" s="167"/>
      <c r="G27" s="167">
        <f>G25-G26</f>
        <v>-107051</v>
      </c>
      <c r="H27" s="167"/>
      <c r="I27" s="167">
        <f>I25-I26</f>
        <v>-110234.09169999999</v>
      </c>
      <c r="J27" s="167"/>
      <c r="K27" s="167">
        <f>K25-K26</f>
        <v>-107051</v>
      </c>
      <c r="L27" s="53"/>
      <c r="M27" s="165">
        <f>I27/I23*M23</f>
        <v>-110234.09169999998</v>
      </c>
      <c r="N27" s="61"/>
    </row>
    <row r="28" spans="2:19" x14ac:dyDescent="0.55000000000000004">
      <c r="B28" s="54" t="s">
        <v>22</v>
      </c>
      <c r="C28" s="61">
        <f>C31-C30</f>
        <v>40539</v>
      </c>
      <c r="D28" s="61"/>
      <c r="E28" s="61">
        <f>E31-E30</f>
        <v>42121</v>
      </c>
      <c r="F28" s="61"/>
      <c r="G28" s="61">
        <f>'Pro Forma'!I36</f>
        <v>66000</v>
      </c>
      <c r="H28" s="61"/>
      <c r="I28" s="61">
        <f>I23*I29</f>
        <v>68122.191500000001</v>
      </c>
      <c r="J28" s="61"/>
      <c r="K28" s="61">
        <f>'Pro Forma'!M36</f>
        <v>66000</v>
      </c>
      <c r="L28" s="61"/>
      <c r="M28" s="61">
        <f>M23+M25</f>
        <v>68122.191499999957</v>
      </c>
      <c r="N28" s="61"/>
    </row>
    <row r="29" spans="2:19" x14ac:dyDescent="0.55000000000000004">
      <c r="B29" s="54" t="s">
        <v>96</v>
      </c>
      <c r="C29" s="73">
        <f>C28/C23</f>
        <v>0.10251618450333805</v>
      </c>
      <c r="D29" s="73"/>
      <c r="E29" s="73">
        <f>E28/E23</f>
        <v>0.10267829936400445</v>
      </c>
      <c r="F29" s="73"/>
      <c r="G29" s="73">
        <f>G28/G23</f>
        <v>0.10977039691977614</v>
      </c>
      <c r="H29" s="73"/>
      <c r="I29" s="147">
        <v>0.11</v>
      </c>
      <c r="J29" s="73"/>
      <c r="K29" s="73">
        <f>K28/K23</f>
        <v>0.10977039691977614</v>
      </c>
      <c r="L29" s="73"/>
      <c r="M29" s="73">
        <f>M28/M23</f>
        <v>0.10999999999999993</v>
      </c>
    </row>
    <row r="30" spans="2:19" x14ac:dyDescent="0.55000000000000004">
      <c r="B30" s="54" t="s">
        <v>97</v>
      </c>
      <c r="C30" s="84">
        <v>0</v>
      </c>
      <c r="D30" s="61"/>
      <c r="E30" s="84">
        <v>0</v>
      </c>
      <c r="F30" s="88"/>
      <c r="G30" s="84">
        <f>'Pro Forma'!I38</f>
        <v>-8125</v>
      </c>
      <c r="H30" s="88"/>
      <c r="I30" s="84">
        <f>Bond!E18</f>
        <v>-7921.875</v>
      </c>
      <c r="J30" s="88"/>
      <c r="K30" s="84">
        <f>'Pro Forma'!I38</f>
        <v>-8125</v>
      </c>
      <c r="L30" s="88"/>
      <c r="M30" s="84">
        <f>Bond!E18</f>
        <v>-7921.875</v>
      </c>
      <c r="N30" s="61"/>
    </row>
    <row r="31" spans="2:19" x14ac:dyDescent="0.55000000000000004">
      <c r="B31" s="54" t="s">
        <v>86</v>
      </c>
      <c r="C31" s="61">
        <f>'Exhibit 2 (Winfield)'!D11</f>
        <v>40539</v>
      </c>
      <c r="D31" s="61"/>
      <c r="E31" s="61">
        <f>'Exhibit 2 (Winfield)'!D12</f>
        <v>42121</v>
      </c>
      <c r="F31" s="61"/>
      <c r="G31" s="61">
        <f>G28+G30</f>
        <v>57875</v>
      </c>
      <c r="H31" s="61"/>
      <c r="I31" s="61">
        <f>I28+I30</f>
        <v>60200.316500000001</v>
      </c>
      <c r="J31" s="61"/>
      <c r="K31" s="61">
        <f>K28+K30</f>
        <v>57875</v>
      </c>
      <c r="L31" s="61"/>
      <c r="M31" s="61">
        <f>M28+M30</f>
        <v>60200.316499999957</v>
      </c>
      <c r="N31" s="61"/>
    </row>
    <row r="32" spans="2:19" x14ac:dyDescent="0.55000000000000004">
      <c r="B32" s="54" t="s">
        <v>98</v>
      </c>
      <c r="C32" s="92">
        <f>C31/C23</f>
        <v>0.10251618450333805</v>
      </c>
      <c r="D32" s="73"/>
      <c r="E32" s="92">
        <f>E31/E23</f>
        <v>0.10267829936400445</v>
      </c>
      <c r="F32" s="142"/>
      <c r="G32" s="92">
        <f>G31/G23</f>
        <v>9.6256995783818841E-2</v>
      </c>
      <c r="H32" s="142"/>
      <c r="I32" s="92">
        <f>I31/I23</f>
        <v>9.7208188245088978E-2</v>
      </c>
      <c r="J32" s="142"/>
      <c r="K32" s="92">
        <f>K31/K23</f>
        <v>9.6256995783818841E-2</v>
      </c>
      <c r="L32" s="142"/>
      <c r="M32" s="92">
        <f>M31/M23</f>
        <v>9.7208188245088895E-2</v>
      </c>
      <c r="N32" s="61"/>
    </row>
    <row r="33" spans="2:29" x14ac:dyDescent="0.55000000000000004">
      <c r="B33" s="71" t="s">
        <v>87</v>
      </c>
      <c r="C33" s="65">
        <f>'Exhibit 2 (Winfield)'!E11</f>
        <v>26350.350000000002</v>
      </c>
      <c r="D33" s="65"/>
      <c r="E33" s="65">
        <f>'Exhibit 2 (Winfield)'!E12</f>
        <v>27378.65</v>
      </c>
      <c r="F33" s="65"/>
      <c r="G33" s="65">
        <f>'Pro Forma'!I41</f>
        <v>37618.75</v>
      </c>
      <c r="H33" s="65"/>
      <c r="I33" s="65">
        <f>I31*(1-0.35)</f>
        <v>39130.205725</v>
      </c>
      <c r="J33" s="65"/>
      <c r="K33" s="65">
        <f>'Pro Forma'!I41</f>
        <v>37618.75</v>
      </c>
      <c r="L33" s="65"/>
      <c r="M33" s="65">
        <f>M31*(1-0.35)</f>
        <v>39130.205724999971</v>
      </c>
      <c r="N33" s="61"/>
    </row>
    <row r="34" spans="2:29" x14ac:dyDescent="0.55000000000000004">
      <c r="B34" s="54" t="s">
        <v>88</v>
      </c>
      <c r="C34" s="61">
        <v>15000</v>
      </c>
      <c r="D34" s="61"/>
      <c r="E34" s="61">
        <v>15000</v>
      </c>
      <c r="F34" s="61"/>
      <c r="G34" s="61">
        <v>15000</v>
      </c>
      <c r="H34" s="61"/>
      <c r="I34" s="61">
        <v>15000</v>
      </c>
      <c r="J34" s="61"/>
      <c r="K34" s="61">
        <v>15000</v>
      </c>
      <c r="L34" s="61"/>
      <c r="M34" s="61">
        <v>15000</v>
      </c>
      <c r="N34" s="61"/>
    </row>
    <row r="35" spans="2:29" x14ac:dyDescent="0.55000000000000004">
      <c r="B35" s="71" t="s">
        <v>89</v>
      </c>
      <c r="C35" s="93">
        <f>C33/C34</f>
        <v>1.7566900000000001</v>
      </c>
      <c r="D35" s="93"/>
      <c r="E35" s="93">
        <f>E33/E34</f>
        <v>1.8252433333333333</v>
      </c>
      <c r="F35" s="93"/>
      <c r="G35" s="93">
        <f>G33/G34</f>
        <v>2.5079166666666666</v>
      </c>
      <c r="H35" s="93"/>
      <c r="I35" s="93">
        <f>I33/I34</f>
        <v>2.6086803816666668</v>
      </c>
      <c r="J35" s="93"/>
      <c r="K35" s="93">
        <f>K33/K34</f>
        <v>2.5079166666666666</v>
      </c>
      <c r="L35" s="93"/>
      <c r="M35" s="93">
        <f>M33/M34</f>
        <v>2.6086803816666646</v>
      </c>
      <c r="N35" s="61"/>
    </row>
    <row r="36" spans="2:29" x14ac:dyDescent="0.55000000000000004">
      <c r="G36" s="67">
        <f>G31*0.65-G33</f>
        <v>0</v>
      </c>
      <c r="K36" s="67">
        <f>K31*0.65-K33</f>
        <v>0</v>
      </c>
    </row>
    <row r="37" spans="2:29" ht="14.4" customHeight="1" thickBot="1" x14ac:dyDescent="0.6">
      <c r="B37" s="71"/>
      <c r="C37" s="95"/>
      <c r="D37" s="79"/>
      <c r="E37" s="95"/>
      <c r="F37" s="95"/>
      <c r="G37" s="55" t="s">
        <v>218</v>
      </c>
      <c r="H37" s="55"/>
      <c r="I37" s="55"/>
      <c r="K37" s="164" t="s">
        <v>222</v>
      </c>
      <c r="L37" s="55"/>
      <c r="M37" s="55"/>
      <c r="N37" s="66"/>
      <c r="P37" s="179" t="s">
        <v>227</v>
      </c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</row>
    <row r="38" spans="2:29" ht="14.4" customHeight="1" thickTop="1" thickBot="1" x14ac:dyDescent="0.6">
      <c r="B38" s="71"/>
      <c r="C38" s="145" t="s">
        <v>160</v>
      </c>
      <c r="D38" s="146"/>
      <c r="E38" s="145"/>
      <c r="F38" s="95"/>
      <c r="G38" s="145" t="s">
        <v>206</v>
      </c>
      <c r="H38" s="146"/>
      <c r="I38" s="145"/>
      <c r="J38" s="95"/>
      <c r="K38" s="145" t="s">
        <v>206</v>
      </c>
      <c r="L38" s="146"/>
      <c r="M38" s="145"/>
      <c r="N38" s="66"/>
    </row>
    <row r="39" spans="2:29" ht="14.7" thickBot="1" x14ac:dyDescent="0.6">
      <c r="B39" s="72" t="s">
        <v>58</v>
      </c>
      <c r="C39" s="58">
        <v>2011</v>
      </c>
      <c r="D39" s="60"/>
      <c r="E39" s="58" t="s">
        <v>7</v>
      </c>
      <c r="F39" s="60"/>
      <c r="G39" s="58" t="s">
        <v>7</v>
      </c>
      <c r="H39" s="60"/>
      <c r="I39" s="58" t="s">
        <v>200</v>
      </c>
      <c r="J39" s="60"/>
      <c r="K39" s="58" t="s">
        <v>7</v>
      </c>
      <c r="L39" s="60"/>
      <c r="M39" s="163" t="s">
        <v>200</v>
      </c>
    </row>
    <row r="40" spans="2:29" ht="15" thickTop="1" thickBot="1" x14ac:dyDescent="0.6">
      <c r="B40" s="54" t="s">
        <v>87</v>
      </c>
      <c r="E40" s="66">
        <f>E33</f>
        <v>27378.65</v>
      </c>
      <c r="F40" s="66"/>
      <c r="G40" s="66">
        <f>G33</f>
        <v>37618.75</v>
      </c>
      <c r="H40" s="66"/>
      <c r="I40" s="66">
        <f>I33</f>
        <v>39130.205725</v>
      </c>
      <c r="J40" s="66"/>
      <c r="K40" s="66">
        <f>K33</f>
        <v>37618.75</v>
      </c>
      <c r="L40" s="66"/>
      <c r="M40" s="66">
        <f>M33</f>
        <v>39130.205724999971</v>
      </c>
      <c r="P40" s="171" t="s">
        <v>228</v>
      </c>
      <c r="Q40" s="55"/>
      <c r="R40" s="55"/>
      <c r="S40" s="55"/>
      <c r="T40" s="55"/>
      <c r="U40" s="55"/>
      <c r="X40" s="171" t="s">
        <v>230</v>
      </c>
      <c r="Y40" s="55"/>
      <c r="Z40" s="55"/>
      <c r="AA40" s="55"/>
      <c r="AB40" s="55"/>
      <c r="AC40" s="55"/>
    </row>
    <row r="41" spans="2:29" ht="14.7" thickTop="1" x14ac:dyDescent="0.55000000000000004">
      <c r="B41" s="54" t="s">
        <v>109</v>
      </c>
      <c r="E41" s="66">
        <f>'Pro Forma'!E47</f>
        <v>27602.15</v>
      </c>
      <c r="F41" s="66"/>
      <c r="G41" s="66">
        <f>'Pro Forma'!I47</f>
        <v>39064.07</v>
      </c>
      <c r="H41" s="66"/>
      <c r="I41" s="89">
        <f>G41</f>
        <v>39064.07</v>
      </c>
      <c r="J41" s="66"/>
      <c r="K41" s="66">
        <f>G41</f>
        <v>39064.07</v>
      </c>
      <c r="L41" s="66"/>
      <c r="M41" s="89">
        <f>I41</f>
        <v>39064.07</v>
      </c>
      <c r="Q41" s="219" t="s">
        <v>272</v>
      </c>
      <c r="R41" s="219"/>
      <c r="S41" s="219"/>
      <c r="T41" s="219"/>
      <c r="U41" s="219"/>
      <c r="Y41" s="219" t="s">
        <v>272</v>
      </c>
      <c r="Z41" s="219"/>
      <c r="AA41" s="219"/>
      <c r="AB41" s="219"/>
      <c r="AC41" s="219"/>
    </row>
    <row r="42" spans="2:29" x14ac:dyDescent="0.55000000000000004">
      <c r="B42" s="54" t="s">
        <v>110</v>
      </c>
      <c r="E42" s="66">
        <f>'Pro Forma'!E48</f>
        <v>-440.40095670885785</v>
      </c>
      <c r="F42" s="66"/>
      <c r="G42" s="66">
        <f>'Pro Forma'!I48</f>
        <v>-670.59451670885778</v>
      </c>
      <c r="H42" s="66"/>
      <c r="I42" s="66">
        <f>-I43*I23</f>
        <v>-690.71235221012364</v>
      </c>
      <c r="J42" s="66"/>
      <c r="K42" s="66">
        <f>'Pro Forma'!M48</f>
        <v>-670.59451670885778</v>
      </c>
      <c r="L42" s="66"/>
      <c r="M42" s="66">
        <f>-M43*M23</f>
        <v>-690.71235221012364</v>
      </c>
      <c r="P42" s="175">
        <f>M54</f>
        <v>5131.6973840398678</v>
      </c>
      <c r="Q42" s="173">
        <v>-0.05</v>
      </c>
      <c r="R42" s="173">
        <v>0</v>
      </c>
      <c r="S42" s="217">
        <v>0.03</v>
      </c>
      <c r="T42" s="173">
        <v>0.04</v>
      </c>
      <c r="U42" s="173">
        <v>0.05</v>
      </c>
      <c r="X42" s="175">
        <f>M56</f>
        <v>43241.61502733102</v>
      </c>
      <c r="Y42" s="173">
        <v>-0.05</v>
      </c>
      <c r="Z42" s="173">
        <v>0</v>
      </c>
      <c r="AA42" s="217">
        <v>0.03</v>
      </c>
      <c r="AB42" s="173">
        <v>0.04</v>
      </c>
      <c r="AC42" s="173">
        <v>0.05</v>
      </c>
    </row>
    <row r="43" spans="2:29" x14ac:dyDescent="0.55000000000000004">
      <c r="B43" s="57" t="s">
        <v>209</v>
      </c>
      <c r="E43" s="148">
        <f>-E42/E23</f>
        <v>1.0735647604080167E-3</v>
      </c>
      <c r="F43" s="66"/>
      <c r="G43" s="150">
        <f>-G42/G23</f>
        <v>1.1153246404751026E-3</v>
      </c>
      <c r="H43" s="73"/>
      <c r="I43" s="149">
        <f>G43</f>
        <v>1.1153246404751026E-3</v>
      </c>
      <c r="J43" s="66"/>
      <c r="K43" s="150">
        <f>-K42/K23</f>
        <v>1.1153246404751026E-3</v>
      </c>
      <c r="L43" s="66"/>
      <c r="M43" s="149">
        <f>I43</f>
        <v>1.1153246404751026E-3</v>
      </c>
      <c r="O43" s="415" t="s">
        <v>271</v>
      </c>
      <c r="P43" s="172">
        <v>0.5</v>
      </c>
      <c r="Q43" s="66">
        <f t="dataTable" ref="Q43:U45" dt2D="1" dtr="1" r1="M24" r2="M52" ca="1"/>
        <v>-5708.166628373423</v>
      </c>
      <c r="R43" s="66">
        <v>2289.5673082911053</v>
      </c>
      <c r="S43" s="66">
        <v>7088.2076702898667</v>
      </c>
      <c r="T43" s="66">
        <v>8687.754457622792</v>
      </c>
      <c r="U43" s="66">
        <v>10287.301244955685</v>
      </c>
      <c r="W43" s="415" t="s">
        <v>271</v>
      </c>
      <c r="X43" s="172">
        <v>0.5</v>
      </c>
      <c r="Y43" s="66">
        <f t="dataTable" ref="Y43:AC45" dt2D="1" dtr="1" r1="M24" r2="M52" ca="1"/>
        <v>32401.751014917725</v>
      </c>
      <c r="Z43" s="66">
        <v>40399.484951582257</v>
      </c>
      <c r="AA43" s="66">
        <v>45198.125313581011</v>
      </c>
      <c r="AB43" s="66">
        <v>46797.672100913944</v>
      </c>
      <c r="AC43" s="66">
        <v>48397.218888246833</v>
      </c>
    </row>
    <row r="44" spans="2:29" x14ac:dyDescent="0.55000000000000004">
      <c r="B44" s="54" t="s">
        <v>111</v>
      </c>
      <c r="E44" s="66">
        <f>'Pro Forma'!E49</f>
        <v>-30000</v>
      </c>
      <c r="F44" s="143"/>
      <c r="G44" s="143">
        <f>'Pro Forma'!I49</f>
        <v>-43180.252840000001</v>
      </c>
      <c r="H44" s="143"/>
      <c r="I44" s="153">
        <f>G44</f>
        <v>-43180.252840000001</v>
      </c>
      <c r="J44" s="143"/>
      <c r="K44" s="143">
        <f>G44</f>
        <v>-43180.252840000001</v>
      </c>
      <c r="L44" s="143"/>
      <c r="M44" s="153">
        <f>I44</f>
        <v>-43180.252840000001</v>
      </c>
      <c r="O44" s="415"/>
      <c r="P44" s="218">
        <v>0.55000000000000004</v>
      </c>
      <c r="Q44" s="66">
        <v>-6379.674728623424</v>
      </c>
      <c r="R44" s="66">
        <v>814.93284179110924</v>
      </c>
      <c r="S44" s="91">
        <v>5131.6973840398678</v>
      </c>
      <c r="T44" s="66">
        <v>6570.6188981227897</v>
      </c>
      <c r="U44" s="66">
        <v>8009.5404122056825</v>
      </c>
      <c r="W44" s="415"/>
      <c r="X44" s="218">
        <v>0.55000000000000004</v>
      </c>
      <c r="Y44" s="66">
        <v>31730.242914667724</v>
      </c>
      <c r="Z44" s="66">
        <v>38924.850485082257</v>
      </c>
      <c r="AA44" s="91">
        <v>43241.61502733102</v>
      </c>
      <c r="AB44" s="66">
        <v>44680.536541413938</v>
      </c>
      <c r="AC44" s="66">
        <v>46119.458055496827</v>
      </c>
    </row>
    <row r="45" spans="2:29" x14ac:dyDescent="0.55000000000000004">
      <c r="B45" s="54" t="s">
        <v>208</v>
      </c>
      <c r="E45" s="90">
        <f>'Pro Forma'!E50</f>
        <v>0</v>
      </c>
      <c r="F45" s="143"/>
      <c r="G45" s="90">
        <f>'Pro Forma'!I50</f>
        <v>-125000</v>
      </c>
      <c r="H45" s="143"/>
      <c r="I45" s="90">
        <v>0</v>
      </c>
      <c r="J45" s="143"/>
      <c r="K45" s="90">
        <f>G45</f>
        <v>-125000</v>
      </c>
      <c r="L45" s="143"/>
      <c r="M45" s="90">
        <v>0</v>
      </c>
      <c r="O45" s="415"/>
      <c r="P45" s="172">
        <v>0.6</v>
      </c>
      <c r="Q45" s="66">
        <v>-7051.1828288734214</v>
      </c>
      <c r="R45" s="66">
        <v>-659.70162470888681</v>
      </c>
      <c r="S45" s="66">
        <v>3175.1870977898689</v>
      </c>
      <c r="T45" s="66">
        <v>4453.4833386227911</v>
      </c>
      <c r="U45" s="66">
        <v>5731.7795794556878</v>
      </c>
      <c r="W45" s="415"/>
      <c r="X45" s="172">
        <v>0.6</v>
      </c>
      <c r="Y45" s="66">
        <v>31058.734814417727</v>
      </c>
      <c r="Z45" s="66">
        <v>37450.216018582258</v>
      </c>
      <c r="AA45" s="66">
        <v>41285.104741081013</v>
      </c>
      <c r="AB45" s="66">
        <v>42563.400981913939</v>
      </c>
      <c r="AC45" s="66">
        <v>43841.697222746836</v>
      </c>
    </row>
    <row r="46" spans="2:29" x14ac:dyDescent="0.55000000000000004">
      <c r="B46" s="71" t="s">
        <v>123</v>
      </c>
      <c r="E46" s="91">
        <f>E40+E41+E42+E44+E45</f>
        <v>24540.399043291145</v>
      </c>
      <c r="F46" s="91"/>
      <c r="G46" s="91">
        <f>G40+G41+G42+G44+G45</f>
        <v>-92168.027356708859</v>
      </c>
      <c r="H46" s="91"/>
      <c r="I46" s="91">
        <f>I40+I41+I42+I44+I45</f>
        <v>34323.310532789881</v>
      </c>
      <c r="J46" s="91"/>
      <c r="K46" s="91">
        <f>K40+K41+K42+K44+K45</f>
        <v>-92168.027356708859</v>
      </c>
      <c r="L46" s="91"/>
      <c r="M46" s="91">
        <f>M40+M41+M42+M44+M45</f>
        <v>34323.310532789852</v>
      </c>
    </row>
    <row r="47" spans="2:29" x14ac:dyDescent="0.55000000000000004">
      <c r="B47" s="54" t="s">
        <v>125</v>
      </c>
      <c r="E47" s="66">
        <f>'Pro Forma'!E52</f>
        <v>-1420</v>
      </c>
      <c r="F47" s="66"/>
      <c r="G47" s="66">
        <f>'Pro Forma'!I52</f>
        <v>-1420</v>
      </c>
      <c r="H47" s="66"/>
      <c r="I47" s="66">
        <f>G47</f>
        <v>-1420</v>
      </c>
      <c r="J47" s="66"/>
      <c r="K47" s="66">
        <f>G47</f>
        <v>-1420</v>
      </c>
      <c r="L47" s="66"/>
      <c r="M47" s="66">
        <f>I47</f>
        <v>-1420</v>
      </c>
    </row>
    <row r="48" spans="2:29" ht="14.7" thickBot="1" x14ac:dyDescent="0.6">
      <c r="B48" s="54" t="s">
        <v>124</v>
      </c>
      <c r="E48" s="66">
        <v>0</v>
      </c>
      <c r="F48" s="66"/>
      <c r="G48" s="66">
        <f>'Pro Forma'!I53</f>
        <v>125000</v>
      </c>
      <c r="H48" s="66"/>
      <c r="I48" s="66">
        <v>0</v>
      </c>
      <c r="J48" s="66"/>
      <c r="K48" s="66">
        <f>G48</f>
        <v>125000</v>
      </c>
      <c r="L48" s="66"/>
      <c r="M48" s="66">
        <v>0</v>
      </c>
      <c r="P48" s="171" t="s">
        <v>229</v>
      </c>
      <c r="Q48" s="55"/>
      <c r="R48" s="55"/>
      <c r="S48" s="55"/>
      <c r="T48" s="55"/>
      <c r="U48" s="55"/>
      <c r="X48" s="171" t="s">
        <v>231</v>
      </c>
      <c r="Y48" s="55"/>
      <c r="Z48" s="55"/>
      <c r="AA48" s="55"/>
      <c r="AB48" s="55"/>
      <c r="AC48" s="55"/>
    </row>
    <row r="49" spans="2:29" ht="14.7" thickTop="1" x14ac:dyDescent="0.55000000000000004">
      <c r="B49" s="54" t="s">
        <v>126</v>
      </c>
      <c r="E49" s="66">
        <v>0</v>
      </c>
      <c r="F49" s="66"/>
      <c r="G49" s="66">
        <f>'Pro Forma'!I54</f>
        <v>0</v>
      </c>
      <c r="H49" s="66"/>
      <c r="I49" s="66">
        <f>Bond!E16</f>
        <v>-6250</v>
      </c>
      <c r="J49" s="66"/>
      <c r="K49" s="66">
        <f>G49</f>
        <v>0</v>
      </c>
      <c r="L49" s="66"/>
      <c r="M49" s="66">
        <f>Bond!E16</f>
        <v>-6250</v>
      </c>
    </row>
    <row r="50" spans="2:29" x14ac:dyDescent="0.55000000000000004">
      <c r="B50" s="54" t="s">
        <v>127</v>
      </c>
      <c r="E50" s="66">
        <v>0</v>
      </c>
      <c r="F50" s="66"/>
      <c r="G50" s="66">
        <f>'Pro Forma'!I55</f>
        <v>0</v>
      </c>
      <c r="H50" s="66"/>
      <c r="I50" s="66">
        <v>0</v>
      </c>
      <c r="J50" s="66"/>
      <c r="K50" s="66">
        <f>G50</f>
        <v>0</v>
      </c>
      <c r="L50" s="66"/>
      <c r="M50" s="66">
        <v>0</v>
      </c>
      <c r="P50" s="174">
        <f>M62</f>
        <v>1.4347742099166656</v>
      </c>
      <c r="Q50" s="173">
        <v>-0.05</v>
      </c>
      <c r="R50" s="173">
        <v>0</v>
      </c>
      <c r="S50" s="217">
        <v>0.03</v>
      </c>
      <c r="T50" s="173">
        <v>0.04</v>
      </c>
      <c r="U50" s="173">
        <v>0.05</v>
      </c>
      <c r="X50" s="174">
        <f>M35</f>
        <v>2.6086803816666646</v>
      </c>
      <c r="Y50" s="173">
        <v>-0.05</v>
      </c>
      <c r="Z50" s="173">
        <v>0</v>
      </c>
      <c r="AA50" s="217">
        <v>0.03</v>
      </c>
      <c r="AB50" s="173">
        <v>0.04</v>
      </c>
      <c r="AC50" s="173">
        <v>0.05</v>
      </c>
    </row>
    <row r="51" spans="2:29" ht="14.7" thickBot="1" x14ac:dyDescent="0.6">
      <c r="B51" s="54" t="s">
        <v>128</v>
      </c>
      <c r="E51" s="66">
        <f>'Pro Forma'!E56</f>
        <v>-15000</v>
      </c>
      <c r="F51" s="143"/>
      <c r="G51" s="66">
        <f>'Pro Forma'!I56</f>
        <v>-20632.055</v>
      </c>
      <c r="H51" s="143"/>
      <c r="I51" s="66">
        <f>-I52*I40</f>
        <v>-21521.613148750002</v>
      </c>
      <c r="J51" s="143"/>
      <c r="K51" s="66">
        <f>G51</f>
        <v>-20632.055</v>
      </c>
      <c r="L51" s="143"/>
      <c r="M51" s="168">
        <f>-M52*M40</f>
        <v>-21521.613148749984</v>
      </c>
      <c r="P51" s="172">
        <v>0.5</v>
      </c>
      <c r="Q51" s="67">
        <f t="dataTable" ref="Q51:U53" dt2D="1" dtr="1" r1="M24" r2="M52"/>
        <v>0.44767206683333305</v>
      </c>
      <c r="R51" s="67">
        <v>0.98308964433333146</v>
      </c>
      <c r="S51" s="67">
        <v>1.3043401908333323</v>
      </c>
      <c r="T51" s="67">
        <v>1.4114237063333337</v>
      </c>
      <c r="U51" s="67">
        <v>1.5185072218333322</v>
      </c>
      <c r="X51" s="172">
        <v>0.5</v>
      </c>
      <c r="Y51" s="67">
        <f t="dataTable" ref="Y51:AC53" dt2D="1" dtr="1" r1="M24" r2="M52" ca="1"/>
        <v>0.8953441336666661</v>
      </c>
      <c r="Z51" s="67">
        <v>1.9661792886666629</v>
      </c>
      <c r="AA51" s="67">
        <v>2.6086803816666646</v>
      </c>
      <c r="AB51" s="67">
        <v>2.8228474126666674</v>
      </c>
      <c r="AC51" s="67">
        <v>3.0370144436666644</v>
      </c>
    </row>
    <row r="52" spans="2:29" ht="14.7" thickBot="1" x14ac:dyDescent="0.6">
      <c r="B52" s="57" t="s">
        <v>210</v>
      </c>
      <c r="E52" s="151">
        <f>-E51/E40</f>
        <v>0.54787215585867088</v>
      </c>
      <c r="F52" s="143"/>
      <c r="G52" s="151">
        <f>-G51/G40</f>
        <v>0.54845137065957805</v>
      </c>
      <c r="H52" s="143"/>
      <c r="I52" s="152">
        <v>0.55000000000000004</v>
      </c>
      <c r="J52" s="143"/>
      <c r="K52" s="151">
        <f>-K51/K40</f>
        <v>0.54845137065957805</v>
      </c>
      <c r="L52" s="143"/>
      <c r="M52" s="177">
        <v>0.55000000000000004</v>
      </c>
      <c r="P52" s="218">
        <v>0.55000000000000004</v>
      </c>
      <c r="Q52" s="67">
        <v>0.49243927351666639</v>
      </c>
      <c r="R52" s="67">
        <v>1.0813986087666647</v>
      </c>
      <c r="S52" s="118">
        <v>1.4347742099166656</v>
      </c>
      <c r="T52" s="67">
        <v>1.5525660769666672</v>
      </c>
      <c r="U52" s="67">
        <v>1.6703579440166658</v>
      </c>
      <c r="X52" s="218">
        <v>0.55000000000000004</v>
      </c>
      <c r="Y52" s="67">
        <v>0.8953441336666661</v>
      </c>
      <c r="Z52" s="67">
        <v>1.9661792886666629</v>
      </c>
      <c r="AA52" s="118">
        <v>2.6086803816666646</v>
      </c>
      <c r="AB52" s="67">
        <v>2.8228474126666674</v>
      </c>
      <c r="AC52" s="67">
        <v>3.0370144436666644</v>
      </c>
    </row>
    <row r="53" spans="2:29" x14ac:dyDescent="0.55000000000000004">
      <c r="B53" s="71" t="s">
        <v>129</v>
      </c>
      <c r="E53" s="94">
        <f>SUM(E47:E51)</f>
        <v>-16420</v>
      </c>
      <c r="F53" s="144"/>
      <c r="G53" s="94">
        <f>SUM(G47:G51)</f>
        <v>102947.94500000001</v>
      </c>
      <c r="H53" s="144"/>
      <c r="I53" s="94">
        <f>SUM(I47:I51)</f>
        <v>-29191.613148750002</v>
      </c>
      <c r="J53" s="144"/>
      <c r="K53" s="94">
        <f>SUM(K47:K51)</f>
        <v>102947.94500000001</v>
      </c>
      <c r="L53" s="144"/>
      <c r="M53" s="176">
        <f>SUM(M47:M51)</f>
        <v>-29191.613148749984</v>
      </c>
      <c r="P53" s="172">
        <v>0.6</v>
      </c>
      <c r="Q53" s="67">
        <v>0.53720648019999961</v>
      </c>
      <c r="R53" s="67">
        <v>1.1797075731999975</v>
      </c>
      <c r="S53" s="67">
        <v>1.5652082289999989</v>
      </c>
      <c r="T53" s="67">
        <v>1.6937084476000004</v>
      </c>
      <c r="U53" s="67">
        <v>1.8222086661999988</v>
      </c>
      <c r="X53" s="172">
        <v>0.6</v>
      </c>
      <c r="Y53" s="67">
        <v>0.8953441336666661</v>
      </c>
      <c r="Z53" s="67">
        <v>1.9661792886666629</v>
      </c>
      <c r="AA53" s="67">
        <v>2.6086803816666646</v>
      </c>
      <c r="AB53" s="67">
        <v>2.8228474126666674</v>
      </c>
      <c r="AC53" s="67">
        <v>3.0370144436666644</v>
      </c>
    </row>
    <row r="54" spans="2:29" x14ac:dyDescent="0.55000000000000004">
      <c r="B54" s="71" t="s">
        <v>135</v>
      </c>
      <c r="E54" s="91">
        <f>E46+E53</f>
        <v>8120.3990432911451</v>
      </c>
      <c r="F54" s="91"/>
      <c r="G54" s="91">
        <f>G46+G53</f>
        <v>10779.917643291148</v>
      </c>
      <c r="H54" s="91"/>
      <c r="I54" s="91">
        <f>I46+I53</f>
        <v>5131.6973840398787</v>
      </c>
      <c r="J54" s="91"/>
      <c r="K54" s="91">
        <f>K46+K53</f>
        <v>10779.917643291148</v>
      </c>
      <c r="L54" s="91"/>
      <c r="M54" s="91">
        <f>M46+M53</f>
        <v>5131.6973840398678</v>
      </c>
    </row>
    <row r="55" spans="2:29" x14ac:dyDescent="0.55000000000000004">
      <c r="B55" s="71" t="s">
        <v>136</v>
      </c>
      <c r="E55" s="91">
        <f>C56</f>
        <v>27330</v>
      </c>
      <c r="F55" s="91"/>
      <c r="G55" s="91">
        <f>E55</f>
        <v>27330</v>
      </c>
      <c r="H55" s="91"/>
      <c r="I55" s="91">
        <f>G56</f>
        <v>38109.917643291148</v>
      </c>
      <c r="J55" s="91"/>
      <c r="K55" s="91">
        <f>E55</f>
        <v>27330</v>
      </c>
      <c r="L55" s="91"/>
      <c r="M55" s="91">
        <f>K56</f>
        <v>38109.917643291148</v>
      </c>
      <c r="Y55" s="126" t="s">
        <v>232</v>
      </c>
    </row>
    <row r="56" spans="2:29" x14ac:dyDescent="0.55000000000000004">
      <c r="B56" s="71" t="s">
        <v>137</v>
      </c>
      <c r="C56" s="91">
        <f>'Pro Forma'!C60</f>
        <v>27330</v>
      </c>
      <c r="E56" s="91">
        <f>E55+E54</f>
        <v>35450.399043291145</v>
      </c>
      <c r="F56" s="91"/>
      <c r="G56" s="91">
        <f>G55+G54</f>
        <v>38109.917643291148</v>
      </c>
      <c r="H56" s="91"/>
      <c r="I56" s="91">
        <f>I55+I54</f>
        <v>43241.615027331027</v>
      </c>
      <c r="J56" s="91"/>
      <c r="K56" s="91">
        <f>K55+K54</f>
        <v>38109.917643291148</v>
      </c>
      <c r="L56" s="91"/>
      <c r="M56" s="91">
        <f>M55+M54</f>
        <v>43241.61502733102</v>
      </c>
      <c r="Y56" s="126" t="s">
        <v>233</v>
      </c>
    </row>
    <row r="57" spans="2:29" ht="14.7" thickBot="1" x14ac:dyDescent="0.6">
      <c r="X57" s="171" t="s">
        <v>234</v>
      </c>
      <c r="Y57" s="55"/>
      <c r="Z57" s="55"/>
      <c r="AA57" s="55"/>
      <c r="AB57" s="55"/>
      <c r="AC57" s="55"/>
    </row>
    <row r="58" spans="2:29" ht="14.4" customHeight="1" thickTop="1" thickBot="1" x14ac:dyDescent="0.6">
      <c r="B58" s="71"/>
      <c r="C58" s="95"/>
      <c r="D58" s="79"/>
      <c r="E58" s="95"/>
      <c r="F58" s="95"/>
      <c r="G58" s="55" t="s">
        <v>218</v>
      </c>
      <c r="H58" s="55"/>
      <c r="I58" s="55"/>
      <c r="K58" s="164" t="s">
        <v>222</v>
      </c>
      <c r="L58" s="55"/>
      <c r="M58" s="55"/>
      <c r="N58" s="66"/>
    </row>
    <row r="59" spans="2:29" ht="14.4" customHeight="1" thickTop="1" thickBot="1" x14ac:dyDescent="0.6">
      <c r="B59" s="71"/>
      <c r="C59" s="145" t="s">
        <v>160</v>
      </c>
      <c r="D59" s="146"/>
      <c r="E59" s="145"/>
      <c r="F59" s="95"/>
      <c r="G59" s="145" t="s">
        <v>206</v>
      </c>
      <c r="H59" s="146"/>
      <c r="I59" s="145"/>
      <c r="J59" s="95"/>
      <c r="K59" s="145" t="s">
        <v>206</v>
      </c>
      <c r="L59" s="146"/>
      <c r="M59" s="145"/>
      <c r="N59" s="66"/>
      <c r="X59" s="174">
        <f>M28</f>
        <v>68122.191499999957</v>
      </c>
      <c r="Y59" s="173">
        <v>-0.05</v>
      </c>
      <c r="Z59" s="173">
        <v>0</v>
      </c>
      <c r="AA59" s="173">
        <v>0.03</v>
      </c>
      <c r="AB59" s="173">
        <v>0.04</v>
      </c>
      <c r="AC59" s="173">
        <v>0.05</v>
      </c>
    </row>
    <row r="60" spans="2:29" ht="14.7" thickBot="1" x14ac:dyDescent="0.6">
      <c r="C60" s="58">
        <v>2011</v>
      </c>
      <c r="D60" s="60"/>
      <c r="E60" s="58" t="s">
        <v>7</v>
      </c>
      <c r="F60" s="60"/>
      <c r="G60" s="58" t="s">
        <v>7</v>
      </c>
      <c r="H60" s="60"/>
      <c r="I60" s="58" t="s">
        <v>200</v>
      </c>
      <c r="J60" s="60"/>
      <c r="K60" s="58" t="s">
        <v>7</v>
      </c>
      <c r="L60" s="60"/>
      <c r="M60" s="58" t="s">
        <v>200</v>
      </c>
      <c r="X60" s="172">
        <v>0.5</v>
      </c>
      <c r="Y60" s="66">
        <f t="dataTable" ref="Y60:AC62" dt2D="1" dtr="1" r1="M24" r2="M52" ca="1"/>
        <v>28583.662699999986</v>
      </c>
      <c r="Z60" s="66">
        <v>53295.24319999991</v>
      </c>
      <c r="AA60" s="66">
        <v>68122.191499999957</v>
      </c>
      <c r="AB60" s="66">
        <v>73064.507600000012</v>
      </c>
      <c r="AC60" s="66">
        <v>78006.82369999995</v>
      </c>
    </row>
    <row r="61" spans="2:29" ht="14.7" thickTop="1" x14ac:dyDescent="0.55000000000000004">
      <c r="B61" s="72" t="s">
        <v>128</v>
      </c>
      <c r="X61" s="172">
        <v>0.55000000000000004</v>
      </c>
      <c r="Y61" s="66">
        <v>28583.662699999986</v>
      </c>
      <c r="Z61" s="66">
        <v>53295.24319999991</v>
      </c>
      <c r="AA61" s="66">
        <v>68122.191499999957</v>
      </c>
      <c r="AB61" s="66">
        <v>73064.507600000012</v>
      </c>
      <c r="AC61" s="66">
        <v>78006.82369999995</v>
      </c>
    </row>
    <row r="62" spans="2:29" x14ac:dyDescent="0.55000000000000004">
      <c r="B62" s="54" t="s">
        <v>133</v>
      </c>
      <c r="C62" s="67">
        <f>'Exhibit 2 (Winfield)'!G11</f>
        <v>1</v>
      </c>
      <c r="E62" s="67">
        <f>'Exhibit 2 (Winfield)'!G12</f>
        <v>1</v>
      </c>
      <c r="F62" s="67"/>
      <c r="G62" s="67">
        <f>G64/G63</f>
        <v>1.3754703333333334</v>
      </c>
      <c r="H62" s="67"/>
      <c r="I62" s="67">
        <f>I64/I63</f>
        <v>1.4347742099166669</v>
      </c>
      <c r="J62" s="67"/>
      <c r="K62" s="67">
        <f>K64/K63</f>
        <v>1.3754703333333334</v>
      </c>
      <c r="L62" s="67"/>
      <c r="M62" s="67">
        <f>M64/M63</f>
        <v>1.4347742099166656</v>
      </c>
      <c r="O62" s="126" t="s">
        <v>226</v>
      </c>
      <c r="X62" s="172">
        <v>0.6</v>
      </c>
      <c r="Y62" s="66">
        <v>28583.662699999986</v>
      </c>
      <c r="Z62" s="66">
        <v>53295.24319999991</v>
      </c>
      <c r="AA62" s="66">
        <v>68122.191499999957</v>
      </c>
      <c r="AB62" s="66">
        <v>73064.507600000012</v>
      </c>
      <c r="AC62" s="66">
        <v>78006.82369999995</v>
      </c>
    </row>
    <row r="63" spans="2:29" x14ac:dyDescent="0.55000000000000004">
      <c r="B63" s="54" t="s">
        <v>88</v>
      </c>
      <c r="C63" s="66">
        <v>15000</v>
      </c>
      <c r="D63" s="66"/>
      <c r="E63" s="66">
        <f>C63</f>
        <v>15000</v>
      </c>
      <c r="F63" s="66"/>
      <c r="G63" s="66">
        <f>E63</f>
        <v>15000</v>
      </c>
      <c r="H63" s="66"/>
      <c r="I63" s="66">
        <f>G63</f>
        <v>15000</v>
      </c>
      <c r="J63" s="66"/>
      <c r="K63" s="66">
        <f>I63</f>
        <v>15000</v>
      </c>
      <c r="L63" s="66"/>
      <c r="M63" s="66">
        <f>K63</f>
        <v>15000</v>
      </c>
    </row>
    <row r="64" spans="2:29" x14ac:dyDescent="0.55000000000000004">
      <c r="B64" s="54" t="s">
        <v>134</v>
      </c>
      <c r="C64" s="66">
        <f>C62*C63</f>
        <v>15000</v>
      </c>
      <c r="E64" s="66">
        <f>E62*E63</f>
        <v>15000</v>
      </c>
      <c r="F64" s="66"/>
      <c r="G64" s="66">
        <f>-G51</f>
        <v>20632.055</v>
      </c>
      <c r="H64" s="66"/>
      <c r="I64" s="66">
        <f>-I51</f>
        <v>21521.613148750002</v>
      </c>
      <c r="J64" s="66"/>
      <c r="K64" s="66">
        <f>-K51</f>
        <v>20632.055</v>
      </c>
      <c r="L64" s="66"/>
      <c r="M64" s="66">
        <f>-M51</f>
        <v>21521.613148749984</v>
      </c>
    </row>
    <row r="65" spans="2:13" x14ac:dyDescent="0.55000000000000004">
      <c r="B65" s="54" t="s">
        <v>161</v>
      </c>
      <c r="C65" s="66">
        <f>C33</f>
        <v>26350.350000000002</v>
      </c>
      <c r="E65" s="66">
        <f>E33</f>
        <v>27378.65</v>
      </c>
      <c r="F65" s="66"/>
      <c r="G65" s="66">
        <f>G33</f>
        <v>37618.75</v>
      </c>
      <c r="H65" s="66"/>
      <c r="I65" s="66">
        <f>I33</f>
        <v>39130.205725</v>
      </c>
      <c r="J65" s="66"/>
      <c r="K65" s="66">
        <f>K33</f>
        <v>37618.75</v>
      </c>
      <c r="L65" s="66"/>
      <c r="M65" s="66">
        <f>M33</f>
        <v>39130.205724999971</v>
      </c>
    </row>
    <row r="66" spans="2:13" x14ac:dyDescent="0.55000000000000004">
      <c r="B66" s="54" t="s">
        <v>138</v>
      </c>
      <c r="C66" s="69">
        <f>C64/C65</f>
        <v>0.56925240082200046</v>
      </c>
      <c r="E66" s="69">
        <f>E64/E65</f>
        <v>0.54787215585867088</v>
      </c>
      <c r="F66" s="135"/>
      <c r="G66" s="69">
        <f>G64/G65</f>
        <v>0.54845137065957805</v>
      </c>
      <c r="H66" s="135"/>
      <c r="I66" s="69">
        <f>I64/I65</f>
        <v>0.55000000000000004</v>
      </c>
      <c r="J66" s="135"/>
      <c r="K66" s="69">
        <f>K64/K65</f>
        <v>0.54845137065957805</v>
      </c>
      <c r="L66" s="135"/>
      <c r="M66" s="69">
        <f>M64/M65</f>
        <v>0.55000000000000004</v>
      </c>
    </row>
    <row r="69" spans="2:13" x14ac:dyDescent="0.55000000000000004">
      <c r="B69" s="54" t="s">
        <v>176</v>
      </c>
      <c r="C69" s="97">
        <f>C33/C14</f>
        <v>3.9354314056696343E-2</v>
      </c>
      <c r="E69" s="97">
        <f>E33/E14</f>
        <v>4.0147847559405946E-2</v>
      </c>
      <c r="F69" s="97"/>
      <c r="G69" s="97">
        <f>G33/G14</f>
        <v>5.4436241676292567E-2</v>
      </c>
      <c r="I69" s="97">
        <f>I33/I14</f>
        <v>5.5216450570231557E-2</v>
      </c>
      <c r="K69" s="97">
        <f>K33/K14</f>
        <v>5.4436241676292567E-2</v>
      </c>
      <c r="M69" s="97">
        <f>M33/M14</f>
        <v>5.5216450570231515E-2</v>
      </c>
    </row>
    <row r="70" spans="2:13" x14ac:dyDescent="0.55000000000000004">
      <c r="B70" s="54" t="s">
        <v>247</v>
      </c>
      <c r="C70" s="97">
        <f>C28/C16</f>
        <v>5.9025917297612113E-2</v>
      </c>
      <c r="E70" s="97">
        <f>E28/E16</f>
        <v>6.0366145228009711E-2</v>
      </c>
      <c r="G70" s="97">
        <f>G28/G16</f>
        <v>7.9338962192279774E-2</v>
      </c>
      <c r="I70" s="97">
        <f>I28/I16</f>
        <v>8.0923251008082731E-2</v>
      </c>
      <c r="K70" s="97">
        <f>K28/K16</f>
        <v>7.9338962192279774E-2</v>
      </c>
      <c r="M70" s="97">
        <f>M28/M16</f>
        <v>8.340005157750259E-2</v>
      </c>
    </row>
  </sheetData>
  <mergeCells count="2">
    <mergeCell ref="O43:O45"/>
    <mergeCell ref="W43:W45"/>
  </mergeCells>
  <pageMargins left="0.3" right="0.3" top="0.5" bottom="0.5" header="0.1" footer="0.1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A85F-AB31-4D0F-848A-AC15CB1CB07E}">
  <sheetPr codeName="Hoja7"/>
  <dimension ref="A1:S41"/>
  <sheetViews>
    <sheetView showGridLines="0" topLeftCell="A10" zoomScale="94" workbookViewId="0">
      <selection activeCell="L35" sqref="L35"/>
    </sheetView>
  </sheetViews>
  <sheetFormatPr baseColWidth="10" defaultRowHeight="14.4" x14ac:dyDescent="0.55000000000000004"/>
  <cols>
    <col min="1" max="1" width="5.68359375" style="106" customWidth="1"/>
    <col min="2" max="2" width="23.41796875" style="106" customWidth="1"/>
    <col min="3" max="9" width="8.41796875" style="106" customWidth="1"/>
    <col min="10" max="18" width="8.05078125" style="106" customWidth="1"/>
    <col min="19" max="16384" width="10.9453125" style="106"/>
  </cols>
  <sheetData>
    <row r="1" spans="1:18" ht="15.9" thickBot="1" x14ac:dyDescent="0.65">
      <c r="A1" s="105" t="s">
        <v>156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</row>
    <row r="2" spans="1:18" ht="14.7" thickTop="1" x14ac:dyDescent="0.55000000000000004"/>
    <row r="3" spans="1:18" ht="14.7" thickBot="1" x14ac:dyDescent="0.6">
      <c r="B3" s="215" t="s">
        <v>269</v>
      </c>
      <c r="C3" s="215"/>
    </row>
    <row r="4" spans="1:18" ht="14.05" customHeight="1" thickTop="1" x14ac:dyDescent="0.55000000000000004">
      <c r="B4" s="106" t="s">
        <v>139</v>
      </c>
      <c r="C4" s="89">
        <v>125000</v>
      </c>
    </row>
    <row r="5" spans="1:18" ht="14.05" customHeight="1" x14ac:dyDescent="0.55000000000000004">
      <c r="B5" s="106" t="s">
        <v>145</v>
      </c>
      <c r="C5" s="89">
        <v>6250</v>
      </c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</row>
    <row r="6" spans="1:18" ht="14.05" customHeight="1" x14ac:dyDescent="0.55000000000000004">
      <c r="B6" s="106" t="s">
        <v>142</v>
      </c>
      <c r="C6" s="98">
        <v>6.5000000000000002E-2</v>
      </c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1:18" ht="14.05" customHeight="1" x14ac:dyDescent="0.55000000000000004">
      <c r="B7" s="106" t="s">
        <v>146</v>
      </c>
      <c r="C7" s="89">
        <v>15</v>
      </c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</row>
    <row r="8" spans="1:18" ht="14.05" customHeight="1" x14ac:dyDescent="0.55000000000000004">
      <c r="B8" s="106" t="s">
        <v>151</v>
      </c>
      <c r="C8" s="89">
        <v>1</v>
      </c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</row>
    <row r="9" spans="1:18" ht="14.05" customHeight="1" x14ac:dyDescent="0.55000000000000004">
      <c r="B9" s="106" t="s">
        <v>147</v>
      </c>
      <c r="C9" s="100">
        <v>5.0000000000000001E-3</v>
      </c>
      <c r="D9" s="66"/>
      <c r="E9" s="97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</row>
    <row r="10" spans="1:18" ht="14.05" customHeight="1" x14ac:dyDescent="0.55000000000000004">
      <c r="B10" s="106" t="s">
        <v>143</v>
      </c>
      <c r="C10" s="108">
        <f>C4*C9</f>
        <v>625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</row>
    <row r="11" spans="1:18" ht="14.05" customHeight="1" x14ac:dyDescent="0.55000000000000004">
      <c r="B11" s="106" t="s">
        <v>144</v>
      </c>
      <c r="C11" s="99">
        <v>500</v>
      </c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</row>
    <row r="12" spans="1:18" ht="8.6999999999999993" customHeight="1" x14ac:dyDescent="0.55000000000000004"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</row>
    <row r="13" spans="1:18" x14ac:dyDescent="0.55000000000000004">
      <c r="D13" s="90">
        <v>1</v>
      </c>
      <c r="E13" s="90">
        <f>D13+1</f>
        <v>2</v>
      </c>
      <c r="F13" s="90">
        <f t="shared" ref="F13:R13" si="0">E13+1</f>
        <v>3</v>
      </c>
      <c r="G13" s="90">
        <f t="shared" si="0"/>
        <v>4</v>
      </c>
      <c r="H13" s="90">
        <f t="shared" si="0"/>
        <v>5</v>
      </c>
      <c r="I13" s="90">
        <f t="shared" si="0"/>
        <v>6</v>
      </c>
      <c r="J13" s="90">
        <f t="shared" si="0"/>
        <v>7</v>
      </c>
      <c r="K13" s="90">
        <f t="shared" si="0"/>
        <v>8</v>
      </c>
      <c r="L13" s="90">
        <f t="shared" si="0"/>
        <v>9</v>
      </c>
      <c r="M13" s="90">
        <f t="shared" si="0"/>
        <v>10</v>
      </c>
      <c r="N13" s="90">
        <f t="shared" si="0"/>
        <v>11</v>
      </c>
      <c r="O13" s="90">
        <f t="shared" si="0"/>
        <v>12</v>
      </c>
      <c r="P13" s="90">
        <f t="shared" si="0"/>
        <v>13</v>
      </c>
      <c r="Q13" s="90">
        <f t="shared" si="0"/>
        <v>14</v>
      </c>
      <c r="R13" s="90">
        <f t="shared" si="0"/>
        <v>15</v>
      </c>
    </row>
    <row r="14" spans="1:18" ht="14.7" thickBot="1" x14ac:dyDescent="0.6">
      <c r="B14" s="215" t="s">
        <v>270</v>
      </c>
      <c r="C14" s="216"/>
      <c r="D14" s="216">
        <v>2012</v>
      </c>
      <c r="E14" s="216">
        <f>D14+1</f>
        <v>2013</v>
      </c>
      <c r="F14" s="216">
        <f t="shared" ref="F14:R14" si="1">E14+1</f>
        <v>2014</v>
      </c>
      <c r="G14" s="216">
        <f t="shared" si="1"/>
        <v>2015</v>
      </c>
      <c r="H14" s="216">
        <f t="shared" si="1"/>
        <v>2016</v>
      </c>
      <c r="I14" s="216">
        <f t="shared" si="1"/>
        <v>2017</v>
      </c>
      <c r="J14" s="216">
        <f t="shared" si="1"/>
        <v>2018</v>
      </c>
      <c r="K14" s="216">
        <f t="shared" si="1"/>
        <v>2019</v>
      </c>
      <c r="L14" s="216">
        <f t="shared" si="1"/>
        <v>2020</v>
      </c>
      <c r="M14" s="216">
        <f t="shared" si="1"/>
        <v>2021</v>
      </c>
      <c r="N14" s="216">
        <f t="shared" si="1"/>
        <v>2022</v>
      </c>
      <c r="O14" s="216">
        <f t="shared" si="1"/>
        <v>2023</v>
      </c>
      <c r="P14" s="216">
        <f t="shared" si="1"/>
        <v>2024</v>
      </c>
      <c r="Q14" s="216">
        <f t="shared" si="1"/>
        <v>2025</v>
      </c>
      <c r="R14" s="216">
        <f t="shared" si="1"/>
        <v>2026</v>
      </c>
    </row>
    <row r="15" spans="1:18" ht="14.7" thickTop="1" x14ac:dyDescent="0.55000000000000004">
      <c r="B15" s="106" t="s">
        <v>140</v>
      </c>
      <c r="D15" s="66">
        <f>C4</f>
        <v>125000</v>
      </c>
      <c r="E15" s="66">
        <f t="shared" ref="E15:R15" si="2">D17</f>
        <v>125000</v>
      </c>
      <c r="F15" s="66">
        <f t="shared" si="2"/>
        <v>118750</v>
      </c>
      <c r="G15" s="66">
        <f t="shared" si="2"/>
        <v>112500</v>
      </c>
      <c r="H15" s="66">
        <f t="shared" si="2"/>
        <v>106250</v>
      </c>
      <c r="I15" s="66">
        <f t="shared" si="2"/>
        <v>100000</v>
      </c>
      <c r="J15" s="66">
        <f t="shared" si="2"/>
        <v>93750</v>
      </c>
      <c r="K15" s="66">
        <f t="shared" si="2"/>
        <v>87500</v>
      </c>
      <c r="L15" s="66">
        <f t="shared" si="2"/>
        <v>81250</v>
      </c>
      <c r="M15" s="66">
        <f t="shared" si="2"/>
        <v>75000</v>
      </c>
      <c r="N15" s="66">
        <f t="shared" si="2"/>
        <v>68750</v>
      </c>
      <c r="O15" s="66">
        <f t="shared" si="2"/>
        <v>62500</v>
      </c>
      <c r="P15" s="66">
        <f t="shared" si="2"/>
        <v>56250</v>
      </c>
      <c r="Q15" s="66">
        <f t="shared" si="2"/>
        <v>50000</v>
      </c>
      <c r="R15" s="66">
        <f t="shared" si="2"/>
        <v>43750</v>
      </c>
    </row>
    <row r="16" spans="1:18" x14ac:dyDescent="0.55000000000000004">
      <c r="B16" s="106" t="s">
        <v>149</v>
      </c>
      <c r="D16" s="90">
        <v>0</v>
      </c>
      <c r="E16" s="90">
        <f>-C5</f>
        <v>-6250</v>
      </c>
      <c r="F16" s="90">
        <f t="shared" ref="F16:R16" si="3">E16</f>
        <v>-6250</v>
      </c>
      <c r="G16" s="90">
        <f t="shared" si="3"/>
        <v>-6250</v>
      </c>
      <c r="H16" s="90">
        <f t="shared" si="3"/>
        <v>-6250</v>
      </c>
      <c r="I16" s="90">
        <f t="shared" si="3"/>
        <v>-6250</v>
      </c>
      <c r="J16" s="90">
        <f t="shared" si="3"/>
        <v>-6250</v>
      </c>
      <c r="K16" s="90">
        <f t="shared" si="3"/>
        <v>-6250</v>
      </c>
      <c r="L16" s="90">
        <f t="shared" si="3"/>
        <v>-6250</v>
      </c>
      <c r="M16" s="90">
        <f t="shared" si="3"/>
        <v>-6250</v>
      </c>
      <c r="N16" s="90">
        <f t="shared" si="3"/>
        <v>-6250</v>
      </c>
      <c r="O16" s="90">
        <f t="shared" si="3"/>
        <v>-6250</v>
      </c>
      <c r="P16" s="90">
        <f t="shared" si="3"/>
        <v>-6250</v>
      </c>
      <c r="Q16" s="90">
        <f t="shared" si="3"/>
        <v>-6250</v>
      </c>
      <c r="R16" s="90">
        <f t="shared" si="3"/>
        <v>-6250</v>
      </c>
    </row>
    <row r="17" spans="2:19" x14ac:dyDescent="0.55000000000000004">
      <c r="B17" s="106" t="s">
        <v>141</v>
      </c>
      <c r="D17" s="66">
        <f t="shared" ref="D17:R17" si="4">D15+D16</f>
        <v>125000</v>
      </c>
      <c r="E17" s="66">
        <f t="shared" si="4"/>
        <v>118750</v>
      </c>
      <c r="F17" s="66">
        <f t="shared" si="4"/>
        <v>112500</v>
      </c>
      <c r="G17" s="66">
        <f t="shared" si="4"/>
        <v>106250</v>
      </c>
      <c r="H17" s="66">
        <f t="shared" si="4"/>
        <v>100000</v>
      </c>
      <c r="I17" s="66">
        <f t="shared" si="4"/>
        <v>93750</v>
      </c>
      <c r="J17" s="66">
        <f t="shared" si="4"/>
        <v>87500</v>
      </c>
      <c r="K17" s="66">
        <f t="shared" si="4"/>
        <v>81250</v>
      </c>
      <c r="L17" s="66">
        <f t="shared" si="4"/>
        <v>75000</v>
      </c>
      <c r="M17" s="66">
        <f t="shared" si="4"/>
        <v>68750</v>
      </c>
      <c r="N17" s="66">
        <f t="shared" si="4"/>
        <v>62500</v>
      </c>
      <c r="O17" s="66">
        <f t="shared" si="4"/>
        <v>56250</v>
      </c>
      <c r="P17" s="66">
        <f t="shared" si="4"/>
        <v>50000</v>
      </c>
      <c r="Q17" s="66">
        <f t="shared" si="4"/>
        <v>43750</v>
      </c>
      <c r="R17" s="66">
        <f t="shared" si="4"/>
        <v>37500</v>
      </c>
      <c r="S17" s="108"/>
    </row>
    <row r="18" spans="2:19" x14ac:dyDescent="0.55000000000000004">
      <c r="B18" s="106" t="s">
        <v>148</v>
      </c>
      <c r="D18" s="66">
        <f t="shared" ref="D18:R18" si="5">-((D15+D17)/2)*$C$6</f>
        <v>-8125</v>
      </c>
      <c r="E18" s="66">
        <f t="shared" si="5"/>
        <v>-7921.875</v>
      </c>
      <c r="F18" s="66">
        <f t="shared" si="5"/>
        <v>-7515.625</v>
      </c>
      <c r="G18" s="66">
        <f t="shared" si="5"/>
        <v>-7109.375</v>
      </c>
      <c r="H18" s="66">
        <f t="shared" si="5"/>
        <v>-6703.125</v>
      </c>
      <c r="I18" s="66">
        <f t="shared" si="5"/>
        <v>-6296.875</v>
      </c>
      <c r="J18" s="66">
        <f t="shared" si="5"/>
        <v>-5890.625</v>
      </c>
      <c r="K18" s="66">
        <f t="shared" si="5"/>
        <v>-5484.375</v>
      </c>
      <c r="L18" s="66">
        <f t="shared" si="5"/>
        <v>-5078.125</v>
      </c>
      <c r="M18" s="66">
        <f t="shared" si="5"/>
        <v>-4671.875</v>
      </c>
      <c r="N18" s="66">
        <f t="shared" si="5"/>
        <v>-4265.625</v>
      </c>
      <c r="O18" s="66">
        <f t="shared" si="5"/>
        <v>-3859.375</v>
      </c>
      <c r="P18" s="66">
        <f t="shared" si="5"/>
        <v>-3453.125</v>
      </c>
      <c r="Q18" s="66">
        <f t="shared" si="5"/>
        <v>-3046.875</v>
      </c>
      <c r="R18" s="66">
        <f t="shared" si="5"/>
        <v>-2640.625</v>
      </c>
      <c r="S18" s="110"/>
    </row>
    <row r="19" spans="2:19" x14ac:dyDescent="0.55000000000000004"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</row>
    <row r="20" spans="2:19" x14ac:dyDescent="0.55000000000000004">
      <c r="B20" s="102" t="s">
        <v>150</v>
      </c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</row>
    <row r="21" spans="2:19" x14ac:dyDescent="0.55000000000000004">
      <c r="B21" s="106" t="s">
        <v>152</v>
      </c>
      <c r="D21" s="66">
        <f>C4+D16</f>
        <v>125000</v>
      </c>
      <c r="E21" s="66">
        <f>E16</f>
        <v>-6250</v>
      </c>
      <c r="F21" s="66">
        <f t="shared" ref="F21:Q21" si="6">F16</f>
        <v>-6250</v>
      </c>
      <c r="G21" s="66">
        <f t="shared" si="6"/>
        <v>-6250</v>
      </c>
      <c r="H21" s="66">
        <f t="shared" si="6"/>
        <v>-6250</v>
      </c>
      <c r="I21" s="66">
        <f t="shared" si="6"/>
        <v>-6250</v>
      </c>
      <c r="J21" s="66">
        <f t="shared" si="6"/>
        <v>-6250</v>
      </c>
      <c r="K21" s="66">
        <f t="shared" si="6"/>
        <v>-6250</v>
      </c>
      <c r="L21" s="66">
        <f t="shared" si="6"/>
        <v>-6250</v>
      </c>
      <c r="M21" s="66">
        <f t="shared" si="6"/>
        <v>-6250</v>
      </c>
      <c r="N21" s="66">
        <f t="shared" si="6"/>
        <v>-6250</v>
      </c>
      <c r="O21" s="66">
        <f t="shared" si="6"/>
        <v>-6250</v>
      </c>
      <c r="P21" s="66">
        <f t="shared" si="6"/>
        <v>-6250</v>
      </c>
      <c r="Q21" s="66">
        <f t="shared" si="6"/>
        <v>-6250</v>
      </c>
      <c r="R21" s="66">
        <f>R16-R17</f>
        <v>-43750</v>
      </c>
    </row>
    <row r="22" spans="2:19" x14ac:dyDescent="0.55000000000000004">
      <c r="B22" s="106" t="s">
        <v>23</v>
      </c>
      <c r="D22" s="66">
        <f>D18</f>
        <v>-8125</v>
      </c>
      <c r="E22" s="66">
        <f>E18</f>
        <v>-7921.875</v>
      </c>
      <c r="F22" s="66">
        <f t="shared" ref="F22:R22" si="7">F18</f>
        <v>-7515.625</v>
      </c>
      <c r="G22" s="66">
        <f t="shared" si="7"/>
        <v>-7109.375</v>
      </c>
      <c r="H22" s="66">
        <f t="shared" si="7"/>
        <v>-6703.125</v>
      </c>
      <c r="I22" s="66">
        <f t="shared" si="7"/>
        <v>-6296.875</v>
      </c>
      <c r="J22" s="66">
        <f t="shared" si="7"/>
        <v>-5890.625</v>
      </c>
      <c r="K22" s="66">
        <f t="shared" si="7"/>
        <v>-5484.375</v>
      </c>
      <c r="L22" s="66">
        <f t="shared" si="7"/>
        <v>-5078.125</v>
      </c>
      <c r="M22" s="66">
        <f t="shared" si="7"/>
        <v>-4671.875</v>
      </c>
      <c r="N22" s="66">
        <f t="shared" si="7"/>
        <v>-4265.625</v>
      </c>
      <c r="O22" s="66">
        <f t="shared" si="7"/>
        <v>-3859.375</v>
      </c>
      <c r="P22" s="66">
        <f t="shared" si="7"/>
        <v>-3453.125</v>
      </c>
      <c r="Q22" s="66">
        <f t="shared" si="7"/>
        <v>-3046.875</v>
      </c>
      <c r="R22" s="66">
        <f t="shared" si="7"/>
        <v>-2640.625</v>
      </c>
    </row>
    <row r="23" spans="2:19" x14ac:dyDescent="0.55000000000000004">
      <c r="B23" s="106" t="s">
        <v>155</v>
      </c>
      <c r="D23" s="90">
        <f>-C10-C11</f>
        <v>-1125</v>
      </c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109"/>
      <c r="R23" s="109"/>
    </row>
    <row r="24" spans="2:19" x14ac:dyDescent="0.55000000000000004">
      <c r="B24" s="106" t="s">
        <v>153</v>
      </c>
      <c r="D24" s="66">
        <f>SUM(D21:D23)</f>
        <v>115750</v>
      </c>
      <c r="E24" s="66">
        <f t="shared" ref="E24:R24" si="8">SUM(E21:E23)</f>
        <v>-14171.875</v>
      </c>
      <c r="F24" s="66">
        <f t="shared" si="8"/>
        <v>-13765.625</v>
      </c>
      <c r="G24" s="66">
        <f t="shared" si="8"/>
        <v>-13359.375</v>
      </c>
      <c r="H24" s="66">
        <f t="shared" si="8"/>
        <v>-12953.125</v>
      </c>
      <c r="I24" s="66">
        <f t="shared" si="8"/>
        <v>-12546.875</v>
      </c>
      <c r="J24" s="66">
        <f t="shared" si="8"/>
        <v>-12140.625</v>
      </c>
      <c r="K24" s="66">
        <f t="shared" si="8"/>
        <v>-11734.375</v>
      </c>
      <c r="L24" s="66">
        <f t="shared" si="8"/>
        <v>-11328.125</v>
      </c>
      <c r="M24" s="66">
        <f t="shared" si="8"/>
        <v>-10921.875</v>
      </c>
      <c r="N24" s="66">
        <f t="shared" si="8"/>
        <v>-10515.625</v>
      </c>
      <c r="O24" s="66">
        <f t="shared" si="8"/>
        <v>-10109.375</v>
      </c>
      <c r="P24" s="66">
        <f t="shared" si="8"/>
        <v>-9703.125</v>
      </c>
      <c r="Q24" s="66">
        <f t="shared" si="8"/>
        <v>-9296.875</v>
      </c>
      <c r="R24" s="66">
        <f t="shared" si="8"/>
        <v>-46390.625</v>
      </c>
    </row>
    <row r="25" spans="2:19" x14ac:dyDescent="0.55000000000000004">
      <c r="B25" s="103" t="s">
        <v>154</v>
      </c>
      <c r="C25" s="104">
        <f>IRR(D24:R24,0.05)</f>
        <v>7.465748739316358E-2</v>
      </c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</row>
    <row r="27" spans="2:19" x14ac:dyDescent="0.55000000000000004">
      <c r="B27" s="102" t="s">
        <v>203</v>
      </c>
    </row>
    <row r="28" spans="2:19" ht="14.7" thickBot="1" x14ac:dyDescent="0.6">
      <c r="K28" s="159" t="s">
        <v>218</v>
      </c>
      <c r="L28" s="159"/>
      <c r="N28" s="160" t="s">
        <v>223</v>
      </c>
      <c r="O28" s="159"/>
    </row>
    <row r="29" spans="2:19" ht="14.7" thickTop="1" x14ac:dyDescent="0.55000000000000004">
      <c r="B29" s="102" t="s">
        <v>214</v>
      </c>
      <c r="D29" s="140" t="s">
        <v>7</v>
      </c>
      <c r="E29" s="140" t="s">
        <v>200</v>
      </c>
      <c r="G29" s="102" t="s">
        <v>213</v>
      </c>
      <c r="K29" s="140" t="s">
        <v>7</v>
      </c>
      <c r="L29" s="140" t="s">
        <v>200</v>
      </c>
      <c r="N29" s="140" t="s">
        <v>7</v>
      </c>
      <c r="O29" s="161" t="s">
        <v>200</v>
      </c>
    </row>
    <row r="30" spans="2:19" x14ac:dyDescent="0.55000000000000004">
      <c r="B30" s="106" t="s">
        <v>201</v>
      </c>
      <c r="D30" s="66">
        <f>D18</f>
        <v>-8125</v>
      </c>
      <c r="E30" s="66">
        <f>E18</f>
        <v>-7921.875</v>
      </c>
      <c r="G30" s="106" t="s">
        <v>216</v>
      </c>
      <c r="K30" s="66">
        <f>'Pro Forma Projections'!G46-'Pro Forma Projections'!G45-'Pro Forma Projections'!G30*0.65</f>
        <v>38113.222643291141</v>
      </c>
      <c r="L30" s="66">
        <f>'Pro Forma Projections'!I46-'Pro Forma Projections'!I30*0.65</f>
        <v>39472.529282789881</v>
      </c>
      <c r="N30" s="66">
        <f>K30</f>
        <v>38113.222643291141</v>
      </c>
      <c r="O30" s="169">
        <f>'Pro Forma Projections'!M46-'Pro Forma Projections'!M30*0.65</f>
        <v>39472.529282789852</v>
      </c>
    </row>
    <row r="31" spans="2:19" x14ac:dyDescent="0.55000000000000004">
      <c r="B31" s="106" t="s">
        <v>211</v>
      </c>
      <c r="D31" s="66">
        <f>-D30*0.35</f>
        <v>2843.75</v>
      </c>
      <c r="E31" s="66">
        <f>-E30*0.35</f>
        <v>2772.65625</v>
      </c>
      <c r="G31" s="106" t="s">
        <v>217</v>
      </c>
      <c r="K31" s="90">
        <f>'Pro Forma Projections'!G47+'Pro Forma Projections'!G51</f>
        <v>-22052.055</v>
      </c>
      <c r="L31" s="90">
        <f>'Pro Forma Projections'!I47+'Pro Forma Projections'!I51</f>
        <v>-22941.613148750002</v>
      </c>
      <c r="N31" s="90">
        <f>K31</f>
        <v>-22052.055</v>
      </c>
      <c r="O31" s="170">
        <f>'Pro Forma Projections'!M47+'Pro Forma Projections'!M51</f>
        <v>-22941.613148749984</v>
      </c>
    </row>
    <row r="32" spans="2:19" x14ac:dyDescent="0.55000000000000004">
      <c r="B32" s="106" t="s">
        <v>202</v>
      </c>
      <c r="D32" s="90">
        <f>D16</f>
        <v>0</v>
      </c>
      <c r="E32" s="90">
        <f>E16</f>
        <v>-6250</v>
      </c>
      <c r="G32" s="101" t="s">
        <v>215</v>
      </c>
      <c r="H32" s="101"/>
      <c r="I32" s="101"/>
      <c r="K32" s="155">
        <f t="shared" ref="K32:L34" si="9">K30+K31</f>
        <v>16061.167643291141</v>
      </c>
      <c r="L32" s="155">
        <f t="shared" si="9"/>
        <v>16530.916134039879</v>
      </c>
      <c r="N32" s="90">
        <f>K32</f>
        <v>16061.167643291141</v>
      </c>
      <c r="O32" s="94">
        <f>O30+O31</f>
        <v>16530.916134039868</v>
      </c>
    </row>
    <row r="33" spans="2:15" x14ac:dyDescent="0.55000000000000004">
      <c r="B33" s="101" t="s">
        <v>212</v>
      </c>
      <c r="D33" s="91">
        <f>D30+D31+D32</f>
        <v>-5281.25</v>
      </c>
      <c r="E33" s="91">
        <f>E30+E31+E32</f>
        <v>-11399.21875</v>
      </c>
      <c r="G33" s="101" t="s">
        <v>212</v>
      </c>
      <c r="K33" s="94">
        <f>D33</f>
        <v>-5281.25</v>
      </c>
      <c r="L33" s="94">
        <f>E33</f>
        <v>-11399.21875</v>
      </c>
      <c r="N33" s="156">
        <f>K33</f>
        <v>-5281.25</v>
      </c>
      <c r="O33" s="156">
        <f>L33</f>
        <v>-11399.21875</v>
      </c>
    </row>
    <row r="34" spans="2:15" x14ac:dyDescent="0.55000000000000004">
      <c r="G34" s="101" t="s">
        <v>135</v>
      </c>
      <c r="K34" s="157">
        <f t="shared" si="9"/>
        <v>10779.917643291141</v>
      </c>
      <c r="L34" s="157">
        <f t="shared" si="9"/>
        <v>5131.6973840398787</v>
      </c>
      <c r="N34" s="157">
        <f>N32+N33</f>
        <v>10779.917643291141</v>
      </c>
      <c r="O34" s="157">
        <f>O32+O33</f>
        <v>5131.6973840398678</v>
      </c>
    </row>
    <row r="35" spans="2:15" x14ac:dyDescent="0.55000000000000004">
      <c r="K35" s="180">
        <f>'Pro Forma Projections'!G54-K34</f>
        <v>0</v>
      </c>
      <c r="L35" s="180">
        <f>'Pro Forma Projections'!I54-L34</f>
        <v>0</v>
      </c>
      <c r="M35" s="181"/>
      <c r="N35" s="180">
        <f>'Pro Forma Projections'!G54-N34</f>
        <v>0</v>
      </c>
      <c r="O35" s="180">
        <f>'Pro Forma Projections'!M54-O34</f>
        <v>0</v>
      </c>
    </row>
    <row r="37" spans="2:15" x14ac:dyDescent="0.55000000000000004">
      <c r="B37" s="154"/>
      <c r="G37" s="182"/>
    </row>
    <row r="38" spans="2:15" x14ac:dyDescent="0.55000000000000004">
      <c r="G38" s="154"/>
    </row>
    <row r="41" spans="2:15" x14ac:dyDescent="0.55000000000000004">
      <c r="G41" s="18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94FE-6134-49D4-8AF0-4B940B8697E4}">
  <sheetPr codeName="Hoja8">
    <pageSetUpPr fitToPage="1"/>
  </sheetPr>
  <dimension ref="A1:P83"/>
  <sheetViews>
    <sheetView showGridLines="0" topLeftCell="A17" zoomScale="89" zoomScaleNormal="91" workbookViewId="0">
      <selection activeCell="C56" sqref="C56"/>
    </sheetView>
  </sheetViews>
  <sheetFormatPr baseColWidth="10" defaultColWidth="9.1015625" defaultRowHeight="14.4" outlineLevelRow="1" x14ac:dyDescent="0.55000000000000004"/>
  <cols>
    <col min="1" max="1" width="2.3125" style="54" customWidth="1"/>
    <col min="2" max="2" width="31.41796875" style="54" customWidth="1"/>
    <col min="3" max="3" width="15.1015625" style="54" customWidth="1"/>
    <col min="4" max="4" width="5.47265625" style="54" customWidth="1"/>
    <col min="5" max="5" width="3.1015625" style="54" customWidth="1"/>
    <col min="6" max="6" width="15.1015625" style="54" customWidth="1"/>
    <col min="7" max="7" width="5.47265625" style="54" customWidth="1"/>
    <col min="8" max="8" width="3.1015625" style="54" customWidth="1"/>
    <col min="9" max="9" width="15.1015625" style="54" customWidth="1"/>
    <col min="10" max="10" width="5.47265625" style="54" customWidth="1"/>
    <col min="11" max="11" width="3.1015625" style="54" customWidth="1"/>
    <col min="12" max="12" width="15.1015625" style="54" customWidth="1"/>
    <col min="13" max="13" width="10.1015625" style="54" customWidth="1"/>
    <col min="14" max="14" width="4.05078125" style="54" customWidth="1"/>
    <col min="15" max="15" width="10.1015625" style="54" customWidth="1"/>
    <col min="16" max="16" width="19.7890625" style="54" bestFit="1" customWidth="1"/>
    <col min="17" max="16384" width="9.1015625" style="54"/>
  </cols>
  <sheetData>
    <row r="1" spans="1:16" s="112" customFormat="1" ht="15.9" thickBot="1" x14ac:dyDescent="0.6">
      <c r="A1" s="113" t="s">
        <v>157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1"/>
      <c r="M1" s="111"/>
      <c r="N1" s="111"/>
      <c r="O1" s="111"/>
    </row>
    <row r="2" spans="1:16" ht="14.7" thickTop="1" x14ac:dyDescent="0.55000000000000004"/>
    <row r="3" spans="1:16" x14ac:dyDescent="0.55000000000000004">
      <c r="A3" s="54" t="s">
        <v>158</v>
      </c>
    </row>
    <row r="5" spans="1:16" ht="15.9" thickBot="1" x14ac:dyDescent="0.6">
      <c r="A5" s="121" t="s">
        <v>159</v>
      </c>
      <c r="C5" s="114" t="s">
        <v>160</v>
      </c>
      <c r="F5" s="114" t="s">
        <v>91</v>
      </c>
      <c r="I5" s="114" t="s">
        <v>71</v>
      </c>
    </row>
    <row r="6" spans="1:16" ht="5.7" customHeight="1" x14ac:dyDescent="0.55000000000000004">
      <c r="B6" s="72"/>
    </row>
    <row r="7" spans="1:16" x14ac:dyDescent="0.55000000000000004">
      <c r="B7" s="54" t="s">
        <v>78</v>
      </c>
      <c r="C7" s="107">
        <f>'Pro Forma'!E35</f>
        <v>410223</v>
      </c>
      <c r="D7" s="122">
        <f>C7/I7</f>
        <v>0.6822779020548686</v>
      </c>
      <c r="E7" s="122"/>
      <c r="F7" s="107">
        <f>'Pro Forma'!G35</f>
        <v>191032</v>
      </c>
      <c r="G7" s="122">
        <f>F7/I7</f>
        <v>0.31772209794513145</v>
      </c>
      <c r="H7" s="122"/>
      <c r="I7" s="66">
        <f t="shared" ref="I7:J9" si="0">C7+F7</f>
        <v>601255</v>
      </c>
      <c r="J7" s="122">
        <f t="shared" si="0"/>
        <v>1</v>
      </c>
      <c r="K7" s="122"/>
    </row>
    <row r="8" spans="1:16" x14ac:dyDescent="0.55000000000000004">
      <c r="B8" s="54" t="s">
        <v>22</v>
      </c>
      <c r="C8" s="107">
        <f>'Pro Forma'!E36</f>
        <v>42121</v>
      </c>
      <c r="D8" s="122">
        <f>C8/I8</f>
        <v>0.63819696969696971</v>
      </c>
      <c r="E8" s="122"/>
      <c r="F8" s="107">
        <f>'Pro Forma'!G36</f>
        <v>23879</v>
      </c>
      <c r="G8" s="122">
        <f>F8/I8</f>
        <v>0.36180303030303029</v>
      </c>
      <c r="H8" s="122"/>
      <c r="I8" s="66">
        <f t="shared" si="0"/>
        <v>66000</v>
      </c>
      <c r="J8" s="122">
        <f t="shared" si="0"/>
        <v>1</v>
      </c>
      <c r="K8" s="122"/>
    </row>
    <row r="9" spans="1:16" x14ac:dyDescent="0.55000000000000004">
      <c r="B9" s="54" t="s">
        <v>161</v>
      </c>
      <c r="C9" s="107">
        <f>'Pro Forma'!E41</f>
        <v>27378.65</v>
      </c>
      <c r="D9" s="122">
        <f>C9/I9</f>
        <v>0.63819696969696971</v>
      </c>
      <c r="E9" s="122"/>
      <c r="F9" s="107">
        <f>'Pro Forma'!G41</f>
        <v>15521.35</v>
      </c>
      <c r="G9" s="122">
        <f>F9/I9</f>
        <v>0.36180303030303029</v>
      </c>
      <c r="H9" s="122"/>
      <c r="I9" s="66">
        <f t="shared" si="0"/>
        <v>42900</v>
      </c>
      <c r="J9" s="122">
        <f t="shared" si="0"/>
        <v>1</v>
      </c>
      <c r="K9" s="122"/>
    </row>
    <row r="10" spans="1:16" x14ac:dyDescent="0.55000000000000004">
      <c r="D10" s="123"/>
      <c r="E10" s="123"/>
      <c r="G10" s="123"/>
      <c r="H10" s="123"/>
      <c r="J10" s="123"/>
      <c r="K10" s="123"/>
    </row>
    <row r="11" spans="1:16" x14ac:dyDescent="0.55000000000000004">
      <c r="B11" s="54" t="s">
        <v>162</v>
      </c>
      <c r="C11" s="107">
        <f>C12*C13</f>
        <v>266250</v>
      </c>
      <c r="D11" s="122">
        <f>C11/I11</f>
        <v>0.68051118210862616</v>
      </c>
      <c r="E11" s="122"/>
      <c r="F11" s="107">
        <v>125000</v>
      </c>
      <c r="G11" s="122">
        <f>F11/I11</f>
        <v>0.31948881789137379</v>
      </c>
      <c r="H11" s="122"/>
      <c r="I11" s="66">
        <f>C11+F11</f>
        <v>391250</v>
      </c>
      <c r="J11" s="122">
        <f>D11+G11</f>
        <v>1</v>
      </c>
      <c r="K11" s="122"/>
    </row>
    <row r="12" spans="1:16" x14ac:dyDescent="0.55000000000000004">
      <c r="B12" s="54" t="s">
        <v>88</v>
      </c>
      <c r="C12" s="107">
        <v>15000</v>
      </c>
    </row>
    <row r="13" spans="1:16" x14ac:dyDescent="0.55000000000000004">
      <c r="B13" s="54" t="s">
        <v>163</v>
      </c>
      <c r="C13" s="115">
        <v>17.75</v>
      </c>
      <c r="M13" s="131" t="s">
        <v>265</v>
      </c>
      <c r="O13" s="131" t="s">
        <v>264</v>
      </c>
    </row>
    <row r="14" spans="1:16" ht="5.7" customHeight="1" x14ac:dyDescent="0.55000000000000004"/>
    <row r="15" spans="1:16" x14ac:dyDescent="0.55000000000000004">
      <c r="B15" s="54" t="s">
        <v>164</v>
      </c>
      <c r="C15" s="408">
        <f>C11/C9</f>
        <v>9.7247307664914082</v>
      </c>
      <c r="D15" s="408"/>
      <c r="E15" s="408"/>
      <c r="F15" s="408">
        <f>F11/F9</f>
        <v>8.0534231880603162</v>
      </c>
      <c r="H15" s="116"/>
      <c r="K15" s="116"/>
      <c r="M15" s="212">
        <f>1/C15</f>
        <v>0.10283061032863849</v>
      </c>
      <c r="O15" s="212">
        <f>1/F15</f>
        <v>0.12417080000000001</v>
      </c>
      <c r="P15" s="214"/>
    </row>
    <row r="17" spans="1:13" ht="15.9" thickBot="1" x14ac:dyDescent="0.6">
      <c r="A17" s="121" t="s">
        <v>165</v>
      </c>
      <c r="C17" s="202" t="s">
        <v>29</v>
      </c>
      <c r="D17" s="203"/>
      <c r="E17" s="203"/>
      <c r="F17" s="202" t="s">
        <v>166</v>
      </c>
      <c r="G17" s="203"/>
      <c r="H17" s="203"/>
      <c r="I17" s="202" t="s">
        <v>167</v>
      </c>
      <c r="M17" s="131" t="s">
        <v>266</v>
      </c>
    </row>
    <row r="18" spans="1:13" ht="3" customHeight="1" x14ac:dyDescent="0.55000000000000004"/>
    <row r="19" spans="1:13" ht="12.9" customHeight="1" x14ac:dyDescent="0.55000000000000004">
      <c r="B19" s="121" t="s">
        <v>169</v>
      </c>
      <c r="M19" s="213">
        <f>C28</f>
        <v>4.2250000000000003E-2</v>
      </c>
    </row>
    <row r="20" spans="1:13" ht="14.05" customHeight="1" x14ac:dyDescent="0.55000000000000004">
      <c r="B20" s="71" t="s">
        <v>60</v>
      </c>
      <c r="C20" s="205">
        <v>1</v>
      </c>
      <c r="D20" s="71"/>
      <c r="E20" s="71"/>
      <c r="F20" s="205">
        <v>0</v>
      </c>
      <c r="G20" s="71"/>
      <c r="H20" s="71"/>
      <c r="I20" s="205">
        <v>0.75</v>
      </c>
    </row>
    <row r="21" spans="1:13" ht="14.05" customHeight="1" x14ac:dyDescent="0.55000000000000004">
      <c r="B21" s="71" t="s">
        <v>170</v>
      </c>
      <c r="C21" s="205">
        <v>0</v>
      </c>
      <c r="D21" s="71"/>
      <c r="E21" s="71"/>
      <c r="F21" s="205">
        <v>1</v>
      </c>
      <c r="G21" s="71"/>
      <c r="H21" s="71"/>
      <c r="I21" s="205">
        <v>0.25</v>
      </c>
    </row>
    <row r="22" spans="1:13" ht="6" hidden="1" customHeight="1" outlineLevel="1" x14ac:dyDescent="0.55000000000000004"/>
    <row r="23" spans="1:13" ht="14.05" hidden="1" customHeight="1" outlineLevel="1" x14ac:dyDescent="0.55000000000000004">
      <c r="B23" s="54" t="s">
        <v>144</v>
      </c>
      <c r="C23" s="107">
        <f>-Bond!C10-Bond!C11</f>
        <v>-1125</v>
      </c>
      <c r="D23" s="107"/>
      <c r="E23" s="107"/>
      <c r="F23" s="107">
        <f>-F11*0.06</f>
        <v>-7500</v>
      </c>
      <c r="G23" s="107"/>
      <c r="H23" s="107"/>
      <c r="I23" s="107">
        <f>-Bond!C9*F11*I20-Bond!C11</f>
        <v>-968.75</v>
      </c>
    </row>
    <row r="24" spans="1:13" ht="6" customHeight="1" collapsed="1" x14ac:dyDescent="0.55000000000000004">
      <c r="C24" s="117"/>
      <c r="F24" s="117"/>
      <c r="I24" s="117"/>
    </row>
    <row r="25" spans="1:13" ht="12" customHeight="1" x14ac:dyDescent="0.55000000000000004">
      <c r="C25" s="407" t="s">
        <v>160</v>
      </c>
      <c r="F25" s="407" t="s">
        <v>91</v>
      </c>
      <c r="I25" s="117"/>
    </row>
    <row r="26" spans="1:13" ht="12" customHeight="1" x14ac:dyDescent="0.55000000000000004">
      <c r="B26" s="71" t="s">
        <v>164</v>
      </c>
      <c r="C26" s="409">
        <f>C15</f>
        <v>9.7247307664914082</v>
      </c>
      <c r="D26" s="409"/>
      <c r="E26" s="409"/>
      <c r="F26" s="409">
        <f>F15</f>
        <v>8.0534231880603162</v>
      </c>
      <c r="I26" s="117"/>
    </row>
    <row r="27" spans="1:13" ht="14.05" customHeight="1" x14ac:dyDescent="0.55000000000000004">
      <c r="B27" s="71" t="s">
        <v>176</v>
      </c>
      <c r="C27" s="204">
        <f>1/C15</f>
        <v>0.10283061032863849</v>
      </c>
      <c r="D27" s="71"/>
      <c r="E27" s="71"/>
      <c r="F27" s="204">
        <f>1/F15</f>
        <v>0.12417080000000001</v>
      </c>
      <c r="G27" s="71"/>
      <c r="H27" s="71"/>
      <c r="I27" s="204"/>
    </row>
    <row r="28" spans="1:13" ht="14.05" customHeight="1" x14ac:dyDescent="0.55000000000000004">
      <c r="B28" s="71" t="s">
        <v>177</v>
      </c>
      <c r="C28" s="204">
        <f>Bond!C6*(1-0.35)</f>
        <v>4.2250000000000003E-2</v>
      </c>
      <c r="D28" s="71"/>
      <c r="E28" s="71"/>
      <c r="F28" s="204">
        <v>0</v>
      </c>
      <c r="G28" s="71"/>
      <c r="H28" s="71"/>
      <c r="I28" s="204">
        <f>C28</f>
        <v>4.2250000000000003E-2</v>
      </c>
    </row>
    <row r="29" spans="1:13" ht="7.2" customHeight="1" x14ac:dyDescent="0.55000000000000004"/>
    <row r="30" spans="1:13" ht="14.1" customHeight="1" x14ac:dyDescent="0.55000000000000004">
      <c r="B30" s="121" t="s">
        <v>380</v>
      </c>
    </row>
    <row r="31" spans="1:13" ht="14.05" customHeight="1" x14ac:dyDescent="0.55000000000000004">
      <c r="B31" s="54" t="s">
        <v>168</v>
      </c>
      <c r="C31" s="66">
        <f>$C$9</f>
        <v>27378.65</v>
      </c>
      <c r="F31" s="66">
        <f>$C$9</f>
        <v>27378.65</v>
      </c>
      <c r="I31" s="66">
        <f>$C$9</f>
        <v>27378.65</v>
      </c>
    </row>
    <row r="32" spans="1:13" ht="14.05" customHeight="1" x14ac:dyDescent="0.55000000000000004">
      <c r="B32" s="54" t="s">
        <v>88</v>
      </c>
      <c r="C32" s="66">
        <f>$C$12</f>
        <v>15000</v>
      </c>
      <c r="F32" s="66">
        <f>$C$12</f>
        <v>15000</v>
      </c>
      <c r="I32" s="66">
        <f>$C$12</f>
        <v>15000</v>
      </c>
    </row>
    <row r="33" spans="2:9" x14ac:dyDescent="0.55000000000000004">
      <c r="B33" s="206" t="s">
        <v>89</v>
      </c>
      <c r="C33" s="207">
        <f>C31/C32</f>
        <v>1.8252433333333333</v>
      </c>
      <c r="D33" s="208"/>
      <c r="E33" s="208"/>
      <c r="F33" s="207">
        <f>F31/F32</f>
        <v>1.8252433333333333</v>
      </c>
      <c r="G33" s="208"/>
      <c r="H33" s="208"/>
      <c r="I33" s="207">
        <f>I31/I32</f>
        <v>1.8252433333333333</v>
      </c>
    </row>
    <row r="34" spans="2:9" ht="6" customHeight="1" x14ac:dyDescent="0.55000000000000004"/>
    <row r="35" spans="2:9" x14ac:dyDescent="0.55000000000000004">
      <c r="B35" s="72" t="s">
        <v>381</v>
      </c>
    </row>
    <row r="36" spans="2:9" x14ac:dyDescent="0.55000000000000004">
      <c r="B36" s="80" t="s">
        <v>178</v>
      </c>
    </row>
    <row r="37" spans="2:9" ht="14.05" customHeight="1" x14ac:dyDescent="0.55000000000000004">
      <c r="B37" s="54" t="s">
        <v>179</v>
      </c>
      <c r="C37" s="66">
        <f>$F$9</f>
        <v>15521.35</v>
      </c>
      <c r="F37" s="66">
        <f>$F$9</f>
        <v>15521.35</v>
      </c>
      <c r="I37" s="66">
        <f>$F$9</f>
        <v>15521.35</v>
      </c>
    </row>
    <row r="38" spans="2:9" x14ac:dyDescent="0.55000000000000004">
      <c r="B38" s="80" t="s">
        <v>60</v>
      </c>
    </row>
    <row r="39" spans="2:9" ht="14.05" customHeight="1" x14ac:dyDescent="0.55000000000000004">
      <c r="B39" s="54" t="s">
        <v>191</v>
      </c>
      <c r="C39" s="66">
        <f>$F$11*C20</f>
        <v>125000</v>
      </c>
      <c r="F39" s="66">
        <f>$F$11*F20</f>
        <v>0</v>
      </c>
      <c r="I39" s="66">
        <f>$F$11*I20</f>
        <v>93750</v>
      </c>
    </row>
    <row r="40" spans="2:9" ht="14.05" customHeight="1" x14ac:dyDescent="0.55000000000000004">
      <c r="B40" s="54" t="s">
        <v>97</v>
      </c>
      <c r="C40" s="66">
        <f>Bond!$D$18*C20</f>
        <v>-8125</v>
      </c>
      <c r="F40" s="66">
        <f>Bond!$D$18*F20</f>
        <v>0</v>
      </c>
      <c r="I40" s="66">
        <f>Bond!$D$18*I20</f>
        <v>-6093.75</v>
      </c>
    </row>
    <row r="41" spans="2:9" ht="14.05" customHeight="1" x14ac:dyDescent="0.55000000000000004">
      <c r="B41" s="54" t="s">
        <v>171</v>
      </c>
      <c r="C41" s="66">
        <f>-C40*0.35</f>
        <v>2843.75</v>
      </c>
      <c r="F41" s="66">
        <f>-F40*0.35</f>
        <v>0</v>
      </c>
      <c r="I41" s="66">
        <f>-I40*0.35</f>
        <v>2132.8125</v>
      </c>
    </row>
    <row r="42" spans="2:9" x14ac:dyDescent="0.55000000000000004">
      <c r="B42" s="80" t="s">
        <v>166</v>
      </c>
      <c r="C42" s="66"/>
    </row>
    <row r="43" spans="2:9" ht="14.05" customHeight="1" x14ac:dyDescent="0.55000000000000004">
      <c r="B43" s="54" t="s">
        <v>190</v>
      </c>
      <c r="C43" s="66">
        <f>$F$11*C21</f>
        <v>0</v>
      </c>
      <c r="F43" s="66">
        <f>$F$11*F21</f>
        <v>125000</v>
      </c>
      <c r="I43" s="66">
        <f>$F$11*I21</f>
        <v>31250</v>
      </c>
    </row>
    <row r="44" spans="2:9" ht="14.05" customHeight="1" x14ac:dyDescent="0.55000000000000004">
      <c r="B44" s="54" t="s">
        <v>173</v>
      </c>
      <c r="C44" s="67">
        <f>$C$13</f>
        <v>17.75</v>
      </c>
      <c r="F44" s="67">
        <f>$C$13</f>
        <v>17.75</v>
      </c>
      <c r="I44" s="67">
        <f>$C$13</f>
        <v>17.75</v>
      </c>
    </row>
    <row r="45" spans="2:9" ht="14.05" customHeight="1" x14ac:dyDescent="0.55000000000000004">
      <c r="B45" s="54" t="s">
        <v>172</v>
      </c>
      <c r="C45" s="66">
        <f>C43/C44</f>
        <v>0</v>
      </c>
      <c r="F45" s="66">
        <v>7500</v>
      </c>
      <c r="I45" s="66">
        <f>I43/(I44*(1-0.06))</f>
        <v>1872.9397662571173</v>
      </c>
    </row>
    <row r="46" spans="2:9" ht="6" customHeight="1" x14ac:dyDescent="0.55000000000000004"/>
    <row r="47" spans="2:9" ht="12.9" customHeight="1" x14ac:dyDescent="0.55000000000000004">
      <c r="B47" s="121" t="s">
        <v>382</v>
      </c>
    </row>
    <row r="48" spans="2:9" ht="14.05" customHeight="1" x14ac:dyDescent="0.55000000000000004">
      <c r="B48" s="54" t="s">
        <v>168</v>
      </c>
      <c r="C48" s="66">
        <f>C31+C37+C40+C41</f>
        <v>37618.75</v>
      </c>
      <c r="F48" s="66">
        <f>F31+F37+F40+F41</f>
        <v>42900</v>
      </c>
      <c r="I48" s="66">
        <f>I31+I37+I40+I41</f>
        <v>38939.0625</v>
      </c>
    </row>
    <row r="49" spans="1:9" ht="14.05" customHeight="1" x14ac:dyDescent="0.55000000000000004">
      <c r="B49" s="54" t="s">
        <v>88</v>
      </c>
      <c r="C49" s="66">
        <f>C32+C45</f>
        <v>15000</v>
      </c>
      <c r="F49" s="66">
        <f>F32+F45</f>
        <v>22500</v>
      </c>
      <c r="I49" s="66">
        <f>I32+I45</f>
        <v>16872.939766257117</v>
      </c>
    </row>
    <row r="50" spans="1:9" ht="14.05" customHeight="1" x14ac:dyDescent="0.55000000000000004">
      <c r="B50" s="206" t="s">
        <v>89</v>
      </c>
      <c r="C50" s="207">
        <f>C48/C49</f>
        <v>2.5079166666666666</v>
      </c>
      <c r="D50" s="208"/>
      <c r="E50" s="208"/>
      <c r="F50" s="207">
        <f>F48/F49</f>
        <v>1.9066666666666667</v>
      </c>
      <c r="G50" s="208"/>
      <c r="H50" s="208"/>
      <c r="I50" s="207">
        <f>I48/I49</f>
        <v>2.3077817522866528</v>
      </c>
    </row>
    <row r="51" spans="1:9" hidden="1" outlineLevel="1" x14ac:dyDescent="0.55000000000000004">
      <c r="B51" s="129" t="s">
        <v>194</v>
      </c>
      <c r="C51" s="130">
        <f>'Pro Forma'!I43-C50</f>
        <v>0</v>
      </c>
      <c r="F51" s="130">
        <f>'Pro Forma'!M43-F50</f>
        <v>0</v>
      </c>
      <c r="I51" s="118"/>
    </row>
    <row r="52" spans="1:9" ht="6.9" customHeight="1" collapsed="1" x14ac:dyDescent="0.55000000000000004">
      <c r="C52" s="119"/>
    </row>
    <row r="53" spans="1:9" ht="14.05" customHeight="1" x14ac:dyDescent="0.55000000000000004">
      <c r="B53" s="206" t="s">
        <v>174</v>
      </c>
      <c r="C53" s="209">
        <f>C50-C33</f>
        <v>0.68267333333333324</v>
      </c>
      <c r="D53" s="208"/>
      <c r="E53" s="208"/>
      <c r="F53" s="209">
        <f>F50-F33</f>
        <v>8.1423333333333403E-2</v>
      </c>
      <c r="G53" s="209"/>
      <c r="H53" s="208"/>
      <c r="I53" s="209">
        <f>I50-I33</f>
        <v>0.4825384189533195</v>
      </c>
    </row>
    <row r="54" spans="1:9" ht="14.05" customHeight="1" x14ac:dyDescent="0.55000000000000004">
      <c r="B54" s="206" t="s">
        <v>175</v>
      </c>
      <c r="C54" s="210">
        <f>C53/C33</f>
        <v>0.37401771088055835</v>
      </c>
      <c r="D54" s="208"/>
      <c r="E54" s="208"/>
      <c r="F54" s="210">
        <f>F53/F33</f>
        <v>4.4609577170532551E-2</v>
      </c>
      <c r="G54" s="211"/>
      <c r="H54" s="208"/>
      <c r="I54" s="210">
        <f>I53/I33</f>
        <v>0.26436936387658971</v>
      </c>
    </row>
    <row r="55" spans="1:9" x14ac:dyDescent="0.55000000000000004">
      <c r="C55" s="67"/>
    </row>
    <row r="56" spans="1:9" ht="15.9" thickBot="1" x14ac:dyDescent="0.6">
      <c r="A56" s="121" t="s">
        <v>180</v>
      </c>
      <c r="C56" s="202" t="s">
        <v>29</v>
      </c>
      <c r="D56" s="203"/>
      <c r="E56" s="203"/>
      <c r="F56" s="202" t="s">
        <v>166</v>
      </c>
      <c r="G56" s="203"/>
      <c r="H56" s="203"/>
      <c r="I56" s="202" t="s">
        <v>167</v>
      </c>
    </row>
    <row r="57" spans="1:9" x14ac:dyDescent="0.55000000000000004">
      <c r="B57" s="72" t="s">
        <v>186</v>
      </c>
      <c r="C57" s="66"/>
    </row>
    <row r="58" spans="1:9" x14ac:dyDescent="0.55000000000000004">
      <c r="B58" s="54" t="s">
        <v>267</v>
      </c>
      <c r="C58" s="66">
        <f>C32*0.79</f>
        <v>11850</v>
      </c>
      <c r="F58" s="66">
        <f>C58</f>
        <v>11850</v>
      </c>
      <c r="I58" s="66">
        <f>C58</f>
        <v>11850</v>
      </c>
    </row>
    <row r="59" spans="1:9" x14ac:dyDescent="0.55000000000000004">
      <c r="B59" s="54" t="s">
        <v>268</v>
      </c>
      <c r="C59" s="66">
        <f>C32*0.21</f>
        <v>3150</v>
      </c>
      <c r="F59" s="66">
        <f>C59</f>
        <v>3150</v>
      </c>
      <c r="I59" s="66">
        <f>C59</f>
        <v>3150</v>
      </c>
    </row>
    <row r="60" spans="1:9" x14ac:dyDescent="0.55000000000000004">
      <c r="B60" s="54" t="s">
        <v>182</v>
      </c>
      <c r="C60" s="90">
        <f>C45</f>
        <v>0</v>
      </c>
      <c r="F60" s="90">
        <f>F45</f>
        <v>7500</v>
      </c>
      <c r="I60" s="90">
        <f>I45</f>
        <v>1872.9397662571173</v>
      </c>
    </row>
    <row r="61" spans="1:9" x14ac:dyDescent="0.55000000000000004">
      <c r="B61" s="54" t="s">
        <v>187</v>
      </c>
      <c r="C61" s="66">
        <f>C58+C59+C60</f>
        <v>15000</v>
      </c>
      <c r="F61" s="66">
        <f>F58+F59+F60</f>
        <v>22500</v>
      </c>
      <c r="I61" s="66">
        <f>I58+I59+I60</f>
        <v>16872.939766257117</v>
      </c>
    </row>
    <row r="62" spans="1:9" ht="6" customHeight="1" x14ac:dyDescent="0.55000000000000004">
      <c r="C62" s="67"/>
    </row>
    <row r="63" spans="1:9" x14ac:dyDescent="0.55000000000000004">
      <c r="B63" s="72" t="s">
        <v>188</v>
      </c>
      <c r="C63" s="66"/>
    </row>
    <row r="64" spans="1:9" x14ac:dyDescent="0.55000000000000004">
      <c r="B64" s="54" t="s">
        <v>267</v>
      </c>
      <c r="C64" s="69">
        <f>C58/C61</f>
        <v>0.79</v>
      </c>
      <c r="F64" s="69">
        <f>F58/F61</f>
        <v>0.52666666666666662</v>
      </c>
      <c r="I64" s="69">
        <f>I58/I61</f>
        <v>0.70230796554480068</v>
      </c>
    </row>
    <row r="65" spans="1:10" x14ac:dyDescent="0.55000000000000004">
      <c r="B65" s="54" t="s">
        <v>268</v>
      </c>
      <c r="C65" s="69">
        <f>C59/C61</f>
        <v>0.21</v>
      </c>
      <c r="F65" s="69">
        <f>F59/F61</f>
        <v>0.14000000000000001</v>
      </c>
      <c r="I65" s="69">
        <f>I59/I61</f>
        <v>0.18668945919545332</v>
      </c>
    </row>
    <row r="66" spans="1:10" x14ac:dyDescent="0.55000000000000004">
      <c r="B66" s="54" t="s">
        <v>182</v>
      </c>
      <c r="C66" s="124">
        <f>C60/C61</f>
        <v>0</v>
      </c>
      <c r="F66" s="124">
        <f>F60/F61</f>
        <v>0.33333333333333331</v>
      </c>
      <c r="I66" s="124">
        <f>I60/I61</f>
        <v>0.11100257525974604</v>
      </c>
    </row>
    <row r="67" spans="1:10" x14ac:dyDescent="0.55000000000000004">
      <c r="B67" s="54" t="s">
        <v>187</v>
      </c>
      <c r="C67" s="69">
        <f>C64+C65+C66</f>
        <v>1</v>
      </c>
      <c r="F67" s="69">
        <f>F64+F65+F66</f>
        <v>1</v>
      </c>
      <c r="I67" s="69">
        <f>I64+I65+I66</f>
        <v>1</v>
      </c>
    </row>
    <row r="68" spans="1:10" ht="9.9" customHeight="1" x14ac:dyDescent="0.55000000000000004">
      <c r="C68" s="67"/>
    </row>
    <row r="69" spans="1:10" ht="15.6" x14ac:dyDescent="0.55000000000000004">
      <c r="A69" s="121" t="s">
        <v>181</v>
      </c>
      <c r="C69" s="67"/>
    </row>
    <row r="70" spans="1:10" x14ac:dyDescent="0.55000000000000004">
      <c r="B70" s="72" t="s">
        <v>198</v>
      </c>
      <c r="C70" s="81"/>
    </row>
    <row r="71" spans="1:10" x14ac:dyDescent="0.55000000000000004">
      <c r="B71" s="54" t="s">
        <v>183</v>
      </c>
      <c r="C71" s="66">
        <f>'Pro Forma'!$E$21+'Pro Forma'!$E$18+C39</f>
        <v>140813</v>
      </c>
      <c r="D71" s="122">
        <f>C71/C73</f>
        <v>0.16927208004820443</v>
      </c>
      <c r="F71" s="66">
        <f>'Pro Forma'!$E$21+'Pro Forma'!$E$18+F39</f>
        <v>15813</v>
      </c>
      <c r="G71" s="122">
        <f>F71/F73</f>
        <v>1.9033919930667567E-2</v>
      </c>
      <c r="I71" s="66">
        <f>'Pro Forma'!$E$21+'Pro Forma'!$E$18+I39</f>
        <v>109563</v>
      </c>
      <c r="J71" s="122">
        <f>I71/I73</f>
        <v>0.13147292123922974</v>
      </c>
    </row>
    <row r="72" spans="1:10" x14ac:dyDescent="0.55000000000000004">
      <c r="B72" s="54" t="s">
        <v>189</v>
      </c>
      <c r="C72" s="90">
        <f>'Pro Forma'!$E$30+C43+C37+C40+C41+C23</f>
        <v>691060.75</v>
      </c>
      <c r="D72" s="125">
        <f>C72/C73</f>
        <v>0.83072791995179562</v>
      </c>
      <c r="F72" s="90">
        <f>'Pro Forma'!$E$30+F43+F37+F40+F41+F23</f>
        <v>814967</v>
      </c>
      <c r="G72" s="125">
        <f>F72/F73</f>
        <v>0.98096608006933239</v>
      </c>
      <c r="I72" s="90">
        <f>'Pro Forma'!$E$30+I43+I37+I40+I41+I23</f>
        <v>723787.3125</v>
      </c>
      <c r="J72" s="125">
        <f>I72/I73</f>
        <v>0.86852707876077029</v>
      </c>
    </row>
    <row r="73" spans="1:10" x14ac:dyDescent="0.55000000000000004">
      <c r="B73" s="54" t="s">
        <v>184</v>
      </c>
      <c r="C73" s="66">
        <f>C71+C72</f>
        <v>831873.75</v>
      </c>
      <c r="D73" s="122">
        <f>D71+D72</f>
        <v>1</v>
      </c>
      <c r="F73" s="66">
        <f>F71+F72</f>
        <v>830780</v>
      </c>
      <c r="G73" s="122">
        <f>G71+G72</f>
        <v>1</v>
      </c>
      <c r="I73" s="66">
        <f>I71+I72</f>
        <v>833350.3125</v>
      </c>
      <c r="J73" s="122">
        <f>J71+J72</f>
        <v>1</v>
      </c>
    </row>
    <row r="74" spans="1:10" ht="6" customHeight="1" x14ac:dyDescent="0.55000000000000004">
      <c r="C74" s="81">
        <f>'Pro Forma'!I30-C72</f>
        <v>0</v>
      </c>
      <c r="F74" s="81">
        <f>'Pro Forma'!M30-F72</f>
        <v>0</v>
      </c>
    </row>
    <row r="75" spans="1:10" x14ac:dyDescent="0.55000000000000004">
      <c r="B75" s="72" t="s">
        <v>185</v>
      </c>
      <c r="C75" s="81"/>
    </row>
    <row r="76" spans="1:10" ht="14.05" customHeight="1" x14ac:dyDescent="0.55000000000000004">
      <c r="B76" s="54" t="s">
        <v>193</v>
      </c>
      <c r="C76" s="66">
        <f>$I$8+'Pro Forma'!$I$47</f>
        <v>105064.07</v>
      </c>
      <c r="F76" s="66">
        <f>$I$8+'Pro Forma'!$I$47</f>
        <v>105064.07</v>
      </c>
      <c r="I76" s="66">
        <f>$I$8+'Pro Forma'!$I$47</f>
        <v>105064.07</v>
      </c>
    </row>
    <row r="77" spans="1:10" ht="14.05" customHeight="1" x14ac:dyDescent="0.55000000000000004">
      <c r="B77" s="54" t="s">
        <v>97</v>
      </c>
      <c r="C77" s="90">
        <f>-C40</f>
        <v>8125</v>
      </c>
      <c r="F77" s="90">
        <f>-F40</f>
        <v>0</v>
      </c>
      <c r="I77" s="90">
        <f>-I40</f>
        <v>6093.75</v>
      </c>
    </row>
    <row r="78" spans="1:10" x14ac:dyDescent="0.55000000000000004">
      <c r="B78" s="71" t="s">
        <v>185</v>
      </c>
      <c r="C78" s="120">
        <f>C76/C77</f>
        <v>12.930962461538462</v>
      </c>
      <c r="F78" s="127" t="s">
        <v>192</v>
      </c>
      <c r="I78" s="120">
        <f>I76/I77</f>
        <v>17.241283282051285</v>
      </c>
    </row>
    <row r="79" spans="1:10" ht="6" customHeight="1" x14ac:dyDescent="0.55000000000000004"/>
    <row r="80" spans="1:10" x14ac:dyDescent="0.55000000000000004">
      <c r="B80" s="72" t="s">
        <v>199</v>
      </c>
    </row>
    <row r="81" spans="2:9" x14ac:dyDescent="0.55000000000000004">
      <c r="B81" s="54" t="s">
        <v>183</v>
      </c>
      <c r="C81" s="66">
        <f>C71</f>
        <v>140813</v>
      </c>
      <c r="F81" s="66">
        <f>F71</f>
        <v>15813</v>
      </c>
      <c r="I81" s="66">
        <f>I71</f>
        <v>109563</v>
      </c>
    </row>
    <row r="82" spans="2:9" x14ac:dyDescent="0.55000000000000004">
      <c r="B82" s="54" t="s">
        <v>193</v>
      </c>
      <c r="C82" s="90">
        <f>$I$8+'Pro Forma'!$I$47</f>
        <v>105064.07</v>
      </c>
      <c r="F82" s="90">
        <f>$I$8+'Pro Forma'!$I$47</f>
        <v>105064.07</v>
      </c>
      <c r="I82" s="90">
        <f>$I$8+'Pro Forma'!$I$47</f>
        <v>105064.07</v>
      </c>
    </row>
    <row r="83" spans="2:9" x14ac:dyDescent="0.55000000000000004">
      <c r="B83" s="71" t="s">
        <v>199</v>
      </c>
      <c r="C83" s="120">
        <f>C71/C76</f>
        <v>1.3402583775785575</v>
      </c>
      <c r="F83" s="120">
        <f>F71/F76</f>
        <v>0.15050816135335324</v>
      </c>
      <c r="I83" s="120">
        <f>I71/I76</f>
        <v>1.0428208235222565</v>
      </c>
    </row>
  </sheetData>
  <pageMargins left="0.3" right="0.3" top="0.5" bottom="0.5" header="0.1" footer="0.1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BEA7-8429-4315-AF82-6BCA7688347C}">
  <sheetPr codeName="Hoja9">
    <pageSetUpPr fitToPage="1"/>
  </sheetPr>
  <dimension ref="B2:V81"/>
  <sheetViews>
    <sheetView showGridLines="0" tabSelected="1" topLeftCell="A46" zoomScale="96" zoomScaleNormal="107" workbookViewId="0">
      <selection activeCell="F70" sqref="F70"/>
    </sheetView>
  </sheetViews>
  <sheetFormatPr baseColWidth="10" defaultColWidth="10.83984375" defaultRowHeight="12.9" outlineLevelRow="1" x14ac:dyDescent="0.5"/>
  <cols>
    <col min="1" max="1" width="2.68359375" style="225" customWidth="1"/>
    <col min="2" max="2" width="6.7890625" style="225" customWidth="1"/>
    <col min="3" max="4" width="8.26171875" style="225" customWidth="1"/>
    <col min="5" max="5" width="7.734375" style="225" customWidth="1"/>
    <col min="6" max="6" width="8.26171875" style="225" customWidth="1"/>
    <col min="7" max="12" width="7.734375" style="225" customWidth="1"/>
    <col min="13" max="13" width="8.26171875" style="225" customWidth="1"/>
    <col min="14" max="15" width="7.734375" style="225" customWidth="1"/>
    <col min="16" max="21" width="6.62890625" style="225" customWidth="1"/>
    <col min="22" max="256" width="10.83984375" style="225"/>
    <col min="257" max="257" width="2.68359375" style="225" customWidth="1"/>
    <col min="258" max="258" width="6.7890625" style="225" customWidth="1"/>
    <col min="259" max="260" width="8.26171875" style="225" customWidth="1"/>
    <col min="261" max="261" width="7.734375" style="225" customWidth="1"/>
    <col min="262" max="262" width="8.26171875" style="225" customWidth="1"/>
    <col min="263" max="268" width="7.734375" style="225" customWidth="1"/>
    <col min="269" max="269" width="8.26171875" style="225" customWidth="1"/>
    <col min="270" max="271" width="7.734375" style="225" customWidth="1"/>
    <col min="272" max="277" width="6.62890625" style="225" customWidth="1"/>
    <col min="278" max="512" width="10.83984375" style="225"/>
    <col min="513" max="513" width="2.68359375" style="225" customWidth="1"/>
    <col min="514" max="514" width="6.7890625" style="225" customWidth="1"/>
    <col min="515" max="516" width="8.26171875" style="225" customWidth="1"/>
    <col min="517" max="517" width="7.734375" style="225" customWidth="1"/>
    <col min="518" max="518" width="8.26171875" style="225" customWidth="1"/>
    <col min="519" max="524" width="7.734375" style="225" customWidth="1"/>
    <col min="525" max="525" width="8.26171875" style="225" customWidth="1"/>
    <col min="526" max="527" width="7.734375" style="225" customWidth="1"/>
    <col min="528" max="533" width="6.62890625" style="225" customWidth="1"/>
    <col min="534" max="768" width="10.83984375" style="225"/>
    <col min="769" max="769" width="2.68359375" style="225" customWidth="1"/>
    <col min="770" max="770" width="6.7890625" style="225" customWidth="1"/>
    <col min="771" max="772" width="8.26171875" style="225" customWidth="1"/>
    <col min="773" max="773" width="7.734375" style="225" customWidth="1"/>
    <col min="774" max="774" width="8.26171875" style="225" customWidth="1"/>
    <col min="775" max="780" width="7.734375" style="225" customWidth="1"/>
    <col min="781" max="781" width="8.26171875" style="225" customWidth="1"/>
    <col min="782" max="783" width="7.734375" style="225" customWidth="1"/>
    <col min="784" max="789" width="6.62890625" style="225" customWidth="1"/>
    <col min="790" max="1024" width="10.83984375" style="225"/>
    <col min="1025" max="1025" width="2.68359375" style="225" customWidth="1"/>
    <col min="1026" max="1026" width="6.7890625" style="225" customWidth="1"/>
    <col min="1027" max="1028" width="8.26171875" style="225" customWidth="1"/>
    <col min="1029" max="1029" width="7.734375" style="225" customWidth="1"/>
    <col min="1030" max="1030" width="8.26171875" style="225" customWidth="1"/>
    <col min="1031" max="1036" width="7.734375" style="225" customWidth="1"/>
    <col min="1037" max="1037" width="8.26171875" style="225" customWidth="1"/>
    <col min="1038" max="1039" width="7.734375" style="225" customWidth="1"/>
    <col min="1040" max="1045" width="6.62890625" style="225" customWidth="1"/>
    <col min="1046" max="1280" width="10.83984375" style="225"/>
    <col min="1281" max="1281" width="2.68359375" style="225" customWidth="1"/>
    <col min="1282" max="1282" width="6.7890625" style="225" customWidth="1"/>
    <col min="1283" max="1284" width="8.26171875" style="225" customWidth="1"/>
    <col min="1285" max="1285" width="7.734375" style="225" customWidth="1"/>
    <col min="1286" max="1286" width="8.26171875" style="225" customWidth="1"/>
    <col min="1287" max="1292" width="7.734375" style="225" customWidth="1"/>
    <col min="1293" max="1293" width="8.26171875" style="225" customWidth="1"/>
    <col min="1294" max="1295" width="7.734375" style="225" customWidth="1"/>
    <col min="1296" max="1301" width="6.62890625" style="225" customWidth="1"/>
    <col min="1302" max="1536" width="10.83984375" style="225"/>
    <col min="1537" max="1537" width="2.68359375" style="225" customWidth="1"/>
    <col min="1538" max="1538" width="6.7890625" style="225" customWidth="1"/>
    <col min="1539" max="1540" width="8.26171875" style="225" customWidth="1"/>
    <col min="1541" max="1541" width="7.734375" style="225" customWidth="1"/>
    <col min="1542" max="1542" width="8.26171875" style="225" customWidth="1"/>
    <col min="1543" max="1548" width="7.734375" style="225" customWidth="1"/>
    <col min="1549" max="1549" width="8.26171875" style="225" customWidth="1"/>
    <col min="1550" max="1551" width="7.734375" style="225" customWidth="1"/>
    <col min="1552" max="1557" width="6.62890625" style="225" customWidth="1"/>
    <col min="1558" max="1792" width="10.83984375" style="225"/>
    <col min="1793" max="1793" width="2.68359375" style="225" customWidth="1"/>
    <col min="1794" max="1794" width="6.7890625" style="225" customWidth="1"/>
    <col min="1795" max="1796" width="8.26171875" style="225" customWidth="1"/>
    <col min="1797" max="1797" width="7.734375" style="225" customWidth="1"/>
    <col min="1798" max="1798" width="8.26171875" style="225" customWidth="1"/>
    <col min="1799" max="1804" width="7.734375" style="225" customWidth="1"/>
    <col min="1805" max="1805" width="8.26171875" style="225" customWidth="1"/>
    <col min="1806" max="1807" width="7.734375" style="225" customWidth="1"/>
    <col min="1808" max="1813" width="6.62890625" style="225" customWidth="1"/>
    <col min="1814" max="2048" width="10.83984375" style="225"/>
    <col min="2049" max="2049" width="2.68359375" style="225" customWidth="1"/>
    <col min="2050" max="2050" width="6.7890625" style="225" customWidth="1"/>
    <col min="2051" max="2052" width="8.26171875" style="225" customWidth="1"/>
    <col min="2053" max="2053" width="7.734375" style="225" customWidth="1"/>
    <col min="2054" max="2054" width="8.26171875" style="225" customWidth="1"/>
    <col min="2055" max="2060" width="7.734375" style="225" customWidth="1"/>
    <col min="2061" max="2061" width="8.26171875" style="225" customWidth="1"/>
    <col min="2062" max="2063" width="7.734375" style="225" customWidth="1"/>
    <col min="2064" max="2069" width="6.62890625" style="225" customWidth="1"/>
    <col min="2070" max="2304" width="10.83984375" style="225"/>
    <col min="2305" max="2305" width="2.68359375" style="225" customWidth="1"/>
    <col min="2306" max="2306" width="6.7890625" style="225" customWidth="1"/>
    <col min="2307" max="2308" width="8.26171875" style="225" customWidth="1"/>
    <col min="2309" max="2309" width="7.734375" style="225" customWidth="1"/>
    <col min="2310" max="2310" width="8.26171875" style="225" customWidth="1"/>
    <col min="2311" max="2316" width="7.734375" style="225" customWidth="1"/>
    <col min="2317" max="2317" width="8.26171875" style="225" customWidth="1"/>
    <col min="2318" max="2319" width="7.734375" style="225" customWidth="1"/>
    <col min="2320" max="2325" width="6.62890625" style="225" customWidth="1"/>
    <col min="2326" max="2560" width="10.83984375" style="225"/>
    <col min="2561" max="2561" width="2.68359375" style="225" customWidth="1"/>
    <col min="2562" max="2562" width="6.7890625" style="225" customWidth="1"/>
    <col min="2563" max="2564" width="8.26171875" style="225" customWidth="1"/>
    <col min="2565" max="2565" width="7.734375" style="225" customWidth="1"/>
    <col min="2566" max="2566" width="8.26171875" style="225" customWidth="1"/>
    <col min="2567" max="2572" width="7.734375" style="225" customWidth="1"/>
    <col min="2573" max="2573" width="8.26171875" style="225" customWidth="1"/>
    <col min="2574" max="2575" width="7.734375" style="225" customWidth="1"/>
    <col min="2576" max="2581" width="6.62890625" style="225" customWidth="1"/>
    <col min="2582" max="2816" width="10.83984375" style="225"/>
    <col min="2817" max="2817" width="2.68359375" style="225" customWidth="1"/>
    <col min="2818" max="2818" width="6.7890625" style="225" customWidth="1"/>
    <col min="2819" max="2820" width="8.26171875" style="225" customWidth="1"/>
    <col min="2821" max="2821" width="7.734375" style="225" customWidth="1"/>
    <col min="2822" max="2822" width="8.26171875" style="225" customWidth="1"/>
    <col min="2823" max="2828" width="7.734375" style="225" customWidth="1"/>
    <col min="2829" max="2829" width="8.26171875" style="225" customWidth="1"/>
    <col min="2830" max="2831" width="7.734375" style="225" customWidth="1"/>
    <col min="2832" max="2837" width="6.62890625" style="225" customWidth="1"/>
    <col min="2838" max="3072" width="10.83984375" style="225"/>
    <col min="3073" max="3073" width="2.68359375" style="225" customWidth="1"/>
    <col min="3074" max="3074" width="6.7890625" style="225" customWidth="1"/>
    <col min="3075" max="3076" width="8.26171875" style="225" customWidth="1"/>
    <col min="3077" max="3077" width="7.734375" style="225" customWidth="1"/>
    <col min="3078" max="3078" width="8.26171875" style="225" customWidth="1"/>
    <col min="3079" max="3084" width="7.734375" style="225" customWidth="1"/>
    <col min="3085" max="3085" width="8.26171875" style="225" customWidth="1"/>
    <col min="3086" max="3087" width="7.734375" style="225" customWidth="1"/>
    <col min="3088" max="3093" width="6.62890625" style="225" customWidth="1"/>
    <col min="3094" max="3328" width="10.83984375" style="225"/>
    <col min="3329" max="3329" width="2.68359375" style="225" customWidth="1"/>
    <col min="3330" max="3330" width="6.7890625" style="225" customWidth="1"/>
    <col min="3331" max="3332" width="8.26171875" style="225" customWidth="1"/>
    <col min="3333" max="3333" width="7.734375" style="225" customWidth="1"/>
    <col min="3334" max="3334" width="8.26171875" style="225" customWidth="1"/>
    <col min="3335" max="3340" width="7.734375" style="225" customWidth="1"/>
    <col min="3341" max="3341" width="8.26171875" style="225" customWidth="1"/>
    <col min="3342" max="3343" width="7.734375" style="225" customWidth="1"/>
    <col min="3344" max="3349" width="6.62890625" style="225" customWidth="1"/>
    <col min="3350" max="3584" width="10.83984375" style="225"/>
    <col min="3585" max="3585" width="2.68359375" style="225" customWidth="1"/>
    <col min="3586" max="3586" width="6.7890625" style="225" customWidth="1"/>
    <col min="3587" max="3588" width="8.26171875" style="225" customWidth="1"/>
    <col min="3589" max="3589" width="7.734375" style="225" customWidth="1"/>
    <col min="3590" max="3590" width="8.26171875" style="225" customWidth="1"/>
    <col min="3591" max="3596" width="7.734375" style="225" customWidth="1"/>
    <col min="3597" max="3597" width="8.26171875" style="225" customWidth="1"/>
    <col min="3598" max="3599" width="7.734375" style="225" customWidth="1"/>
    <col min="3600" max="3605" width="6.62890625" style="225" customWidth="1"/>
    <col min="3606" max="3840" width="10.83984375" style="225"/>
    <col min="3841" max="3841" width="2.68359375" style="225" customWidth="1"/>
    <col min="3842" max="3842" width="6.7890625" style="225" customWidth="1"/>
    <col min="3843" max="3844" width="8.26171875" style="225" customWidth="1"/>
    <col min="3845" max="3845" width="7.734375" style="225" customWidth="1"/>
    <col min="3846" max="3846" width="8.26171875" style="225" customWidth="1"/>
    <col min="3847" max="3852" width="7.734375" style="225" customWidth="1"/>
    <col min="3853" max="3853" width="8.26171875" style="225" customWidth="1"/>
    <col min="3854" max="3855" width="7.734375" style="225" customWidth="1"/>
    <col min="3856" max="3861" width="6.62890625" style="225" customWidth="1"/>
    <col min="3862" max="4096" width="10.83984375" style="225"/>
    <col min="4097" max="4097" width="2.68359375" style="225" customWidth="1"/>
    <col min="4098" max="4098" width="6.7890625" style="225" customWidth="1"/>
    <col min="4099" max="4100" width="8.26171875" style="225" customWidth="1"/>
    <col min="4101" max="4101" width="7.734375" style="225" customWidth="1"/>
    <col min="4102" max="4102" width="8.26171875" style="225" customWidth="1"/>
    <col min="4103" max="4108" width="7.734375" style="225" customWidth="1"/>
    <col min="4109" max="4109" width="8.26171875" style="225" customWidth="1"/>
    <col min="4110" max="4111" width="7.734375" style="225" customWidth="1"/>
    <col min="4112" max="4117" width="6.62890625" style="225" customWidth="1"/>
    <col min="4118" max="4352" width="10.83984375" style="225"/>
    <col min="4353" max="4353" width="2.68359375" style="225" customWidth="1"/>
    <col min="4354" max="4354" width="6.7890625" style="225" customWidth="1"/>
    <col min="4355" max="4356" width="8.26171875" style="225" customWidth="1"/>
    <col min="4357" max="4357" width="7.734375" style="225" customWidth="1"/>
    <col min="4358" max="4358" width="8.26171875" style="225" customWidth="1"/>
    <col min="4359" max="4364" width="7.734375" style="225" customWidth="1"/>
    <col min="4365" max="4365" width="8.26171875" style="225" customWidth="1"/>
    <col min="4366" max="4367" width="7.734375" style="225" customWidth="1"/>
    <col min="4368" max="4373" width="6.62890625" style="225" customWidth="1"/>
    <col min="4374" max="4608" width="10.83984375" style="225"/>
    <col min="4609" max="4609" width="2.68359375" style="225" customWidth="1"/>
    <col min="4610" max="4610" width="6.7890625" style="225" customWidth="1"/>
    <col min="4611" max="4612" width="8.26171875" style="225" customWidth="1"/>
    <col min="4613" max="4613" width="7.734375" style="225" customWidth="1"/>
    <col min="4614" max="4614" width="8.26171875" style="225" customWidth="1"/>
    <col min="4615" max="4620" width="7.734375" style="225" customWidth="1"/>
    <col min="4621" max="4621" width="8.26171875" style="225" customWidth="1"/>
    <col min="4622" max="4623" width="7.734375" style="225" customWidth="1"/>
    <col min="4624" max="4629" width="6.62890625" style="225" customWidth="1"/>
    <col min="4630" max="4864" width="10.83984375" style="225"/>
    <col min="4865" max="4865" width="2.68359375" style="225" customWidth="1"/>
    <col min="4866" max="4866" width="6.7890625" style="225" customWidth="1"/>
    <col min="4867" max="4868" width="8.26171875" style="225" customWidth="1"/>
    <col min="4869" max="4869" width="7.734375" style="225" customWidth="1"/>
    <col min="4870" max="4870" width="8.26171875" style="225" customWidth="1"/>
    <col min="4871" max="4876" width="7.734375" style="225" customWidth="1"/>
    <col min="4877" max="4877" width="8.26171875" style="225" customWidth="1"/>
    <col min="4878" max="4879" width="7.734375" style="225" customWidth="1"/>
    <col min="4880" max="4885" width="6.62890625" style="225" customWidth="1"/>
    <col min="4886" max="5120" width="10.83984375" style="225"/>
    <col min="5121" max="5121" width="2.68359375" style="225" customWidth="1"/>
    <col min="5122" max="5122" width="6.7890625" style="225" customWidth="1"/>
    <col min="5123" max="5124" width="8.26171875" style="225" customWidth="1"/>
    <col min="5125" max="5125" width="7.734375" style="225" customWidth="1"/>
    <col min="5126" max="5126" width="8.26171875" style="225" customWidth="1"/>
    <col min="5127" max="5132" width="7.734375" style="225" customWidth="1"/>
    <col min="5133" max="5133" width="8.26171875" style="225" customWidth="1"/>
    <col min="5134" max="5135" width="7.734375" style="225" customWidth="1"/>
    <col min="5136" max="5141" width="6.62890625" style="225" customWidth="1"/>
    <col min="5142" max="5376" width="10.83984375" style="225"/>
    <col min="5377" max="5377" width="2.68359375" style="225" customWidth="1"/>
    <col min="5378" max="5378" width="6.7890625" style="225" customWidth="1"/>
    <col min="5379" max="5380" width="8.26171875" style="225" customWidth="1"/>
    <col min="5381" max="5381" width="7.734375" style="225" customWidth="1"/>
    <col min="5382" max="5382" width="8.26171875" style="225" customWidth="1"/>
    <col min="5383" max="5388" width="7.734375" style="225" customWidth="1"/>
    <col min="5389" max="5389" width="8.26171875" style="225" customWidth="1"/>
    <col min="5390" max="5391" width="7.734375" style="225" customWidth="1"/>
    <col min="5392" max="5397" width="6.62890625" style="225" customWidth="1"/>
    <col min="5398" max="5632" width="10.83984375" style="225"/>
    <col min="5633" max="5633" width="2.68359375" style="225" customWidth="1"/>
    <col min="5634" max="5634" width="6.7890625" style="225" customWidth="1"/>
    <col min="5635" max="5636" width="8.26171875" style="225" customWidth="1"/>
    <col min="5637" max="5637" width="7.734375" style="225" customWidth="1"/>
    <col min="5638" max="5638" width="8.26171875" style="225" customWidth="1"/>
    <col min="5639" max="5644" width="7.734375" style="225" customWidth="1"/>
    <col min="5645" max="5645" width="8.26171875" style="225" customWidth="1"/>
    <col min="5646" max="5647" width="7.734375" style="225" customWidth="1"/>
    <col min="5648" max="5653" width="6.62890625" style="225" customWidth="1"/>
    <col min="5654" max="5888" width="10.83984375" style="225"/>
    <col min="5889" max="5889" width="2.68359375" style="225" customWidth="1"/>
    <col min="5890" max="5890" width="6.7890625" style="225" customWidth="1"/>
    <col min="5891" max="5892" width="8.26171875" style="225" customWidth="1"/>
    <col min="5893" max="5893" width="7.734375" style="225" customWidth="1"/>
    <col min="5894" max="5894" width="8.26171875" style="225" customWidth="1"/>
    <col min="5895" max="5900" width="7.734375" style="225" customWidth="1"/>
    <col min="5901" max="5901" width="8.26171875" style="225" customWidth="1"/>
    <col min="5902" max="5903" width="7.734375" style="225" customWidth="1"/>
    <col min="5904" max="5909" width="6.62890625" style="225" customWidth="1"/>
    <col min="5910" max="6144" width="10.83984375" style="225"/>
    <col min="6145" max="6145" width="2.68359375" style="225" customWidth="1"/>
    <col min="6146" max="6146" width="6.7890625" style="225" customWidth="1"/>
    <col min="6147" max="6148" width="8.26171875" style="225" customWidth="1"/>
    <col min="6149" max="6149" width="7.734375" style="225" customWidth="1"/>
    <col min="6150" max="6150" width="8.26171875" style="225" customWidth="1"/>
    <col min="6151" max="6156" width="7.734375" style="225" customWidth="1"/>
    <col min="6157" max="6157" width="8.26171875" style="225" customWidth="1"/>
    <col min="6158" max="6159" width="7.734375" style="225" customWidth="1"/>
    <col min="6160" max="6165" width="6.62890625" style="225" customWidth="1"/>
    <col min="6166" max="6400" width="10.83984375" style="225"/>
    <col min="6401" max="6401" width="2.68359375" style="225" customWidth="1"/>
    <col min="6402" max="6402" width="6.7890625" style="225" customWidth="1"/>
    <col min="6403" max="6404" width="8.26171875" style="225" customWidth="1"/>
    <col min="6405" max="6405" width="7.734375" style="225" customWidth="1"/>
    <col min="6406" max="6406" width="8.26171875" style="225" customWidth="1"/>
    <col min="6407" max="6412" width="7.734375" style="225" customWidth="1"/>
    <col min="6413" max="6413" width="8.26171875" style="225" customWidth="1"/>
    <col min="6414" max="6415" width="7.734375" style="225" customWidth="1"/>
    <col min="6416" max="6421" width="6.62890625" style="225" customWidth="1"/>
    <col min="6422" max="6656" width="10.83984375" style="225"/>
    <col min="6657" max="6657" width="2.68359375" style="225" customWidth="1"/>
    <col min="6658" max="6658" width="6.7890625" style="225" customWidth="1"/>
    <col min="6659" max="6660" width="8.26171875" style="225" customWidth="1"/>
    <col min="6661" max="6661" width="7.734375" style="225" customWidth="1"/>
    <col min="6662" max="6662" width="8.26171875" style="225" customWidth="1"/>
    <col min="6663" max="6668" width="7.734375" style="225" customWidth="1"/>
    <col min="6669" max="6669" width="8.26171875" style="225" customWidth="1"/>
    <col min="6670" max="6671" width="7.734375" style="225" customWidth="1"/>
    <col min="6672" max="6677" width="6.62890625" style="225" customWidth="1"/>
    <col min="6678" max="6912" width="10.83984375" style="225"/>
    <col min="6913" max="6913" width="2.68359375" style="225" customWidth="1"/>
    <col min="6914" max="6914" width="6.7890625" style="225" customWidth="1"/>
    <col min="6915" max="6916" width="8.26171875" style="225" customWidth="1"/>
    <col min="6917" max="6917" width="7.734375" style="225" customWidth="1"/>
    <col min="6918" max="6918" width="8.26171875" style="225" customWidth="1"/>
    <col min="6919" max="6924" width="7.734375" style="225" customWidth="1"/>
    <col min="6925" max="6925" width="8.26171875" style="225" customWidth="1"/>
    <col min="6926" max="6927" width="7.734375" style="225" customWidth="1"/>
    <col min="6928" max="6933" width="6.62890625" style="225" customWidth="1"/>
    <col min="6934" max="7168" width="10.83984375" style="225"/>
    <col min="7169" max="7169" width="2.68359375" style="225" customWidth="1"/>
    <col min="7170" max="7170" width="6.7890625" style="225" customWidth="1"/>
    <col min="7171" max="7172" width="8.26171875" style="225" customWidth="1"/>
    <col min="7173" max="7173" width="7.734375" style="225" customWidth="1"/>
    <col min="7174" max="7174" width="8.26171875" style="225" customWidth="1"/>
    <col min="7175" max="7180" width="7.734375" style="225" customWidth="1"/>
    <col min="7181" max="7181" width="8.26171875" style="225" customWidth="1"/>
    <col min="7182" max="7183" width="7.734375" style="225" customWidth="1"/>
    <col min="7184" max="7189" width="6.62890625" style="225" customWidth="1"/>
    <col min="7190" max="7424" width="10.83984375" style="225"/>
    <col min="7425" max="7425" width="2.68359375" style="225" customWidth="1"/>
    <col min="7426" max="7426" width="6.7890625" style="225" customWidth="1"/>
    <col min="7427" max="7428" width="8.26171875" style="225" customWidth="1"/>
    <col min="7429" max="7429" width="7.734375" style="225" customWidth="1"/>
    <col min="7430" max="7430" width="8.26171875" style="225" customWidth="1"/>
    <col min="7431" max="7436" width="7.734375" style="225" customWidth="1"/>
    <col min="7437" max="7437" width="8.26171875" style="225" customWidth="1"/>
    <col min="7438" max="7439" width="7.734375" style="225" customWidth="1"/>
    <col min="7440" max="7445" width="6.62890625" style="225" customWidth="1"/>
    <col min="7446" max="7680" width="10.83984375" style="225"/>
    <col min="7681" max="7681" width="2.68359375" style="225" customWidth="1"/>
    <col min="7682" max="7682" width="6.7890625" style="225" customWidth="1"/>
    <col min="7683" max="7684" width="8.26171875" style="225" customWidth="1"/>
    <col min="7685" max="7685" width="7.734375" style="225" customWidth="1"/>
    <col min="7686" max="7686" width="8.26171875" style="225" customWidth="1"/>
    <col min="7687" max="7692" width="7.734375" style="225" customWidth="1"/>
    <col min="7693" max="7693" width="8.26171875" style="225" customWidth="1"/>
    <col min="7694" max="7695" width="7.734375" style="225" customWidth="1"/>
    <col min="7696" max="7701" width="6.62890625" style="225" customWidth="1"/>
    <col min="7702" max="7936" width="10.83984375" style="225"/>
    <col min="7937" max="7937" width="2.68359375" style="225" customWidth="1"/>
    <col min="7938" max="7938" width="6.7890625" style="225" customWidth="1"/>
    <col min="7939" max="7940" width="8.26171875" style="225" customWidth="1"/>
    <col min="7941" max="7941" width="7.734375" style="225" customWidth="1"/>
    <col min="7942" max="7942" width="8.26171875" style="225" customWidth="1"/>
    <col min="7943" max="7948" width="7.734375" style="225" customWidth="1"/>
    <col min="7949" max="7949" width="8.26171875" style="225" customWidth="1"/>
    <col min="7950" max="7951" width="7.734375" style="225" customWidth="1"/>
    <col min="7952" max="7957" width="6.62890625" style="225" customWidth="1"/>
    <col min="7958" max="8192" width="10.83984375" style="225"/>
    <col min="8193" max="8193" width="2.68359375" style="225" customWidth="1"/>
    <col min="8194" max="8194" width="6.7890625" style="225" customWidth="1"/>
    <col min="8195" max="8196" width="8.26171875" style="225" customWidth="1"/>
    <col min="8197" max="8197" width="7.734375" style="225" customWidth="1"/>
    <col min="8198" max="8198" width="8.26171875" style="225" customWidth="1"/>
    <col min="8199" max="8204" width="7.734375" style="225" customWidth="1"/>
    <col min="8205" max="8205" width="8.26171875" style="225" customWidth="1"/>
    <col min="8206" max="8207" width="7.734375" style="225" customWidth="1"/>
    <col min="8208" max="8213" width="6.62890625" style="225" customWidth="1"/>
    <col min="8214" max="8448" width="10.83984375" style="225"/>
    <col min="8449" max="8449" width="2.68359375" style="225" customWidth="1"/>
    <col min="8450" max="8450" width="6.7890625" style="225" customWidth="1"/>
    <col min="8451" max="8452" width="8.26171875" style="225" customWidth="1"/>
    <col min="8453" max="8453" width="7.734375" style="225" customWidth="1"/>
    <col min="8454" max="8454" width="8.26171875" style="225" customWidth="1"/>
    <col min="8455" max="8460" width="7.734375" style="225" customWidth="1"/>
    <col min="8461" max="8461" width="8.26171875" style="225" customWidth="1"/>
    <col min="8462" max="8463" width="7.734375" style="225" customWidth="1"/>
    <col min="8464" max="8469" width="6.62890625" style="225" customWidth="1"/>
    <col min="8470" max="8704" width="10.83984375" style="225"/>
    <col min="8705" max="8705" width="2.68359375" style="225" customWidth="1"/>
    <col min="8706" max="8706" width="6.7890625" style="225" customWidth="1"/>
    <col min="8707" max="8708" width="8.26171875" style="225" customWidth="1"/>
    <col min="8709" max="8709" width="7.734375" style="225" customWidth="1"/>
    <col min="8710" max="8710" width="8.26171875" style="225" customWidth="1"/>
    <col min="8711" max="8716" width="7.734375" style="225" customWidth="1"/>
    <col min="8717" max="8717" width="8.26171875" style="225" customWidth="1"/>
    <col min="8718" max="8719" width="7.734375" style="225" customWidth="1"/>
    <col min="8720" max="8725" width="6.62890625" style="225" customWidth="1"/>
    <col min="8726" max="8960" width="10.83984375" style="225"/>
    <col min="8961" max="8961" width="2.68359375" style="225" customWidth="1"/>
    <col min="8962" max="8962" width="6.7890625" style="225" customWidth="1"/>
    <col min="8963" max="8964" width="8.26171875" style="225" customWidth="1"/>
    <col min="8965" max="8965" width="7.734375" style="225" customWidth="1"/>
    <col min="8966" max="8966" width="8.26171875" style="225" customWidth="1"/>
    <col min="8967" max="8972" width="7.734375" style="225" customWidth="1"/>
    <col min="8973" max="8973" width="8.26171875" style="225" customWidth="1"/>
    <col min="8974" max="8975" width="7.734375" style="225" customWidth="1"/>
    <col min="8976" max="8981" width="6.62890625" style="225" customWidth="1"/>
    <col min="8982" max="9216" width="10.83984375" style="225"/>
    <col min="9217" max="9217" width="2.68359375" style="225" customWidth="1"/>
    <col min="9218" max="9218" width="6.7890625" style="225" customWidth="1"/>
    <col min="9219" max="9220" width="8.26171875" style="225" customWidth="1"/>
    <col min="9221" max="9221" width="7.734375" style="225" customWidth="1"/>
    <col min="9222" max="9222" width="8.26171875" style="225" customWidth="1"/>
    <col min="9223" max="9228" width="7.734375" style="225" customWidth="1"/>
    <col min="9229" max="9229" width="8.26171875" style="225" customWidth="1"/>
    <col min="9230" max="9231" width="7.734375" style="225" customWidth="1"/>
    <col min="9232" max="9237" width="6.62890625" style="225" customWidth="1"/>
    <col min="9238" max="9472" width="10.83984375" style="225"/>
    <col min="9473" max="9473" width="2.68359375" style="225" customWidth="1"/>
    <col min="9474" max="9474" width="6.7890625" style="225" customWidth="1"/>
    <col min="9475" max="9476" width="8.26171875" style="225" customWidth="1"/>
    <col min="9477" max="9477" width="7.734375" style="225" customWidth="1"/>
    <col min="9478" max="9478" width="8.26171875" style="225" customWidth="1"/>
    <col min="9479" max="9484" width="7.734375" style="225" customWidth="1"/>
    <col min="9485" max="9485" width="8.26171875" style="225" customWidth="1"/>
    <col min="9486" max="9487" width="7.734375" style="225" customWidth="1"/>
    <col min="9488" max="9493" width="6.62890625" style="225" customWidth="1"/>
    <col min="9494" max="9728" width="10.83984375" style="225"/>
    <col min="9729" max="9729" width="2.68359375" style="225" customWidth="1"/>
    <col min="9730" max="9730" width="6.7890625" style="225" customWidth="1"/>
    <col min="9731" max="9732" width="8.26171875" style="225" customWidth="1"/>
    <col min="9733" max="9733" width="7.734375" style="225" customWidth="1"/>
    <col min="9734" max="9734" width="8.26171875" style="225" customWidth="1"/>
    <col min="9735" max="9740" width="7.734375" style="225" customWidth="1"/>
    <col min="9741" max="9741" width="8.26171875" style="225" customWidth="1"/>
    <col min="9742" max="9743" width="7.734375" style="225" customWidth="1"/>
    <col min="9744" max="9749" width="6.62890625" style="225" customWidth="1"/>
    <col min="9750" max="9984" width="10.83984375" style="225"/>
    <col min="9985" max="9985" width="2.68359375" style="225" customWidth="1"/>
    <col min="9986" max="9986" width="6.7890625" style="225" customWidth="1"/>
    <col min="9987" max="9988" width="8.26171875" style="225" customWidth="1"/>
    <col min="9989" max="9989" width="7.734375" style="225" customWidth="1"/>
    <col min="9990" max="9990" width="8.26171875" style="225" customWidth="1"/>
    <col min="9991" max="9996" width="7.734375" style="225" customWidth="1"/>
    <col min="9997" max="9997" width="8.26171875" style="225" customWidth="1"/>
    <col min="9998" max="9999" width="7.734375" style="225" customWidth="1"/>
    <col min="10000" max="10005" width="6.62890625" style="225" customWidth="1"/>
    <col min="10006" max="10240" width="10.83984375" style="225"/>
    <col min="10241" max="10241" width="2.68359375" style="225" customWidth="1"/>
    <col min="10242" max="10242" width="6.7890625" style="225" customWidth="1"/>
    <col min="10243" max="10244" width="8.26171875" style="225" customWidth="1"/>
    <col min="10245" max="10245" width="7.734375" style="225" customWidth="1"/>
    <col min="10246" max="10246" width="8.26171875" style="225" customWidth="1"/>
    <col min="10247" max="10252" width="7.734375" style="225" customWidth="1"/>
    <col min="10253" max="10253" width="8.26171875" style="225" customWidth="1"/>
    <col min="10254" max="10255" width="7.734375" style="225" customWidth="1"/>
    <col min="10256" max="10261" width="6.62890625" style="225" customWidth="1"/>
    <col min="10262" max="10496" width="10.83984375" style="225"/>
    <col min="10497" max="10497" width="2.68359375" style="225" customWidth="1"/>
    <col min="10498" max="10498" width="6.7890625" style="225" customWidth="1"/>
    <col min="10499" max="10500" width="8.26171875" style="225" customWidth="1"/>
    <col min="10501" max="10501" width="7.734375" style="225" customWidth="1"/>
    <col min="10502" max="10502" width="8.26171875" style="225" customWidth="1"/>
    <col min="10503" max="10508" width="7.734375" style="225" customWidth="1"/>
    <col min="10509" max="10509" width="8.26171875" style="225" customWidth="1"/>
    <col min="10510" max="10511" width="7.734375" style="225" customWidth="1"/>
    <col min="10512" max="10517" width="6.62890625" style="225" customWidth="1"/>
    <col min="10518" max="10752" width="10.83984375" style="225"/>
    <col min="10753" max="10753" width="2.68359375" style="225" customWidth="1"/>
    <col min="10754" max="10754" width="6.7890625" style="225" customWidth="1"/>
    <col min="10755" max="10756" width="8.26171875" style="225" customWidth="1"/>
    <col min="10757" max="10757" width="7.734375" style="225" customWidth="1"/>
    <col min="10758" max="10758" width="8.26171875" style="225" customWidth="1"/>
    <col min="10759" max="10764" width="7.734375" style="225" customWidth="1"/>
    <col min="10765" max="10765" width="8.26171875" style="225" customWidth="1"/>
    <col min="10766" max="10767" width="7.734375" style="225" customWidth="1"/>
    <col min="10768" max="10773" width="6.62890625" style="225" customWidth="1"/>
    <col min="10774" max="11008" width="10.83984375" style="225"/>
    <col min="11009" max="11009" width="2.68359375" style="225" customWidth="1"/>
    <col min="11010" max="11010" width="6.7890625" style="225" customWidth="1"/>
    <col min="11011" max="11012" width="8.26171875" style="225" customWidth="1"/>
    <col min="11013" max="11013" width="7.734375" style="225" customWidth="1"/>
    <col min="11014" max="11014" width="8.26171875" style="225" customWidth="1"/>
    <col min="11015" max="11020" width="7.734375" style="225" customWidth="1"/>
    <col min="11021" max="11021" width="8.26171875" style="225" customWidth="1"/>
    <col min="11022" max="11023" width="7.734375" style="225" customWidth="1"/>
    <col min="11024" max="11029" width="6.62890625" style="225" customWidth="1"/>
    <col min="11030" max="11264" width="10.83984375" style="225"/>
    <col min="11265" max="11265" width="2.68359375" style="225" customWidth="1"/>
    <col min="11266" max="11266" width="6.7890625" style="225" customWidth="1"/>
    <col min="11267" max="11268" width="8.26171875" style="225" customWidth="1"/>
    <col min="11269" max="11269" width="7.734375" style="225" customWidth="1"/>
    <col min="11270" max="11270" width="8.26171875" style="225" customWidth="1"/>
    <col min="11271" max="11276" width="7.734375" style="225" customWidth="1"/>
    <col min="11277" max="11277" width="8.26171875" style="225" customWidth="1"/>
    <col min="11278" max="11279" width="7.734375" style="225" customWidth="1"/>
    <col min="11280" max="11285" width="6.62890625" style="225" customWidth="1"/>
    <col min="11286" max="11520" width="10.83984375" style="225"/>
    <col min="11521" max="11521" width="2.68359375" style="225" customWidth="1"/>
    <col min="11522" max="11522" width="6.7890625" style="225" customWidth="1"/>
    <col min="11523" max="11524" width="8.26171875" style="225" customWidth="1"/>
    <col min="11525" max="11525" width="7.734375" style="225" customWidth="1"/>
    <col min="11526" max="11526" width="8.26171875" style="225" customWidth="1"/>
    <col min="11527" max="11532" width="7.734375" style="225" customWidth="1"/>
    <col min="11533" max="11533" width="8.26171875" style="225" customWidth="1"/>
    <col min="11534" max="11535" width="7.734375" style="225" customWidth="1"/>
    <col min="11536" max="11541" width="6.62890625" style="225" customWidth="1"/>
    <col min="11542" max="11776" width="10.83984375" style="225"/>
    <col min="11777" max="11777" width="2.68359375" style="225" customWidth="1"/>
    <col min="11778" max="11778" width="6.7890625" style="225" customWidth="1"/>
    <col min="11779" max="11780" width="8.26171875" style="225" customWidth="1"/>
    <col min="11781" max="11781" width="7.734375" style="225" customWidth="1"/>
    <col min="11782" max="11782" width="8.26171875" style="225" customWidth="1"/>
    <col min="11783" max="11788" width="7.734375" style="225" customWidth="1"/>
    <col min="11789" max="11789" width="8.26171875" style="225" customWidth="1"/>
    <col min="11790" max="11791" width="7.734375" style="225" customWidth="1"/>
    <col min="11792" max="11797" width="6.62890625" style="225" customWidth="1"/>
    <col min="11798" max="12032" width="10.83984375" style="225"/>
    <col min="12033" max="12033" width="2.68359375" style="225" customWidth="1"/>
    <col min="12034" max="12034" width="6.7890625" style="225" customWidth="1"/>
    <col min="12035" max="12036" width="8.26171875" style="225" customWidth="1"/>
    <col min="12037" max="12037" width="7.734375" style="225" customWidth="1"/>
    <col min="12038" max="12038" width="8.26171875" style="225" customWidth="1"/>
    <col min="12039" max="12044" width="7.734375" style="225" customWidth="1"/>
    <col min="12045" max="12045" width="8.26171875" style="225" customWidth="1"/>
    <col min="12046" max="12047" width="7.734375" style="225" customWidth="1"/>
    <col min="12048" max="12053" width="6.62890625" style="225" customWidth="1"/>
    <col min="12054" max="12288" width="10.83984375" style="225"/>
    <col min="12289" max="12289" width="2.68359375" style="225" customWidth="1"/>
    <col min="12290" max="12290" width="6.7890625" style="225" customWidth="1"/>
    <col min="12291" max="12292" width="8.26171875" style="225" customWidth="1"/>
    <col min="12293" max="12293" width="7.734375" style="225" customWidth="1"/>
    <col min="12294" max="12294" width="8.26171875" style="225" customWidth="1"/>
    <col min="12295" max="12300" width="7.734375" style="225" customWidth="1"/>
    <col min="12301" max="12301" width="8.26171875" style="225" customWidth="1"/>
    <col min="12302" max="12303" width="7.734375" style="225" customWidth="1"/>
    <col min="12304" max="12309" width="6.62890625" style="225" customWidth="1"/>
    <col min="12310" max="12544" width="10.83984375" style="225"/>
    <col min="12545" max="12545" width="2.68359375" style="225" customWidth="1"/>
    <col min="12546" max="12546" width="6.7890625" style="225" customWidth="1"/>
    <col min="12547" max="12548" width="8.26171875" style="225" customWidth="1"/>
    <col min="12549" max="12549" width="7.734375" style="225" customWidth="1"/>
    <col min="12550" max="12550" width="8.26171875" style="225" customWidth="1"/>
    <col min="12551" max="12556" width="7.734375" style="225" customWidth="1"/>
    <col min="12557" max="12557" width="8.26171875" style="225" customWidth="1"/>
    <col min="12558" max="12559" width="7.734375" style="225" customWidth="1"/>
    <col min="12560" max="12565" width="6.62890625" style="225" customWidth="1"/>
    <col min="12566" max="12800" width="10.83984375" style="225"/>
    <col min="12801" max="12801" width="2.68359375" style="225" customWidth="1"/>
    <col min="12802" max="12802" width="6.7890625" style="225" customWidth="1"/>
    <col min="12803" max="12804" width="8.26171875" style="225" customWidth="1"/>
    <col min="12805" max="12805" width="7.734375" style="225" customWidth="1"/>
    <col min="12806" max="12806" width="8.26171875" style="225" customWidth="1"/>
    <col min="12807" max="12812" width="7.734375" style="225" customWidth="1"/>
    <col min="12813" max="12813" width="8.26171875" style="225" customWidth="1"/>
    <col min="12814" max="12815" width="7.734375" style="225" customWidth="1"/>
    <col min="12816" max="12821" width="6.62890625" style="225" customWidth="1"/>
    <col min="12822" max="13056" width="10.83984375" style="225"/>
    <col min="13057" max="13057" width="2.68359375" style="225" customWidth="1"/>
    <col min="13058" max="13058" width="6.7890625" style="225" customWidth="1"/>
    <col min="13059" max="13060" width="8.26171875" style="225" customWidth="1"/>
    <col min="13061" max="13061" width="7.734375" style="225" customWidth="1"/>
    <col min="13062" max="13062" width="8.26171875" style="225" customWidth="1"/>
    <col min="13063" max="13068" width="7.734375" style="225" customWidth="1"/>
    <col min="13069" max="13069" width="8.26171875" style="225" customWidth="1"/>
    <col min="13070" max="13071" width="7.734375" style="225" customWidth="1"/>
    <col min="13072" max="13077" width="6.62890625" style="225" customWidth="1"/>
    <col min="13078" max="13312" width="10.83984375" style="225"/>
    <col min="13313" max="13313" width="2.68359375" style="225" customWidth="1"/>
    <col min="13314" max="13314" width="6.7890625" style="225" customWidth="1"/>
    <col min="13315" max="13316" width="8.26171875" style="225" customWidth="1"/>
    <col min="13317" max="13317" width="7.734375" style="225" customWidth="1"/>
    <col min="13318" max="13318" width="8.26171875" style="225" customWidth="1"/>
    <col min="13319" max="13324" width="7.734375" style="225" customWidth="1"/>
    <col min="13325" max="13325" width="8.26171875" style="225" customWidth="1"/>
    <col min="13326" max="13327" width="7.734375" style="225" customWidth="1"/>
    <col min="13328" max="13333" width="6.62890625" style="225" customWidth="1"/>
    <col min="13334" max="13568" width="10.83984375" style="225"/>
    <col min="13569" max="13569" width="2.68359375" style="225" customWidth="1"/>
    <col min="13570" max="13570" width="6.7890625" style="225" customWidth="1"/>
    <col min="13571" max="13572" width="8.26171875" style="225" customWidth="1"/>
    <col min="13573" max="13573" width="7.734375" style="225" customWidth="1"/>
    <col min="13574" max="13574" width="8.26171875" style="225" customWidth="1"/>
    <col min="13575" max="13580" width="7.734375" style="225" customWidth="1"/>
    <col min="13581" max="13581" width="8.26171875" style="225" customWidth="1"/>
    <col min="13582" max="13583" width="7.734375" style="225" customWidth="1"/>
    <col min="13584" max="13589" width="6.62890625" style="225" customWidth="1"/>
    <col min="13590" max="13824" width="10.83984375" style="225"/>
    <col min="13825" max="13825" width="2.68359375" style="225" customWidth="1"/>
    <col min="13826" max="13826" width="6.7890625" style="225" customWidth="1"/>
    <col min="13827" max="13828" width="8.26171875" style="225" customWidth="1"/>
    <col min="13829" max="13829" width="7.734375" style="225" customWidth="1"/>
    <col min="13830" max="13830" width="8.26171875" style="225" customWidth="1"/>
    <col min="13831" max="13836" width="7.734375" style="225" customWidth="1"/>
    <col min="13837" max="13837" width="8.26171875" style="225" customWidth="1"/>
    <col min="13838" max="13839" width="7.734375" style="225" customWidth="1"/>
    <col min="13840" max="13845" width="6.62890625" style="225" customWidth="1"/>
    <col min="13846" max="14080" width="10.83984375" style="225"/>
    <col min="14081" max="14081" width="2.68359375" style="225" customWidth="1"/>
    <col min="14082" max="14082" width="6.7890625" style="225" customWidth="1"/>
    <col min="14083" max="14084" width="8.26171875" style="225" customWidth="1"/>
    <col min="14085" max="14085" width="7.734375" style="225" customWidth="1"/>
    <col min="14086" max="14086" width="8.26171875" style="225" customWidth="1"/>
    <col min="14087" max="14092" width="7.734375" style="225" customWidth="1"/>
    <col min="14093" max="14093" width="8.26171875" style="225" customWidth="1"/>
    <col min="14094" max="14095" width="7.734375" style="225" customWidth="1"/>
    <col min="14096" max="14101" width="6.62890625" style="225" customWidth="1"/>
    <col min="14102" max="14336" width="10.83984375" style="225"/>
    <col min="14337" max="14337" width="2.68359375" style="225" customWidth="1"/>
    <col min="14338" max="14338" width="6.7890625" style="225" customWidth="1"/>
    <col min="14339" max="14340" width="8.26171875" style="225" customWidth="1"/>
    <col min="14341" max="14341" width="7.734375" style="225" customWidth="1"/>
    <col min="14342" max="14342" width="8.26171875" style="225" customWidth="1"/>
    <col min="14343" max="14348" width="7.734375" style="225" customWidth="1"/>
    <col min="14349" max="14349" width="8.26171875" style="225" customWidth="1"/>
    <col min="14350" max="14351" width="7.734375" style="225" customWidth="1"/>
    <col min="14352" max="14357" width="6.62890625" style="225" customWidth="1"/>
    <col min="14358" max="14592" width="10.83984375" style="225"/>
    <col min="14593" max="14593" width="2.68359375" style="225" customWidth="1"/>
    <col min="14594" max="14594" width="6.7890625" style="225" customWidth="1"/>
    <col min="14595" max="14596" width="8.26171875" style="225" customWidth="1"/>
    <col min="14597" max="14597" width="7.734375" style="225" customWidth="1"/>
    <col min="14598" max="14598" width="8.26171875" style="225" customWidth="1"/>
    <col min="14599" max="14604" width="7.734375" style="225" customWidth="1"/>
    <col min="14605" max="14605" width="8.26171875" style="225" customWidth="1"/>
    <col min="14606" max="14607" width="7.734375" style="225" customWidth="1"/>
    <col min="14608" max="14613" width="6.62890625" style="225" customWidth="1"/>
    <col min="14614" max="14848" width="10.83984375" style="225"/>
    <col min="14849" max="14849" width="2.68359375" style="225" customWidth="1"/>
    <col min="14850" max="14850" width="6.7890625" style="225" customWidth="1"/>
    <col min="14851" max="14852" width="8.26171875" style="225" customWidth="1"/>
    <col min="14853" max="14853" width="7.734375" style="225" customWidth="1"/>
    <col min="14854" max="14854" width="8.26171875" style="225" customWidth="1"/>
    <col min="14855" max="14860" width="7.734375" style="225" customWidth="1"/>
    <col min="14861" max="14861" width="8.26171875" style="225" customWidth="1"/>
    <col min="14862" max="14863" width="7.734375" style="225" customWidth="1"/>
    <col min="14864" max="14869" width="6.62890625" style="225" customWidth="1"/>
    <col min="14870" max="15104" width="10.83984375" style="225"/>
    <col min="15105" max="15105" width="2.68359375" style="225" customWidth="1"/>
    <col min="15106" max="15106" width="6.7890625" style="225" customWidth="1"/>
    <col min="15107" max="15108" width="8.26171875" style="225" customWidth="1"/>
    <col min="15109" max="15109" width="7.734375" style="225" customWidth="1"/>
    <col min="15110" max="15110" width="8.26171875" style="225" customWidth="1"/>
    <col min="15111" max="15116" width="7.734375" style="225" customWidth="1"/>
    <col min="15117" max="15117" width="8.26171875" style="225" customWidth="1"/>
    <col min="15118" max="15119" width="7.734375" style="225" customWidth="1"/>
    <col min="15120" max="15125" width="6.62890625" style="225" customWidth="1"/>
    <col min="15126" max="15360" width="10.83984375" style="225"/>
    <col min="15361" max="15361" width="2.68359375" style="225" customWidth="1"/>
    <col min="15362" max="15362" width="6.7890625" style="225" customWidth="1"/>
    <col min="15363" max="15364" width="8.26171875" style="225" customWidth="1"/>
    <col min="15365" max="15365" width="7.734375" style="225" customWidth="1"/>
    <col min="15366" max="15366" width="8.26171875" style="225" customWidth="1"/>
    <col min="15367" max="15372" width="7.734375" style="225" customWidth="1"/>
    <col min="15373" max="15373" width="8.26171875" style="225" customWidth="1"/>
    <col min="15374" max="15375" width="7.734375" style="225" customWidth="1"/>
    <col min="15376" max="15381" width="6.62890625" style="225" customWidth="1"/>
    <col min="15382" max="15616" width="10.83984375" style="225"/>
    <col min="15617" max="15617" width="2.68359375" style="225" customWidth="1"/>
    <col min="15618" max="15618" width="6.7890625" style="225" customWidth="1"/>
    <col min="15619" max="15620" width="8.26171875" style="225" customWidth="1"/>
    <col min="15621" max="15621" width="7.734375" style="225" customWidth="1"/>
    <col min="15622" max="15622" width="8.26171875" style="225" customWidth="1"/>
    <col min="15623" max="15628" width="7.734375" style="225" customWidth="1"/>
    <col min="15629" max="15629" width="8.26171875" style="225" customWidth="1"/>
    <col min="15630" max="15631" width="7.734375" style="225" customWidth="1"/>
    <col min="15632" max="15637" width="6.62890625" style="225" customWidth="1"/>
    <col min="15638" max="15872" width="10.83984375" style="225"/>
    <col min="15873" max="15873" width="2.68359375" style="225" customWidth="1"/>
    <col min="15874" max="15874" width="6.7890625" style="225" customWidth="1"/>
    <col min="15875" max="15876" width="8.26171875" style="225" customWidth="1"/>
    <col min="15877" max="15877" width="7.734375" style="225" customWidth="1"/>
    <col min="15878" max="15878" width="8.26171875" style="225" customWidth="1"/>
    <col min="15879" max="15884" width="7.734375" style="225" customWidth="1"/>
    <col min="15885" max="15885" width="8.26171875" style="225" customWidth="1"/>
    <col min="15886" max="15887" width="7.734375" style="225" customWidth="1"/>
    <col min="15888" max="15893" width="6.62890625" style="225" customWidth="1"/>
    <col min="15894" max="16128" width="10.83984375" style="225"/>
    <col min="16129" max="16129" width="2.68359375" style="225" customWidth="1"/>
    <col min="16130" max="16130" width="6.7890625" style="225" customWidth="1"/>
    <col min="16131" max="16132" width="8.26171875" style="225" customWidth="1"/>
    <col min="16133" max="16133" width="7.734375" style="225" customWidth="1"/>
    <col min="16134" max="16134" width="8.26171875" style="225" customWidth="1"/>
    <col min="16135" max="16140" width="7.734375" style="225" customWidth="1"/>
    <col min="16141" max="16141" width="8.26171875" style="225" customWidth="1"/>
    <col min="16142" max="16143" width="7.734375" style="225" customWidth="1"/>
    <col min="16144" max="16149" width="6.62890625" style="225" customWidth="1"/>
    <col min="16150" max="16384" width="10.83984375" style="225"/>
  </cols>
  <sheetData>
    <row r="2" spans="2:17" ht="14.4" x14ac:dyDescent="0.55000000000000004">
      <c r="B2" s="222"/>
      <c r="C2" s="222"/>
      <c r="D2" s="222"/>
      <c r="E2" s="223"/>
      <c r="F2" s="223"/>
      <c r="I2" s="224" t="s">
        <v>276</v>
      </c>
      <c r="J2" s="224"/>
      <c r="K2" s="224"/>
      <c r="L2" s="224"/>
      <c r="M2" s="224"/>
      <c r="N2" s="223"/>
    </row>
    <row r="3" spans="2:17" ht="14.4" x14ac:dyDescent="0.55000000000000004">
      <c r="B3" s="226" t="s">
        <v>373</v>
      </c>
      <c r="C3" s="226"/>
      <c r="D3" s="226"/>
      <c r="E3" s="226"/>
      <c r="F3" s="226"/>
      <c r="G3" s="227"/>
      <c r="H3" s="227"/>
      <c r="I3" s="226">
        <v>2012</v>
      </c>
      <c r="J3" s="226">
        <f t="shared" ref="J3:M4" si="0">I3+1</f>
        <v>2013</v>
      </c>
      <c r="K3" s="226">
        <f t="shared" si="0"/>
        <v>2014</v>
      </c>
      <c r="L3" s="226">
        <f t="shared" si="0"/>
        <v>2015</v>
      </c>
      <c r="M3" s="226">
        <f t="shared" si="0"/>
        <v>2016</v>
      </c>
      <c r="N3" s="276" t="s">
        <v>263</v>
      </c>
    </row>
    <row r="4" spans="2:17" s="231" customFormat="1" ht="14.4" x14ac:dyDescent="0.55000000000000004">
      <c r="B4" s="228"/>
      <c r="C4" s="228"/>
      <c r="D4" s="228"/>
      <c r="E4" s="228"/>
      <c r="F4" s="228"/>
      <c r="G4" s="229"/>
      <c r="H4" s="229"/>
      <c r="I4" s="230">
        <v>1</v>
      </c>
      <c r="J4" s="230">
        <f t="shared" si="0"/>
        <v>2</v>
      </c>
      <c r="K4" s="230">
        <f t="shared" si="0"/>
        <v>3</v>
      </c>
      <c r="L4" s="230">
        <f t="shared" si="0"/>
        <v>4</v>
      </c>
      <c r="M4" s="230">
        <f t="shared" si="0"/>
        <v>5</v>
      </c>
      <c r="N4" s="277" t="s">
        <v>298</v>
      </c>
    </row>
    <row r="5" spans="2:17" s="231" customFormat="1" ht="5.25" customHeight="1" x14ac:dyDescent="0.5">
      <c r="N5" s="278"/>
    </row>
    <row r="6" spans="2:17" ht="12" customHeight="1" x14ac:dyDescent="0.55000000000000004">
      <c r="B6" s="228" t="s">
        <v>78</v>
      </c>
      <c r="C6" s="228"/>
      <c r="D6" s="228"/>
      <c r="E6" s="228"/>
      <c r="F6" s="228"/>
      <c r="G6" s="232"/>
      <c r="H6" s="232"/>
      <c r="I6" s="232">
        <f>'Pro Forma'!G35/1000</f>
        <v>191.03200000000001</v>
      </c>
      <c r="J6" s="232">
        <f>I6*(1+J7)</f>
        <v>196.76296000000002</v>
      </c>
      <c r="K6" s="232">
        <f>J6*(1+K7)</f>
        <v>202.66584880000002</v>
      </c>
      <c r="L6" s="232">
        <f>K6*(1+L7)</f>
        <v>208.74582426400002</v>
      </c>
      <c r="M6" s="232">
        <f>L6*(1+M7)</f>
        <v>215.00819899192004</v>
      </c>
      <c r="N6" s="279">
        <f t="shared" ref="N6:N18" si="1">(M6/I6)^(1/4)-1</f>
        <v>3.0000000000000027E-2</v>
      </c>
    </row>
    <row r="7" spans="2:17" ht="12" customHeight="1" x14ac:dyDescent="0.55000000000000004">
      <c r="B7" s="245" t="s">
        <v>277</v>
      </c>
      <c r="C7" s="228"/>
      <c r="D7" s="228"/>
      <c r="E7" s="228"/>
      <c r="F7" s="228"/>
      <c r="G7" s="233"/>
      <c r="H7" s="233"/>
      <c r="I7" s="287" t="s">
        <v>303</v>
      </c>
      <c r="J7" s="273">
        <v>0.03</v>
      </c>
      <c r="K7" s="274">
        <f>J7</f>
        <v>0.03</v>
      </c>
      <c r="L7" s="274">
        <f>K7</f>
        <v>0.03</v>
      </c>
      <c r="M7" s="275">
        <f>L7</f>
        <v>0.03</v>
      </c>
      <c r="N7" s="280"/>
    </row>
    <row r="8" spans="2:17" ht="12" customHeight="1" x14ac:dyDescent="0.55000000000000004">
      <c r="B8" s="228" t="s">
        <v>193</v>
      </c>
      <c r="C8" s="228"/>
      <c r="D8" s="228"/>
      <c r="E8" s="228"/>
      <c r="F8" s="228"/>
      <c r="G8" s="232"/>
      <c r="H8" s="233"/>
      <c r="I8" s="232">
        <f>I11-I10</f>
        <v>35.340919999999997</v>
      </c>
      <c r="J8" s="232">
        <f>J11-J10</f>
        <v>36.401147600000002</v>
      </c>
      <c r="K8" s="232">
        <f>K11-K10</f>
        <v>37.493182028</v>
      </c>
      <c r="L8" s="232">
        <f>L11-L10</f>
        <v>38.617977488839998</v>
      </c>
      <c r="M8" s="232">
        <f>M11-M10</f>
        <v>39.776516813505204</v>
      </c>
      <c r="N8" s="279">
        <f t="shared" si="1"/>
        <v>3.0000000000000027E-2</v>
      </c>
      <c r="P8" s="234"/>
    </row>
    <row r="9" spans="2:17" ht="12" customHeight="1" x14ac:dyDescent="0.55000000000000004">
      <c r="B9" s="245" t="s">
        <v>278</v>
      </c>
      <c r="C9" s="228"/>
      <c r="D9" s="228"/>
      <c r="E9" s="228"/>
      <c r="F9" s="228"/>
      <c r="G9" s="233"/>
      <c r="H9" s="233"/>
      <c r="I9" s="286">
        <f>I8/I6</f>
        <v>0.18499999999999997</v>
      </c>
      <c r="J9" s="286">
        <f>J8/J6</f>
        <v>0.185</v>
      </c>
      <c r="K9" s="286">
        <f>K8/K6</f>
        <v>0.18499999999999997</v>
      </c>
      <c r="L9" s="286">
        <f>K9</f>
        <v>0.18499999999999997</v>
      </c>
      <c r="M9" s="286">
        <f>L9</f>
        <v>0.18499999999999997</v>
      </c>
      <c r="N9" s="279"/>
      <c r="P9" s="235"/>
    </row>
    <row r="10" spans="2:17" ht="12" customHeight="1" x14ac:dyDescent="0.55000000000000004">
      <c r="B10" s="228" t="s">
        <v>279</v>
      </c>
      <c r="C10" s="223"/>
      <c r="D10" s="223"/>
      <c r="E10" s="223"/>
      <c r="F10" s="281">
        <f>-I10/I6</f>
        <v>5.9999999999999991E-2</v>
      </c>
      <c r="G10" s="236" t="s">
        <v>280</v>
      </c>
      <c r="H10" s="233"/>
      <c r="I10" s="237">
        <f>-'Pro Forma'!G47/1000</f>
        <v>-11.461919999999999</v>
      </c>
      <c r="J10" s="237">
        <f>-J6*$F$10</f>
        <v>-11.805777599999999</v>
      </c>
      <c r="K10" s="237">
        <f>-K6*$F$10</f>
        <v>-12.159950927999999</v>
      </c>
      <c r="L10" s="237">
        <f>-L6*$F$10</f>
        <v>-12.524749455839999</v>
      </c>
      <c r="M10" s="237">
        <f>-M6*$F$10</f>
        <v>-12.9004919395152</v>
      </c>
      <c r="N10" s="279">
        <f t="shared" si="1"/>
        <v>3.0000000000000027E-2</v>
      </c>
      <c r="P10" s="235"/>
    </row>
    <row r="11" spans="2:17" ht="12" customHeight="1" x14ac:dyDescent="0.55000000000000004">
      <c r="B11" s="228" t="s">
        <v>22</v>
      </c>
      <c r="C11" s="228"/>
      <c r="D11" s="223"/>
      <c r="E11" s="223"/>
      <c r="F11" s="245"/>
      <c r="G11" s="228"/>
      <c r="H11" s="233"/>
      <c r="I11" s="232">
        <f>I6*I12</f>
        <v>23.879000000000001</v>
      </c>
      <c r="J11" s="232">
        <f t="shared" ref="J11:M11" si="2">J6*J12</f>
        <v>24.595370000000003</v>
      </c>
      <c r="K11" s="232">
        <f t="shared" si="2"/>
        <v>25.333231100000003</v>
      </c>
      <c r="L11" s="232">
        <f t="shared" si="2"/>
        <v>26.093228033000003</v>
      </c>
      <c r="M11" s="232">
        <f t="shared" si="2"/>
        <v>26.876024873990005</v>
      </c>
      <c r="N11" s="279">
        <f t="shared" si="1"/>
        <v>3.0000000000000027E-2</v>
      </c>
      <c r="P11" s="238"/>
    </row>
    <row r="12" spans="2:17" ht="12" customHeight="1" x14ac:dyDescent="0.55000000000000004">
      <c r="B12" s="245" t="s">
        <v>299</v>
      </c>
      <c r="C12" s="228"/>
      <c r="D12" s="223"/>
      <c r="E12" s="223"/>
      <c r="F12" s="245"/>
      <c r="G12" s="228"/>
      <c r="H12" s="232"/>
      <c r="I12" s="270">
        <v>0.125</v>
      </c>
      <c r="J12" s="271">
        <f>I12</f>
        <v>0.125</v>
      </c>
      <c r="K12" s="271">
        <f>J12</f>
        <v>0.125</v>
      </c>
      <c r="L12" s="271">
        <f>K12</f>
        <v>0.125</v>
      </c>
      <c r="M12" s="272">
        <f>L12</f>
        <v>0.125</v>
      </c>
      <c r="N12" s="279"/>
      <c r="P12" s="238"/>
    </row>
    <row r="13" spans="2:17" ht="4.8" customHeight="1" x14ac:dyDescent="0.55000000000000004">
      <c r="B13" s="228"/>
      <c r="C13" s="228"/>
      <c r="D13" s="223"/>
      <c r="E13" s="223"/>
      <c r="F13" s="245"/>
      <c r="G13" s="228"/>
      <c r="H13" s="232"/>
      <c r="I13" s="283"/>
      <c r="J13" s="284"/>
      <c r="K13" s="284"/>
      <c r="L13" s="284"/>
      <c r="M13" s="284"/>
      <c r="N13" s="279"/>
      <c r="P13" s="238"/>
    </row>
    <row r="14" spans="2:17" ht="12" customHeight="1" x14ac:dyDescent="0.55000000000000004">
      <c r="B14" s="228" t="s">
        <v>281</v>
      </c>
      <c r="C14" s="228"/>
      <c r="D14" s="223"/>
      <c r="E14" s="223"/>
      <c r="F14" s="282">
        <f>'Exhibit 2 (Winfield)'!Y11</f>
        <v>0.35</v>
      </c>
      <c r="G14" s="236" t="s">
        <v>282</v>
      </c>
      <c r="H14" s="232"/>
      <c r="I14" s="232">
        <f>-$F$14*I11</f>
        <v>-8.3576499999999996</v>
      </c>
      <c r="J14" s="232">
        <f>-$F$14*J11</f>
        <v>-8.6083794999999999</v>
      </c>
      <c r="K14" s="232">
        <f>-$F$14*K11</f>
        <v>-8.8666308850000011</v>
      </c>
      <c r="L14" s="232">
        <f>-$F$14*L11</f>
        <v>-9.1326298115500002</v>
      </c>
      <c r="M14" s="232">
        <f>-$F$14*M11</f>
        <v>-9.4066087058965007</v>
      </c>
      <c r="N14" s="279">
        <f t="shared" si="1"/>
        <v>3.0000000000000027E-2</v>
      </c>
    </row>
    <row r="15" spans="2:17" ht="12" customHeight="1" x14ac:dyDescent="0.55000000000000004">
      <c r="B15" s="228" t="s">
        <v>283</v>
      </c>
      <c r="C15" s="228"/>
      <c r="D15" s="223"/>
      <c r="E15" s="223"/>
      <c r="F15" s="245"/>
      <c r="G15" s="228"/>
      <c r="H15" s="232"/>
      <c r="I15" s="232">
        <f>-I10</f>
        <v>11.461919999999999</v>
      </c>
      <c r="J15" s="232">
        <f>-J10</f>
        <v>11.805777599999999</v>
      </c>
      <c r="K15" s="232">
        <f>-K10</f>
        <v>12.159950927999999</v>
      </c>
      <c r="L15" s="232">
        <f>-L10</f>
        <v>12.524749455839999</v>
      </c>
      <c r="M15" s="232">
        <f>-M10</f>
        <v>12.9004919395152</v>
      </c>
      <c r="N15" s="279">
        <f t="shared" si="1"/>
        <v>3.0000000000000027E-2</v>
      </c>
    </row>
    <row r="16" spans="2:17" ht="12" customHeight="1" x14ac:dyDescent="0.55000000000000004">
      <c r="B16" s="228" t="s">
        <v>307</v>
      </c>
      <c r="C16" s="228"/>
      <c r="D16" s="223"/>
      <c r="E16" s="223"/>
      <c r="F16" s="281">
        <f>-P16/I6+0.011</f>
        <v>7.9994999999999997E-2</v>
      </c>
      <c r="G16" s="236" t="s">
        <v>280</v>
      </c>
      <c r="H16" s="232"/>
      <c r="I16" s="232">
        <f>-$F16*I6</f>
        <v>-15.28160484</v>
      </c>
      <c r="J16" s="232">
        <f>-$F16*J6</f>
        <v>-15.7400529852</v>
      </c>
      <c r="K16" s="232">
        <f>-$F16*K6</f>
        <v>-16.212254574756003</v>
      </c>
      <c r="L16" s="232">
        <f>-$F16*L6</f>
        <v>-16.698622211998682</v>
      </c>
      <c r="M16" s="232">
        <f>-$F16*M6</f>
        <v>-17.199580878358642</v>
      </c>
      <c r="N16" s="279">
        <f t="shared" si="1"/>
        <v>3.0000000000000027E-2</v>
      </c>
      <c r="P16" s="232">
        <f>'Pro Forma'!G49/1000</f>
        <v>-13.180252840000001</v>
      </c>
      <c r="Q16" s="225" t="s">
        <v>372</v>
      </c>
    </row>
    <row r="17" spans="2:17" ht="12" customHeight="1" x14ac:dyDescent="0.55000000000000004">
      <c r="B17" s="228" t="s">
        <v>308</v>
      </c>
      <c r="C17" s="228"/>
      <c r="D17" s="223"/>
      <c r="E17" s="223"/>
      <c r="F17" s="281">
        <f>-P17/I6+0.009</f>
        <v>1.0204999999999999E-2</v>
      </c>
      <c r="G17" s="236" t="s">
        <v>280</v>
      </c>
      <c r="H17" s="232"/>
      <c r="I17" s="232">
        <f>-$F$17*I6</f>
        <v>-1.9494815599999999</v>
      </c>
      <c r="J17" s="232">
        <f>-$F$17*J6</f>
        <v>-2.0079660067999998</v>
      </c>
      <c r="K17" s="232">
        <f>-$F$17*K6</f>
        <v>-2.068204987004</v>
      </c>
      <c r="L17" s="232">
        <f>-$F$17*L6</f>
        <v>-2.1302511366141199</v>
      </c>
      <c r="M17" s="232">
        <f>-$F$17*M6</f>
        <v>-2.1941586707125436</v>
      </c>
      <c r="N17" s="279">
        <f t="shared" si="1"/>
        <v>3.0000000000000027E-2</v>
      </c>
      <c r="P17" s="232">
        <f>'Pro Forma'!G48/1000</f>
        <v>-0.23019355999999999</v>
      </c>
      <c r="Q17" s="225" t="s">
        <v>371</v>
      </c>
    </row>
    <row r="18" spans="2:17" ht="12" customHeight="1" x14ac:dyDescent="0.55000000000000004">
      <c r="B18" s="223" t="s">
        <v>284</v>
      </c>
      <c r="C18" s="223"/>
      <c r="D18" s="223"/>
      <c r="E18" s="223"/>
      <c r="F18" s="223"/>
      <c r="G18" s="239"/>
      <c r="H18" s="239"/>
      <c r="I18" s="240">
        <f>I11+I14+I15+I16+I17</f>
        <v>9.7521836000000004</v>
      </c>
      <c r="J18" s="240">
        <f>J11+J14+J15+J16+J17</f>
        <v>10.044749108000003</v>
      </c>
      <c r="K18" s="240">
        <f>K11+K14+K15+K16+K17</f>
        <v>10.346091581239998</v>
      </c>
      <c r="L18" s="240">
        <f>L11+L14+L15+L16+L17</f>
        <v>10.656474328677199</v>
      </c>
      <c r="M18" s="240">
        <f>M11+M14+M15+M16+M17</f>
        <v>10.976168558537516</v>
      </c>
      <c r="N18" s="279">
        <f t="shared" si="1"/>
        <v>3.0000000000000027E-2</v>
      </c>
    </row>
    <row r="19" spans="2:17" ht="12" customHeight="1" x14ac:dyDescent="0.55000000000000004">
      <c r="B19" s="245" t="s">
        <v>277</v>
      </c>
      <c r="C19" s="223"/>
      <c r="D19" s="223"/>
      <c r="E19" s="223"/>
      <c r="F19" s="223"/>
      <c r="G19" s="239"/>
      <c r="H19" s="239"/>
      <c r="I19" s="287" t="s">
        <v>303</v>
      </c>
      <c r="J19" s="286">
        <f>J18/I18-1</f>
        <v>3.0000000000000249E-2</v>
      </c>
      <c r="K19" s="286">
        <f>K18/J18-1</f>
        <v>2.9999999999999361E-2</v>
      </c>
      <c r="L19" s="286">
        <f>L18/K18-1</f>
        <v>3.0000000000000027E-2</v>
      </c>
      <c r="M19" s="286">
        <f>M18/L18-1</f>
        <v>3.0000000000000249E-2</v>
      </c>
      <c r="N19" s="279"/>
    </row>
    <row r="20" spans="2:17" s="231" customFormat="1" ht="4.5" customHeight="1" x14ac:dyDescent="0.55000000000000004">
      <c r="B20" s="223"/>
      <c r="C20" s="223"/>
      <c r="D20" s="223"/>
      <c r="E20" s="223"/>
      <c r="F20" s="241"/>
      <c r="G20" s="223"/>
      <c r="H20" s="223"/>
      <c r="I20" s="223"/>
      <c r="J20" s="223"/>
      <c r="K20" s="223"/>
      <c r="L20" s="242"/>
      <c r="M20" s="228"/>
    </row>
    <row r="21" spans="2:17" s="231" customFormat="1" ht="12" customHeight="1" x14ac:dyDescent="0.55000000000000004">
      <c r="B21" s="223" t="s">
        <v>285</v>
      </c>
      <c r="C21" s="223"/>
      <c r="D21" s="223"/>
      <c r="E21" s="223"/>
      <c r="F21" s="241"/>
      <c r="G21" s="223"/>
      <c r="H21" s="223"/>
      <c r="I21" s="223"/>
      <c r="J21" s="223"/>
      <c r="K21" s="223"/>
      <c r="L21" s="243" t="s">
        <v>286</v>
      </c>
      <c r="M21" s="239">
        <f>M18*(1+F46)/(F45-F46)</f>
        <v>189.15021586365236</v>
      </c>
    </row>
    <row r="22" spans="2:17" s="231" customFormat="1" ht="3.75" customHeight="1" x14ac:dyDescent="0.55000000000000004">
      <c r="B22" s="228"/>
      <c r="C22" s="228"/>
      <c r="D22" s="228"/>
      <c r="E22" s="228"/>
      <c r="F22" s="228"/>
      <c r="G22" s="244"/>
      <c r="H22" s="244"/>
      <c r="I22" s="244"/>
      <c r="J22" s="244"/>
      <c r="K22" s="244"/>
      <c r="L22" s="244"/>
      <c r="M22" s="228"/>
    </row>
    <row r="23" spans="2:17" s="231" customFormat="1" ht="12" customHeight="1" x14ac:dyDescent="0.55000000000000004">
      <c r="B23" s="245" t="s">
        <v>287</v>
      </c>
      <c r="C23" s="245"/>
      <c r="D23" s="245"/>
      <c r="E23" s="228"/>
      <c r="F23" s="246"/>
      <c r="G23" s="247"/>
      <c r="H23" s="247"/>
      <c r="I23" s="247">
        <f>1/(1+$F$45)^I4</f>
        <v>0.9266213879645665</v>
      </c>
      <c r="J23" s="247">
        <f>1/(1+$F$45)^J4</f>
        <v>0.8586271966333795</v>
      </c>
      <c r="K23" s="247">
        <f>1/(1+$F$45)^K4</f>
        <v>0.79562232468854688</v>
      </c>
      <c r="L23" s="247">
        <f>1/(1+$F$45)^L4</f>
        <v>0.7372406627984962</v>
      </c>
      <c r="M23" s="247">
        <f>1/(1+$F$45)^M4</f>
        <v>0.68314296622625958</v>
      </c>
    </row>
    <row r="24" spans="2:17" s="231" customFormat="1" ht="4.5" customHeight="1" x14ac:dyDescent="0.55000000000000004">
      <c r="B24" s="223"/>
      <c r="C24" s="223"/>
      <c r="D24" s="223"/>
      <c r="E24" s="223"/>
      <c r="F24" s="241"/>
      <c r="G24" s="223"/>
      <c r="H24" s="223"/>
      <c r="I24" s="223"/>
      <c r="J24" s="223"/>
      <c r="K24" s="223"/>
      <c r="L24" s="242"/>
      <c r="M24" s="228"/>
    </row>
    <row r="25" spans="2:17" s="231" customFormat="1" ht="12" customHeight="1" x14ac:dyDescent="0.55000000000000004">
      <c r="B25" s="223" t="str">
        <f>"DCF of FCF (@ "&amp;TEXT($F$45,"#0.0%")&amp;" WACC) …......................................................"</f>
        <v>DCF of FCF (@ 7.9% WACC) …......................................................</v>
      </c>
      <c r="C25" s="223"/>
      <c r="D25" s="223"/>
      <c r="E25" s="228"/>
      <c r="F25" s="372">
        <f>SUM(I25:M25)</f>
        <v>41.247536649959599</v>
      </c>
      <c r="G25" s="249"/>
      <c r="H25" s="249"/>
      <c r="I25" s="232">
        <f>I18*I23</f>
        <v>9.036581903117284</v>
      </c>
      <c r="J25" s="232">
        <f>J18*J23</f>
        <v>8.6246947674876822</v>
      </c>
      <c r="K25" s="232">
        <f>K18*K23</f>
        <v>8.2315814353067704</v>
      </c>
      <c r="L25" s="232">
        <f>L18*L23</f>
        <v>7.8563861971691376</v>
      </c>
      <c r="M25" s="232">
        <f>M18*M23</f>
        <v>7.4982923468787268</v>
      </c>
    </row>
    <row r="26" spans="2:17" s="231" customFormat="1" ht="2.7" customHeight="1" x14ac:dyDescent="0.55000000000000004">
      <c r="B26" s="223"/>
      <c r="C26" s="223"/>
      <c r="D26" s="223"/>
      <c r="E26" s="223"/>
      <c r="F26" s="250"/>
      <c r="G26" s="223"/>
      <c r="H26" s="223"/>
      <c r="I26" s="223"/>
      <c r="J26" s="223"/>
      <c r="K26" s="223"/>
      <c r="L26" s="242"/>
      <c r="M26" s="228"/>
    </row>
    <row r="27" spans="2:17" s="231" customFormat="1" ht="12" customHeight="1" x14ac:dyDescent="0.55000000000000004">
      <c r="B27" s="223" t="str">
        <f>"DCF of TV (@ "&amp;TEXT($F$45,"#0.0%")&amp;" WACC) …..............................................................."</f>
        <v>DCF of TV (@ 7.9% WACC) …...............................................................</v>
      </c>
      <c r="C27" s="223"/>
      <c r="D27" s="223"/>
      <c r="E27" s="228"/>
      <c r="F27" s="372">
        <f>M27</f>
        <v>129.21663952743279</v>
      </c>
      <c r="G27" s="244"/>
      <c r="H27" s="244"/>
      <c r="I27" s="244"/>
      <c r="J27" s="244"/>
      <c r="K27" s="244"/>
      <c r="L27" s="243" t="s">
        <v>288</v>
      </c>
      <c r="M27" s="239">
        <f>M21*M23</f>
        <v>129.21663952743279</v>
      </c>
    </row>
    <row r="28" spans="2:17" s="231" customFormat="1" ht="3.9" customHeight="1" x14ac:dyDescent="0.55000000000000004">
      <c r="B28" s="223"/>
      <c r="C28" s="223"/>
      <c r="D28" s="223"/>
      <c r="E28" s="228"/>
      <c r="F28" s="285"/>
      <c r="G28" s="244"/>
      <c r="H28" s="244"/>
      <c r="I28" s="244"/>
      <c r="J28" s="244"/>
      <c r="K28" s="244"/>
      <c r="L28" s="243"/>
      <c r="M28" s="239"/>
    </row>
    <row r="29" spans="2:17" s="231" customFormat="1" ht="12.6" customHeight="1" x14ac:dyDescent="0.55000000000000004">
      <c r="B29" s="223" t="s">
        <v>370</v>
      </c>
      <c r="C29" s="223"/>
      <c r="D29" s="223"/>
      <c r="E29" s="228"/>
      <c r="F29" s="248">
        <f>F25+F27</f>
        <v>170.4641761773924</v>
      </c>
      <c r="G29" s="244"/>
      <c r="H29" s="244"/>
      <c r="I29" s="244"/>
      <c r="J29" s="244"/>
      <c r="K29" s="244"/>
      <c r="L29" s="243"/>
      <c r="M29" s="239"/>
    </row>
    <row r="30" spans="2:17" s="231" customFormat="1" ht="11.7" customHeight="1" x14ac:dyDescent="0.5"/>
    <row r="31" spans="2:17" s="231" customFormat="1" ht="14.05" customHeight="1" x14ac:dyDescent="0.55000000000000004">
      <c r="B31" s="251" t="s">
        <v>289</v>
      </c>
      <c r="C31" s="251"/>
      <c r="D31" s="251"/>
      <c r="E31" s="252"/>
      <c r="F31" s="252"/>
      <c r="G31" s="252"/>
      <c r="H31" s="228"/>
      <c r="I31" s="251" t="s">
        <v>305</v>
      </c>
      <c r="J31" s="251"/>
      <c r="K31" s="251"/>
      <c r="L31" s="251"/>
      <c r="M31" s="251"/>
      <c r="N31" s="251"/>
    </row>
    <row r="32" spans="2:17" s="231" customFormat="1" ht="9" customHeight="1" x14ac:dyDescent="0.55000000000000004">
      <c r="B32" s="373"/>
      <c r="C32" s="373"/>
      <c r="D32" s="373"/>
      <c r="E32" s="374"/>
      <c r="F32" s="374"/>
      <c r="G32" s="374"/>
      <c r="H32" s="228"/>
      <c r="I32" s="373"/>
      <c r="J32" s="373"/>
      <c r="K32" s="373"/>
      <c r="L32" s="373"/>
      <c r="M32" s="373"/>
      <c r="N32" s="373"/>
    </row>
    <row r="33" spans="2:22" s="231" customFormat="1" ht="14.4" customHeight="1" thickBot="1" x14ac:dyDescent="0.6">
      <c r="B33" s="223" t="s">
        <v>290</v>
      </c>
      <c r="C33" s="223"/>
      <c r="D33" s="223"/>
      <c r="E33" s="228"/>
      <c r="F33" s="232">
        <f>F25</f>
        <v>41.247536649959599</v>
      </c>
      <c r="G33" s="253">
        <f>F33/$F$35</f>
        <v>0.24197187687714294</v>
      </c>
      <c r="H33" s="228"/>
      <c r="I33" s="228"/>
      <c r="J33" s="254" t="s">
        <v>291</v>
      </c>
      <c r="K33" s="254"/>
      <c r="L33" s="254"/>
      <c r="M33" s="254"/>
      <c r="N33" s="254"/>
    </row>
    <row r="34" spans="2:22" s="231" customFormat="1" ht="14.4" customHeight="1" x14ac:dyDescent="0.55000000000000004">
      <c r="B34" s="223" t="s">
        <v>292</v>
      </c>
      <c r="C34" s="223"/>
      <c r="D34" s="223"/>
      <c r="E34" s="228"/>
      <c r="F34" s="237">
        <f>F27</f>
        <v>129.21663952743279</v>
      </c>
      <c r="G34" s="255">
        <f>F34/$F$35</f>
        <v>0.75802812312285694</v>
      </c>
      <c r="H34" s="228"/>
      <c r="I34" s="256">
        <f>$F$35</f>
        <v>170.4641761773924</v>
      </c>
      <c r="J34" s="257">
        <v>0</v>
      </c>
      <c r="K34" s="257">
        <v>0.01</v>
      </c>
      <c r="L34" s="292">
        <v>0.02</v>
      </c>
      <c r="M34" s="257">
        <v>2.5000000000000001E-2</v>
      </c>
      <c r="N34" s="257">
        <v>0.03</v>
      </c>
    </row>
    <row r="35" spans="2:22" s="231" customFormat="1" ht="14.4" customHeight="1" x14ac:dyDescent="0.55000000000000004">
      <c r="B35" s="223" t="s">
        <v>345</v>
      </c>
      <c r="C35" s="223"/>
      <c r="D35" s="223"/>
      <c r="E35" s="228"/>
      <c r="F35" s="239">
        <f>SUM(F33:F34)</f>
        <v>170.4641761773924</v>
      </c>
      <c r="G35" s="253">
        <f>F35/$F$35</f>
        <v>1</v>
      </c>
      <c r="H35" s="258"/>
      <c r="I35" s="289">
        <v>7.0999999999999994E-2</v>
      </c>
      <c r="J35" s="232">
        <f t="dataTable" ref="J35:N39" dt2D="1" dtr="1" r1="F46" r2="F45" ca="1"/>
        <v>151.88318622790828</v>
      </c>
      <c r="K35" s="232">
        <v>171.14533357575399</v>
      </c>
      <c r="L35" s="232">
        <v>197.96126419726465</v>
      </c>
      <c r="M35" s="232">
        <v>215.74139210935328</v>
      </c>
      <c r="N35" s="232">
        <v>237.85813658536594</v>
      </c>
    </row>
    <row r="36" spans="2:22" ht="14.4" customHeight="1" x14ac:dyDescent="0.55000000000000004">
      <c r="B36" s="228" t="s">
        <v>344</v>
      </c>
      <c r="C36" s="223"/>
      <c r="D36" s="223"/>
      <c r="E36" s="223"/>
      <c r="F36" s="237">
        <v>0</v>
      </c>
      <c r="G36" s="223"/>
      <c r="H36" s="288"/>
      <c r="I36" s="289">
        <v>7.4999999999999997E-2</v>
      </c>
      <c r="J36" s="232">
        <v>143.65776149735399</v>
      </c>
      <c r="K36" s="232">
        <v>160.51716833129794</v>
      </c>
      <c r="L36" s="232">
        <v>183.50726855940334</v>
      </c>
      <c r="M36" s="232">
        <v>198.45083370767185</v>
      </c>
      <c r="N36" s="232">
        <v>216.71519111111115</v>
      </c>
    </row>
    <row r="37" spans="2:22" ht="14.4" customHeight="1" x14ac:dyDescent="0.55000000000000004">
      <c r="B37" s="223" t="s">
        <v>346</v>
      </c>
      <c r="C37" s="223"/>
      <c r="D37" s="223"/>
      <c r="E37" s="223"/>
      <c r="F37" s="239">
        <f>F35+F36</f>
        <v>170.4641761773924</v>
      </c>
      <c r="G37" s="223"/>
      <c r="H37" s="288" t="s">
        <v>293</v>
      </c>
      <c r="I37" s="293">
        <v>7.9189421902529603E-2</v>
      </c>
      <c r="J37" s="232">
        <v>135.93559178070686</v>
      </c>
      <c r="K37" s="232">
        <v>150.70466263977266</v>
      </c>
      <c r="L37" s="291">
        <v>170.4641761773924</v>
      </c>
      <c r="M37" s="232">
        <v>183.07871671633927</v>
      </c>
      <c r="N37" s="232">
        <v>198.25773962792783</v>
      </c>
    </row>
    <row r="38" spans="2:22" ht="14.4" customHeight="1" x14ac:dyDescent="0.55000000000000004">
      <c r="B38" s="223"/>
      <c r="C38" s="223"/>
      <c r="D38" s="223"/>
      <c r="E38" s="223"/>
      <c r="F38" s="239"/>
      <c r="G38" s="223"/>
      <c r="H38" s="371"/>
      <c r="I38" s="289">
        <v>8.2000000000000003E-2</v>
      </c>
      <c r="J38" s="232">
        <v>131.19823776790221</v>
      </c>
      <c r="K38" s="232">
        <v>144.76247497192577</v>
      </c>
      <c r="L38" s="232">
        <v>162.70227256434396</v>
      </c>
      <c r="M38" s="232">
        <v>174.03267104376602</v>
      </c>
      <c r="N38" s="232">
        <v>187.54199230769228</v>
      </c>
    </row>
    <row r="39" spans="2:22" ht="14.4" customHeight="1" x14ac:dyDescent="0.55000000000000004">
      <c r="B39" s="264" t="s">
        <v>343</v>
      </c>
      <c r="C39" s="223"/>
      <c r="D39" s="223"/>
      <c r="E39" s="223"/>
      <c r="F39" s="290">
        <f>F37/(I11+I14)</f>
        <v>10.982561193284887</v>
      </c>
      <c r="G39" s="223"/>
      <c r="H39" s="371"/>
      <c r="I39" s="289">
        <v>8.5999999999999993E-2</v>
      </c>
      <c r="J39" s="232">
        <v>124.99130064550101</v>
      </c>
      <c r="K39" s="232">
        <v>137.06441803081657</v>
      </c>
      <c r="L39" s="232">
        <v>152.79605583592468</v>
      </c>
      <c r="M39" s="232">
        <v>162.59609250140187</v>
      </c>
      <c r="N39" s="232">
        <v>174.14613571428572</v>
      </c>
    </row>
    <row r="40" spans="2:22" ht="14.4" customHeight="1" x14ac:dyDescent="0.55000000000000004">
      <c r="G40" s="223"/>
      <c r="H40" s="259"/>
      <c r="I40" s="260"/>
      <c r="J40" s="232"/>
      <c r="K40" s="232"/>
      <c r="L40" s="232"/>
      <c r="M40" s="232"/>
      <c r="N40" s="232"/>
    </row>
    <row r="41" spans="2:22" ht="14.4" customHeight="1" thickBot="1" x14ac:dyDescent="0.6">
      <c r="G41" s="223"/>
      <c r="H41" s="228"/>
      <c r="I41" s="228"/>
      <c r="J41" s="254" t="s">
        <v>294</v>
      </c>
      <c r="K41" s="254"/>
      <c r="L41" s="254"/>
      <c r="M41" s="254"/>
      <c r="N41" s="254"/>
    </row>
    <row r="42" spans="2:22" ht="14.4" customHeight="1" x14ac:dyDescent="0.55000000000000004">
      <c r="G42" s="223"/>
      <c r="H42" s="228"/>
      <c r="I42" s="256">
        <f>$F$35</f>
        <v>170.4641761773924</v>
      </c>
      <c r="J42" s="257">
        <v>0.01</v>
      </c>
      <c r="K42" s="257">
        <v>0.02</v>
      </c>
      <c r="L42" s="292">
        <v>0.03</v>
      </c>
      <c r="M42" s="257">
        <v>0.04</v>
      </c>
      <c r="N42" s="257">
        <v>0.05</v>
      </c>
    </row>
    <row r="43" spans="2:22" ht="14.4" customHeight="1" x14ac:dyDescent="0.55000000000000004">
      <c r="G43" s="223"/>
      <c r="H43" s="416" t="s">
        <v>304</v>
      </c>
      <c r="I43" s="289">
        <v>0.10549</v>
      </c>
      <c r="J43" s="232">
        <f t="dataTable" ref="J43:N47" dt2D="1" dtr="1" r1="J7" r2="I12"/>
        <v>119.66610789699475</v>
      </c>
      <c r="K43" s="232">
        <v>123.83312856256758</v>
      </c>
      <c r="L43" s="232">
        <v>128.11860418535318</v>
      </c>
      <c r="M43" s="232">
        <v>132.52481303999375</v>
      </c>
      <c r="N43" s="232">
        <v>137.05405531188788</v>
      </c>
    </row>
    <row r="44" spans="2:22" ht="14.4" customHeight="1" x14ac:dyDescent="0.55000000000000004">
      <c r="B44" s="251" t="s">
        <v>295</v>
      </c>
      <c r="C44" s="252"/>
      <c r="D44" s="252"/>
      <c r="E44" s="252"/>
      <c r="F44" s="252"/>
      <c r="H44" s="417"/>
      <c r="I44" s="289">
        <v>0.115</v>
      </c>
      <c r="J44" s="232">
        <v>138.94536160681594</v>
      </c>
      <c r="K44" s="232">
        <v>143.78372564636066</v>
      </c>
      <c r="L44" s="232">
        <v>148.75962876988893</v>
      </c>
      <c r="M44" s="232">
        <v>153.87571630195924</v>
      </c>
      <c r="N44" s="232">
        <v>159.13465900789981</v>
      </c>
    </row>
    <row r="45" spans="2:22" ht="14.4" customHeight="1" x14ac:dyDescent="0.55000000000000004">
      <c r="B45" s="261" t="s">
        <v>296</v>
      </c>
      <c r="C45" s="228"/>
      <c r="D45" s="228"/>
      <c r="E45" s="228"/>
      <c r="F45" s="262">
        <v>7.9189421902529603E-2</v>
      </c>
      <c r="H45" s="417"/>
      <c r="I45" s="293">
        <v>0.125</v>
      </c>
      <c r="J45" s="232">
        <v>159.21797328906746</v>
      </c>
      <c r="K45" s="232">
        <v>164.76227147579596</v>
      </c>
      <c r="L45" s="291">
        <v>170.4641761773924</v>
      </c>
      <c r="M45" s="232">
        <v>176.32671868047169</v>
      </c>
      <c r="N45" s="232">
        <v>182.35295942431617</v>
      </c>
    </row>
    <row r="46" spans="2:22" ht="14.4" customHeight="1" x14ac:dyDescent="0.55000000000000004">
      <c r="B46" s="263" t="s">
        <v>297</v>
      </c>
      <c r="C46" s="228"/>
      <c r="D46" s="228"/>
      <c r="E46" s="228"/>
      <c r="F46" s="262">
        <v>0.02</v>
      </c>
      <c r="I46" s="289">
        <v>0.13500000000000001</v>
      </c>
      <c r="J46" s="232">
        <v>179.4905849713189</v>
      </c>
      <c r="K46" s="232">
        <v>185.74081730523133</v>
      </c>
      <c r="L46" s="232">
        <v>192.16872358489582</v>
      </c>
      <c r="M46" s="232">
        <v>198.77772105898435</v>
      </c>
      <c r="N46" s="232">
        <v>205.57125984073255</v>
      </c>
      <c r="U46" s="265"/>
      <c r="V46" s="265"/>
    </row>
    <row r="47" spans="2:22" ht="14.4" customHeight="1" x14ac:dyDescent="0.55000000000000004">
      <c r="B47" s="264" t="s">
        <v>306</v>
      </c>
      <c r="C47" s="264"/>
      <c r="D47" s="264"/>
      <c r="E47" s="264"/>
      <c r="F47" s="290">
        <f>M21/(M11+M14)</f>
        <v>10.827506428584613</v>
      </c>
      <c r="I47" s="289">
        <v>0.14499999999999999</v>
      </c>
      <c r="J47" s="232">
        <v>199.76319665357039</v>
      </c>
      <c r="K47" s="232">
        <v>206.71936313466659</v>
      </c>
      <c r="L47" s="232">
        <v>213.87327099239926</v>
      </c>
      <c r="M47" s="232">
        <v>221.22872343749685</v>
      </c>
      <c r="N47" s="232">
        <v>228.78956025714893</v>
      </c>
    </row>
    <row r="48" spans="2:22" x14ac:dyDescent="0.5">
      <c r="B48" s="266"/>
      <c r="H48" s="267"/>
      <c r="I48" s="267"/>
      <c r="J48" s="267"/>
      <c r="K48" s="267"/>
      <c r="L48" s="267"/>
      <c r="M48" s="267"/>
      <c r="N48" s="267"/>
    </row>
    <row r="49" spans="2:16" x14ac:dyDescent="0.5">
      <c r="H49" s="267"/>
      <c r="I49" s="267"/>
      <c r="J49" s="267"/>
      <c r="K49" s="267"/>
      <c r="L49" s="267"/>
      <c r="M49" s="267"/>
      <c r="N49" s="267"/>
    </row>
    <row r="50" spans="2:16" ht="4.5" customHeight="1" x14ac:dyDescent="0.5">
      <c r="B50" s="266"/>
      <c r="H50" s="267"/>
      <c r="I50" s="267"/>
      <c r="J50" s="267"/>
      <c r="K50" s="267"/>
      <c r="L50" s="267"/>
      <c r="M50" s="267"/>
      <c r="N50" s="267"/>
    </row>
    <row r="51" spans="2:16" ht="15.6" x14ac:dyDescent="0.6">
      <c r="B51" s="375" t="s">
        <v>353</v>
      </c>
      <c r="H51" s="267"/>
      <c r="I51" s="226">
        <v>2012</v>
      </c>
      <c r="J51" s="226">
        <f t="shared" ref="J51" si="3">I51+1</f>
        <v>2013</v>
      </c>
      <c r="K51" s="226">
        <f t="shared" ref="K51" si="4">J51+1</f>
        <v>2014</v>
      </c>
      <c r="L51" s="226">
        <f t="shared" ref="L51" si="5">K51+1</f>
        <v>2015</v>
      </c>
      <c r="M51" s="226">
        <f t="shared" ref="M51" si="6">L51+1</f>
        <v>2016</v>
      </c>
      <c r="N51" s="267"/>
    </row>
    <row r="52" spans="2:16" ht="9" customHeight="1" x14ac:dyDescent="0.5">
      <c r="N52" s="267"/>
      <c r="O52" s="268"/>
      <c r="P52" s="269"/>
    </row>
    <row r="53" spans="2:16" s="295" customFormat="1" ht="15.6" x14ac:dyDescent="0.6">
      <c r="B53" s="376" t="s">
        <v>352</v>
      </c>
      <c r="N53" s="294"/>
      <c r="O53" s="296"/>
      <c r="P53" s="297"/>
    </row>
    <row r="54" spans="2:16" ht="14.4" x14ac:dyDescent="0.55000000000000004">
      <c r="B54" s="378" t="s">
        <v>347</v>
      </c>
      <c r="C54" s="378"/>
      <c r="D54" s="378"/>
      <c r="E54" s="378"/>
      <c r="F54" s="378"/>
      <c r="G54" s="378"/>
      <c r="H54" s="388"/>
      <c r="I54" s="389">
        <f>I18</f>
        <v>9.7521836000000004</v>
      </c>
      <c r="J54" s="389">
        <f>J18</f>
        <v>10.044749108000003</v>
      </c>
      <c r="K54" s="389">
        <f>K18</f>
        <v>10.346091581239998</v>
      </c>
      <c r="L54" s="389">
        <f>L18</f>
        <v>10.656474328677199</v>
      </c>
      <c r="M54" s="389">
        <f>M18</f>
        <v>10.976168558537516</v>
      </c>
    </row>
    <row r="55" spans="2:16" ht="14.4" x14ac:dyDescent="0.55000000000000004">
      <c r="B55" s="373" t="s">
        <v>348</v>
      </c>
      <c r="C55" s="373"/>
      <c r="D55" s="373"/>
      <c r="E55" s="373"/>
      <c r="F55" s="373"/>
      <c r="G55" s="373"/>
      <c r="H55" s="285"/>
      <c r="I55" s="394">
        <v>2</v>
      </c>
      <c r="J55" s="394">
        <f>I55</f>
        <v>2</v>
      </c>
      <c r="K55" s="394">
        <f t="shared" ref="K55:M55" si="7">J55</f>
        <v>2</v>
      </c>
      <c r="L55" s="394">
        <f t="shared" si="7"/>
        <v>2</v>
      </c>
      <c r="M55" s="394">
        <f t="shared" si="7"/>
        <v>2</v>
      </c>
    </row>
    <row r="56" spans="2:16" ht="14.4" x14ac:dyDescent="0.55000000000000004">
      <c r="B56" s="223" t="s">
        <v>349</v>
      </c>
      <c r="C56" s="223"/>
      <c r="D56" s="223"/>
      <c r="E56" s="223"/>
      <c r="F56" s="223"/>
      <c r="G56" s="223"/>
      <c r="H56" s="223"/>
      <c r="I56" s="239">
        <f>I54/I55</f>
        <v>4.8760918000000002</v>
      </c>
      <c r="J56" s="239">
        <f>J54/J55</f>
        <v>5.0223745540000015</v>
      </c>
      <c r="K56" s="239">
        <f>K54/K55</f>
        <v>5.1730457906199989</v>
      </c>
      <c r="L56" s="239">
        <f>L54/L55</f>
        <v>5.3282371643385993</v>
      </c>
      <c r="M56" s="239">
        <f>M54/M55</f>
        <v>5.4880842792687581</v>
      </c>
    </row>
    <row r="57" spans="2:16" ht="14.4" x14ac:dyDescent="0.55000000000000004">
      <c r="B57" s="223" t="s">
        <v>350</v>
      </c>
      <c r="C57" s="223"/>
      <c r="D57" s="223"/>
      <c r="E57" s="223"/>
      <c r="F57" s="223"/>
      <c r="G57" s="223"/>
      <c r="H57" s="223"/>
      <c r="I57" s="390">
        <f>Bond!C6+0.005</f>
        <v>7.0000000000000007E-2</v>
      </c>
      <c r="J57" s="390">
        <f>I57</f>
        <v>7.0000000000000007E-2</v>
      </c>
      <c r="K57" s="390">
        <f>J57</f>
        <v>7.0000000000000007E-2</v>
      </c>
      <c r="L57" s="390">
        <f>K57</f>
        <v>7.0000000000000007E-2</v>
      </c>
      <c r="M57" s="390">
        <f>L57</f>
        <v>7.0000000000000007E-2</v>
      </c>
    </row>
    <row r="58" spans="2:16" ht="14.4" x14ac:dyDescent="0.55000000000000004">
      <c r="B58" s="223" t="s">
        <v>351</v>
      </c>
      <c r="C58" s="223"/>
      <c r="D58" s="223"/>
      <c r="E58" s="223"/>
      <c r="F58" s="223"/>
      <c r="G58" s="223"/>
      <c r="H58" s="223"/>
      <c r="I58" s="239">
        <f>I56/I57</f>
        <v>69.658454285714285</v>
      </c>
      <c r="J58" s="239">
        <f>J56/J57</f>
        <v>71.748207914285729</v>
      </c>
      <c r="K58" s="239">
        <f>K56/K57</f>
        <v>73.900654151714264</v>
      </c>
      <c r="L58" s="239">
        <f>L56/L57</f>
        <v>76.11767377626569</v>
      </c>
      <c r="M58" s="239">
        <f>M56/M57</f>
        <v>78.401203989553679</v>
      </c>
    </row>
    <row r="59" spans="2:16" ht="14.4" x14ac:dyDescent="0.55000000000000004">
      <c r="B59" s="397" t="s">
        <v>377</v>
      </c>
      <c r="C59" s="378"/>
      <c r="D59" s="378"/>
      <c r="E59" s="378"/>
      <c r="F59" s="378"/>
      <c r="G59" s="378"/>
      <c r="H59" s="378"/>
      <c r="I59" s="398">
        <f>I8</f>
        <v>35.340919999999997</v>
      </c>
      <c r="J59" s="398">
        <f>J8</f>
        <v>36.401147600000002</v>
      </c>
      <c r="K59" s="398">
        <f>K8</f>
        <v>37.493182028</v>
      </c>
      <c r="L59" s="398">
        <f>L8</f>
        <v>38.617977488839998</v>
      </c>
      <c r="M59" s="398">
        <f>M8</f>
        <v>39.776516813505204</v>
      </c>
    </row>
    <row r="60" spans="2:16" ht="14.4" x14ac:dyDescent="0.55000000000000004">
      <c r="B60" s="374" t="s">
        <v>364</v>
      </c>
      <c r="C60" s="223"/>
      <c r="D60" s="223"/>
      <c r="E60" s="223"/>
      <c r="F60" s="223"/>
      <c r="G60" s="223"/>
      <c r="H60" s="223"/>
      <c r="I60" s="290">
        <f>I59/I56</f>
        <v>7.2477962781586669</v>
      </c>
      <c r="J60" s="290">
        <f>J59/J56</f>
        <v>7.247796278158666</v>
      </c>
      <c r="K60" s="290">
        <f>K59/K56</f>
        <v>7.2477962781586696</v>
      </c>
      <c r="L60" s="290">
        <f>L59/L56</f>
        <v>7.2477962781586687</v>
      </c>
      <c r="M60" s="290">
        <f>M59/M56</f>
        <v>7.2477962781586687</v>
      </c>
    </row>
    <row r="61" spans="2:16" ht="14.4" x14ac:dyDescent="0.55000000000000004">
      <c r="B61" s="374" t="s">
        <v>384</v>
      </c>
      <c r="C61" s="223"/>
      <c r="D61" s="223"/>
      <c r="E61" s="223"/>
      <c r="F61" s="223"/>
      <c r="G61" s="223"/>
      <c r="H61" s="223"/>
      <c r="I61" s="290">
        <f>I58/I59</f>
        <v>1.9710424710424712</v>
      </c>
      <c r="J61" s="290">
        <f>J58/J59</f>
        <v>1.9710424710424714</v>
      </c>
      <c r="K61" s="290">
        <f>K58/K59</f>
        <v>1.9710424710424705</v>
      </c>
      <c r="L61" s="290">
        <f>L58/L59</f>
        <v>1.9710424710424705</v>
      </c>
      <c r="M61" s="290">
        <f>M58/M59</f>
        <v>1.9710424710424708</v>
      </c>
    </row>
    <row r="62" spans="2:16" ht="7.2" customHeight="1" x14ac:dyDescent="0.55000000000000004">
      <c r="B62" s="223"/>
      <c r="C62" s="223"/>
      <c r="D62" s="223"/>
      <c r="E62" s="223"/>
      <c r="F62" s="223"/>
      <c r="G62" s="223"/>
      <c r="H62" s="223"/>
      <c r="I62" s="239"/>
      <c r="J62" s="239"/>
      <c r="K62" s="239"/>
      <c r="L62" s="239"/>
      <c r="M62" s="239"/>
    </row>
    <row r="63" spans="2:16" ht="14.4" hidden="1" outlineLevel="1" x14ac:dyDescent="0.55000000000000004">
      <c r="B63" s="391" t="s">
        <v>378</v>
      </c>
      <c r="C63" s="391"/>
      <c r="D63" s="391"/>
      <c r="E63" s="391"/>
      <c r="F63" s="391"/>
      <c r="G63" s="391"/>
      <c r="H63" s="391"/>
      <c r="I63" s="392">
        <f>I58/(125+I58)</f>
        <v>0.35784962200239978</v>
      </c>
      <c r="J63" s="223" t="s">
        <v>383</v>
      </c>
      <c r="K63" s="223"/>
      <c r="L63" s="223"/>
      <c r="M63" s="223"/>
    </row>
    <row r="64" spans="2:16" ht="14.4" collapsed="1" x14ac:dyDescent="0.55000000000000004">
      <c r="B64" s="391" t="s">
        <v>379</v>
      </c>
      <c r="C64" s="391"/>
      <c r="D64" s="391"/>
      <c r="E64" s="391"/>
      <c r="F64" s="391"/>
      <c r="G64" s="391"/>
      <c r="H64" s="391"/>
      <c r="I64" s="392">
        <f>I58/125</f>
        <v>0.55726763428571424</v>
      </c>
      <c r="J64" s="223"/>
      <c r="K64" s="223"/>
      <c r="L64" s="223"/>
      <c r="M64" s="223"/>
    </row>
    <row r="65" spans="2:13" ht="10.199999999999999" customHeight="1" x14ac:dyDescent="0.5"/>
    <row r="66" spans="2:13" ht="15.6" x14ac:dyDescent="0.6">
      <c r="B66" s="377" t="s">
        <v>374</v>
      </c>
      <c r="C66" s="295"/>
      <c r="D66" s="295"/>
      <c r="E66" s="295"/>
      <c r="F66" s="295"/>
      <c r="G66" s="295"/>
      <c r="H66" s="295"/>
      <c r="I66" s="295"/>
      <c r="J66" s="295"/>
      <c r="K66" s="295"/>
      <c r="L66" s="295"/>
      <c r="M66" s="295"/>
    </row>
    <row r="67" spans="2:13" ht="14.4" x14ac:dyDescent="0.55000000000000004">
      <c r="B67" s="400" t="s">
        <v>376</v>
      </c>
      <c r="C67" s="378"/>
      <c r="D67" s="378"/>
      <c r="E67" s="378"/>
      <c r="F67" s="378"/>
      <c r="G67" s="378"/>
      <c r="H67" s="388"/>
      <c r="I67" s="393">
        <f>I54+I81</f>
        <v>5.1578640000000009</v>
      </c>
      <c r="J67" s="393">
        <f>J54+J81</f>
        <v>5.3125999200000038</v>
      </c>
      <c r="K67" s="393">
        <f>K54+K81</f>
        <v>5.4719779175999985</v>
      </c>
      <c r="L67" s="393">
        <f>L54+L81</f>
        <v>5.6361372551279993</v>
      </c>
      <c r="M67" s="393">
        <f>M54+M81</f>
        <v>5.8052213727818414</v>
      </c>
    </row>
    <row r="68" spans="2:13" ht="14.4" x14ac:dyDescent="0.55000000000000004">
      <c r="B68" s="400" t="s">
        <v>368</v>
      </c>
      <c r="C68" s="378"/>
      <c r="D68" s="378"/>
      <c r="E68" s="378"/>
      <c r="F68" s="378"/>
      <c r="G68" s="378"/>
      <c r="H68" s="388"/>
      <c r="I68" s="406">
        <v>1.25</v>
      </c>
      <c r="J68" s="406">
        <f>I68</f>
        <v>1.25</v>
      </c>
      <c r="K68" s="406">
        <f t="shared" ref="K68:M68" si="8">J68</f>
        <v>1.25</v>
      </c>
      <c r="L68" s="406">
        <f t="shared" si="8"/>
        <v>1.25</v>
      </c>
      <c r="M68" s="406">
        <f t="shared" si="8"/>
        <v>1.25</v>
      </c>
    </row>
    <row r="69" spans="2:13" ht="14.4" x14ac:dyDescent="0.55000000000000004">
      <c r="B69" s="223" t="s">
        <v>349</v>
      </c>
      <c r="C69" s="223"/>
      <c r="D69" s="223"/>
      <c r="E69" s="223"/>
      <c r="F69" s="223"/>
      <c r="G69" s="223"/>
      <c r="H69" s="223"/>
      <c r="I69" s="239">
        <f>I67/I68</f>
        <v>4.1262912000000007</v>
      </c>
      <c r="J69" s="239">
        <f>J67/J68</f>
        <v>4.2500799360000032</v>
      </c>
      <c r="K69" s="239">
        <f>K67/K68</f>
        <v>4.3775823340799986</v>
      </c>
      <c r="L69" s="239">
        <f>L67/L68</f>
        <v>4.5089098041023998</v>
      </c>
      <c r="M69" s="239">
        <f>M67/M68</f>
        <v>4.6441770982254731</v>
      </c>
    </row>
    <row r="70" spans="2:13" ht="14.4" x14ac:dyDescent="0.55000000000000004">
      <c r="B70" s="223" t="s">
        <v>350</v>
      </c>
      <c r="C70" s="223"/>
      <c r="D70" s="223"/>
      <c r="E70" s="223"/>
      <c r="F70" s="223"/>
      <c r="G70" s="223"/>
      <c r="H70" s="223"/>
      <c r="I70" s="390">
        <f>I57</f>
        <v>7.0000000000000007E-2</v>
      </c>
      <c r="J70" s="390">
        <f>I70</f>
        <v>7.0000000000000007E-2</v>
      </c>
      <c r="K70" s="390">
        <f>J70</f>
        <v>7.0000000000000007E-2</v>
      </c>
      <c r="L70" s="390">
        <f>K70</f>
        <v>7.0000000000000007E-2</v>
      </c>
      <c r="M70" s="390">
        <f>L70</f>
        <v>7.0000000000000007E-2</v>
      </c>
    </row>
    <row r="71" spans="2:13" ht="14.4" x14ac:dyDescent="0.55000000000000004">
      <c r="B71" s="223" t="s">
        <v>351</v>
      </c>
      <c r="C71" s="223"/>
      <c r="D71" s="223"/>
      <c r="E71" s="223"/>
      <c r="F71" s="223"/>
      <c r="G71" s="223"/>
      <c r="H71" s="223"/>
      <c r="I71" s="239">
        <f>I69/I70</f>
        <v>58.947017142857149</v>
      </c>
      <c r="J71" s="239">
        <f>J69/J70</f>
        <v>60.715427657142897</v>
      </c>
      <c r="K71" s="239">
        <f>K69/K70</f>
        <v>62.536890486857118</v>
      </c>
      <c r="L71" s="239">
        <f>L69/L70</f>
        <v>64.412997201462844</v>
      </c>
      <c r="M71" s="239">
        <f>M69/M70</f>
        <v>66.345387117506746</v>
      </c>
    </row>
    <row r="72" spans="2:13" ht="14.4" x14ac:dyDescent="0.55000000000000004">
      <c r="B72" s="396" t="s">
        <v>375</v>
      </c>
      <c r="C72" s="378"/>
      <c r="D72" s="378"/>
      <c r="E72" s="378"/>
      <c r="F72" s="378"/>
      <c r="G72" s="378"/>
      <c r="H72" s="378"/>
      <c r="I72" s="395">
        <f>I59*0.8</f>
        <v>28.272735999999998</v>
      </c>
      <c r="J72" s="395">
        <f>J59*0.8</f>
        <v>29.120918080000003</v>
      </c>
      <c r="K72" s="395">
        <f>K59*0.8</f>
        <v>29.9945456224</v>
      </c>
      <c r="L72" s="395">
        <f>L59*0.8</f>
        <v>30.894381991071999</v>
      </c>
      <c r="M72" s="395">
        <f>M59*0.8</f>
        <v>31.821213450804166</v>
      </c>
    </row>
    <row r="73" spans="2:13" ht="14.4" x14ac:dyDescent="0.55000000000000004">
      <c r="B73" s="374" t="s">
        <v>364</v>
      </c>
      <c r="C73" s="223"/>
      <c r="D73" s="223"/>
      <c r="E73" s="223"/>
      <c r="F73" s="223"/>
      <c r="G73" s="223"/>
      <c r="H73" s="223"/>
      <c r="I73" s="290">
        <f>I72/I69</f>
        <v>6.8518518518518503</v>
      </c>
      <c r="J73" s="290">
        <f>J72/J69</f>
        <v>6.8518518518518476</v>
      </c>
      <c r="K73" s="290">
        <f>K72/K69</f>
        <v>6.8518518518518539</v>
      </c>
      <c r="L73" s="290">
        <f>L72/L69</f>
        <v>6.8518518518518521</v>
      </c>
      <c r="M73" s="290">
        <f>M72/M69</f>
        <v>6.8518518518518512</v>
      </c>
    </row>
    <row r="74" spans="2:13" ht="14.4" x14ac:dyDescent="0.55000000000000004">
      <c r="B74" s="374" t="s">
        <v>384</v>
      </c>
      <c r="C74" s="223"/>
      <c r="D74" s="223"/>
      <c r="E74" s="223"/>
      <c r="F74" s="223"/>
      <c r="G74" s="223"/>
      <c r="H74" s="223"/>
      <c r="I74" s="290">
        <f>I71/I72</f>
        <v>2.0849420849420852</v>
      </c>
      <c r="J74" s="290">
        <f>J71/J72</f>
        <v>2.0849420849420861</v>
      </c>
      <c r="K74" s="290">
        <f>K71/K72</f>
        <v>2.0849420849420839</v>
      </c>
      <c r="L74" s="290">
        <f>L71/L72</f>
        <v>2.0849420849420848</v>
      </c>
      <c r="M74" s="290">
        <f>M71/M72</f>
        <v>2.0849420849420848</v>
      </c>
    </row>
    <row r="75" spans="2:13" ht="7.2" customHeight="1" x14ac:dyDescent="0.55000000000000004">
      <c r="B75" s="223"/>
      <c r="C75" s="223"/>
      <c r="D75" s="223"/>
      <c r="E75" s="223"/>
      <c r="F75" s="223"/>
      <c r="G75" s="223"/>
      <c r="H75" s="223"/>
      <c r="I75" s="239"/>
      <c r="J75" s="239"/>
      <c r="K75" s="239"/>
      <c r="L75" s="239"/>
      <c r="M75" s="239"/>
    </row>
    <row r="76" spans="2:13" ht="14.4" hidden="1" outlineLevel="1" x14ac:dyDescent="0.55000000000000004">
      <c r="B76" s="391" t="s">
        <v>378</v>
      </c>
      <c r="C76" s="391"/>
      <c r="D76" s="391"/>
      <c r="E76" s="391"/>
      <c r="F76" s="391"/>
      <c r="G76" s="391"/>
      <c r="H76" s="391"/>
      <c r="I76" s="392">
        <f>I71/(125+I71)</f>
        <v>0.32045649915093566</v>
      </c>
      <c r="J76" s="223" t="s">
        <v>383</v>
      </c>
      <c r="K76" s="223"/>
      <c r="L76" s="223"/>
      <c r="M76" s="223"/>
    </row>
    <row r="77" spans="2:13" ht="14.4" collapsed="1" x14ac:dyDescent="0.55000000000000004">
      <c r="B77" s="391" t="s">
        <v>379</v>
      </c>
      <c r="C77" s="391"/>
      <c r="D77" s="391"/>
      <c r="E77" s="391"/>
      <c r="F77" s="391"/>
      <c r="G77" s="391"/>
      <c r="H77" s="391"/>
      <c r="I77" s="392">
        <f>I71/125</f>
        <v>0.47157613714285718</v>
      </c>
      <c r="J77" s="223"/>
    </row>
    <row r="78" spans="2:13" x14ac:dyDescent="0.5">
      <c r="I78" s="267"/>
      <c r="J78" s="267"/>
      <c r="K78" s="267"/>
      <c r="L78" s="267"/>
      <c r="M78" s="267"/>
    </row>
    <row r="79" spans="2:13" x14ac:dyDescent="0.5">
      <c r="B79" s="266" t="s">
        <v>365</v>
      </c>
      <c r="I79" s="267"/>
      <c r="J79" s="267"/>
      <c r="K79" s="267"/>
      <c r="L79" s="267"/>
      <c r="M79" s="267"/>
    </row>
    <row r="80" spans="2:13" x14ac:dyDescent="0.5">
      <c r="B80" s="231" t="s">
        <v>366</v>
      </c>
      <c r="C80" s="231"/>
      <c r="D80" s="231"/>
      <c r="E80" s="231"/>
      <c r="F80" s="231"/>
      <c r="G80" s="231"/>
      <c r="H80" s="231"/>
      <c r="I80" s="399">
        <f>I72-I59</f>
        <v>-7.0681839999999987</v>
      </c>
      <c r="J80" s="399">
        <f t="shared" ref="J80:M80" si="9">J72-J59</f>
        <v>-7.2802295199999989</v>
      </c>
      <c r="K80" s="399">
        <f t="shared" si="9"/>
        <v>-7.4986364055999992</v>
      </c>
      <c r="L80" s="399">
        <f t="shared" si="9"/>
        <v>-7.7235954977679988</v>
      </c>
      <c r="M80" s="399">
        <f t="shared" si="9"/>
        <v>-7.9553033627010379</v>
      </c>
    </row>
    <row r="81" spans="2:13" x14ac:dyDescent="0.5">
      <c r="B81" s="225" t="s">
        <v>367</v>
      </c>
      <c r="I81" s="267">
        <f>I80*(1-$F$14)</f>
        <v>-4.5943195999999995</v>
      </c>
      <c r="J81" s="267">
        <f>J80*(1-$F$14)</f>
        <v>-4.7321491879999993</v>
      </c>
      <c r="K81" s="267">
        <f>K80*(1-$F$14)</f>
        <v>-4.8741136636399993</v>
      </c>
      <c r="L81" s="267">
        <f>L80*(1-$F$14)</f>
        <v>-5.0203370735491992</v>
      </c>
      <c r="M81" s="267">
        <f>M80*(1-$F$14)</f>
        <v>-5.1709471857556748</v>
      </c>
    </row>
  </sheetData>
  <mergeCells count="1">
    <mergeCell ref="H43:H45"/>
  </mergeCells>
  <pageMargins left="0.75" right="0.75" top="0.55000000000000004" bottom="0.37" header="0.4" footer="0.25"/>
  <pageSetup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8FC4-6A21-4F65-802F-4EFBAE366B97}">
  <sheetPr codeName="Hoja10"/>
  <dimension ref="A1:JA32"/>
  <sheetViews>
    <sheetView showGridLines="0" topLeftCell="A4" workbookViewId="0">
      <selection activeCell="I29" sqref="I29"/>
    </sheetView>
  </sheetViews>
  <sheetFormatPr baseColWidth="10" defaultColWidth="8.68359375" defaultRowHeight="12.9" x14ac:dyDescent="0.5"/>
  <cols>
    <col min="1" max="1" width="12.3125" style="301" customWidth="1"/>
    <col min="2" max="2" width="0.62890625" style="301" customWidth="1"/>
    <col min="3" max="3" width="34.15625" style="301" customWidth="1"/>
    <col min="4" max="4" width="0.62890625" style="301" customWidth="1"/>
    <col min="5" max="5" width="12.20703125" style="301" customWidth="1"/>
    <col min="6" max="7" width="0.89453125" style="301" customWidth="1"/>
    <col min="8" max="8" width="12.20703125" style="301" customWidth="1"/>
    <col min="9" max="9" width="0.83984375" style="301" customWidth="1"/>
    <col min="10" max="10" width="12.20703125" style="301" customWidth="1"/>
    <col min="11" max="11" width="0.83984375" style="301" customWidth="1"/>
    <col min="12" max="12" width="12.20703125" style="301" customWidth="1"/>
    <col min="13" max="13" width="0.83984375" style="301" customWidth="1"/>
    <col min="14" max="14" width="45.20703125" style="301" customWidth="1"/>
    <col min="15" max="15" width="3" style="301" customWidth="1"/>
    <col min="16" max="261" width="8.68359375" style="301"/>
    <col min="262" max="16384" width="8.68359375" style="302"/>
  </cols>
  <sheetData>
    <row r="1" spans="1:261" ht="20.7" thickBot="1" x14ac:dyDescent="0.8">
      <c r="A1" s="299" t="s">
        <v>310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</row>
    <row r="2" spans="1:261" ht="13.2" thickTop="1" x14ac:dyDescent="0.5"/>
    <row r="3" spans="1:261" ht="18.3" x14ac:dyDescent="0.7">
      <c r="E3" s="356" t="s">
        <v>334</v>
      </c>
      <c r="F3" s="303"/>
      <c r="H3" s="357" t="s">
        <v>335</v>
      </c>
      <c r="I3" s="358"/>
      <c r="J3" s="357"/>
      <c r="K3" s="358"/>
      <c r="L3" s="358"/>
    </row>
    <row r="4" spans="1:261" ht="6.9" customHeight="1" x14ac:dyDescent="0.5">
      <c r="F4" s="303"/>
    </row>
    <row r="5" spans="1:261" ht="31.2" x14ac:dyDescent="0.6">
      <c r="A5" s="304"/>
      <c r="B5" s="304"/>
      <c r="C5" s="304"/>
      <c r="D5" s="304"/>
      <c r="E5" s="305" t="s">
        <v>333</v>
      </c>
      <c r="F5" s="306"/>
      <c r="G5" s="304"/>
      <c r="H5" s="305" t="s">
        <v>354</v>
      </c>
      <c r="I5" s="304"/>
      <c r="J5" s="305" t="s">
        <v>362</v>
      </c>
      <c r="K5" s="304"/>
      <c r="L5" s="305" t="s">
        <v>355</v>
      </c>
      <c r="M5" s="304"/>
      <c r="N5" s="307" t="s">
        <v>311</v>
      </c>
      <c r="O5" s="304"/>
      <c r="P5" s="304"/>
      <c r="Q5" s="304"/>
      <c r="R5" s="304"/>
      <c r="S5" s="304"/>
      <c r="T5" s="304"/>
      <c r="U5" s="304"/>
      <c r="V5" s="304"/>
      <c r="W5" s="304"/>
      <c r="X5" s="304"/>
      <c r="Y5" s="304"/>
      <c r="Z5" s="304"/>
      <c r="AA5" s="304"/>
      <c r="AB5" s="304"/>
      <c r="AC5" s="304"/>
      <c r="AD5" s="304"/>
      <c r="AE5" s="304"/>
      <c r="AF5" s="304"/>
      <c r="AG5" s="304"/>
      <c r="AH5" s="304"/>
      <c r="AI5" s="304"/>
      <c r="AJ5" s="304"/>
      <c r="AK5" s="304"/>
      <c r="AL5" s="304"/>
      <c r="AM5" s="304"/>
      <c r="AN5" s="304"/>
      <c r="AO5" s="304"/>
      <c r="AP5" s="304"/>
      <c r="AQ5" s="304"/>
      <c r="AR5" s="304"/>
      <c r="AS5" s="304"/>
      <c r="AT5" s="304"/>
      <c r="AU5" s="304"/>
      <c r="AV5" s="304"/>
      <c r="AW5" s="304"/>
      <c r="AX5" s="304"/>
      <c r="AY5" s="304"/>
      <c r="AZ5" s="304"/>
      <c r="BA5" s="304"/>
      <c r="BB5" s="304"/>
      <c r="BC5" s="304"/>
      <c r="BD5" s="304"/>
      <c r="BE5" s="304"/>
      <c r="BF5" s="304"/>
      <c r="BG5" s="304"/>
      <c r="BH5" s="304"/>
      <c r="BI5" s="304"/>
      <c r="BJ5" s="304"/>
      <c r="BK5" s="304"/>
      <c r="BL5" s="304"/>
      <c r="BM5" s="304"/>
      <c r="BN5" s="304"/>
      <c r="BO5" s="304"/>
      <c r="BP5" s="304"/>
      <c r="BQ5" s="304"/>
      <c r="BR5" s="304"/>
      <c r="BS5" s="304"/>
      <c r="BT5" s="304"/>
      <c r="BU5" s="304"/>
      <c r="BV5" s="304"/>
      <c r="BW5" s="304"/>
      <c r="BX5" s="304"/>
      <c r="BY5" s="304"/>
      <c r="BZ5" s="304"/>
      <c r="CA5" s="304"/>
      <c r="CB5" s="304"/>
      <c r="CC5" s="304"/>
      <c r="CD5" s="304"/>
      <c r="CE5" s="304"/>
      <c r="CF5" s="304"/>
      <c r="CG5" s="304"/>
      <c r="CH5" s="304"/>
      <c r="CI5" s="304"/>
      <c r="CJ5" s="304"/>
      <c r="CK5" s="304"/>
      <c r="CL5" s="304"/>
      <c r="CM5" s="304"/>
      <c r="CN5" s="304"/>
      <c r="CO5" s="304"/>
      <c r="CP5" s="304"/>
      <c r="CQ5" s="304"/>
      <c r="CR5" s="304"/>
      <c r="CS5" s="304"/>
      <c r="CT5" s="304"/>
      <c r="CU5" s="304"/>
      <c r="CV5" s="304"/>
      <c r="CW5" s="304"/>
      <c r="CX5" s="304"/>
      <c r="CY5" s="304"/>
      <c r="CZ5" s="304"/>
      <c r="DA5" s="304"/>
      <c r="DB5" s="304"/>
      <c r="DC5" s="304"/>
      <c r="DD5" s="304"/>
      <c r="DE5" s="304"/>
      <c r="DF5" s="304"/>
      <c r="DG5" s="304"/>
      <c r="DH5" s="304"/>
      <c r="DI5" s="304"/>
      <c r="DJ5" s="304"/>
      <c r="DK5" s="304"/>
      <c r="DL5" s="304"/>
      <c r="DM5" s="304"/>
      <c r="DN5" s="304"/>
      <c r="DO5" s="304"/>
      <c r="DP5" s="304"/>
      <c r="DQ5" s="304"/>
      <c r="DR5" s="304"/>
      <c r="DS5" s="304"/>
      <c r="DT5" s="304"/>
      <c r="DU5" s="304"/>
      <c r="DV5" s="304"/>
      <c r="DW5" s="304"/>
      <c r="DX5" s="304"/>
      <c r="DY5" s="304"/>
      <c r="DZ5" s="304"/>
      <c r="EA5" s="304"/>
      <c r="EB5" s="304"/>
      <c r="EC5" s="304"/>
      <c r="ED5" s="304"/>
      <c r="EE5" s="304"/>
      <c r="EF5" s="304"/>
      <c r="EG5" s="304"/>
      <c r="EH5" s="304"/>
      <c r="EI5" s="304"/>
      <c r="EJ5" s="304"/>
      <c r="EK5" s="304"/>
      <c r="EL5" s="304"/>
      <c r="EM5" s="304"/>
      <c r="EN5" s="304"/>
      <c r="EO5" s="304"/>
      <c r="EP5" s="304"/>
      <c r="EQ5" s="304"/>
      <c r="ER5" s="304"/>
      <c r="ES5" s="304"/>
      <c r="ET5" s="304"/>
      <c r="EU5" s="304"/>
      <c r="EV5" s="304"/>
      <c r="EW5" s="304"/>
      <c r="EX5" s="304"/>
      <c r="EY5" s="304"/>
      <c r="EZ5" s="304"/>
      <c r="FA5" s="304"/>
      <c r="FB5" s="304"/>
      <c r="FC5" s="304"/>
      <c r="FD5" s="304"/>
      <c r="FE5" s="304"/>
      <c r="FF5" s="304"/>
      <c r="FG5" s="304"/>
      <c r="FH5" s="304"/>
      <c r="FI5" s="304"/>
      <c r="FJ5" s="304"/>
      <c r="FK5" s="304"/>
      <c r="FL5" s="304"/>
      <c r="FM5" s="304"/>
      <c r="FN5" s="304"/>
      <c r="FO5" s="304"/>
      <c r="FP5" s="304"/>
      <c r="FQ5" s="304"/>
      <c r="FR5" s="304"/>
      <c r="FS5" s="304"/>
      <c r="FT5" s="304"/>
      <c r="FU5" s="304"/>
      <c r="FV5" s="304"/>
      <c r="FW5" s="304"/>
      <c r="FX5" s="304"/>
      <c r="FY5" s="304"/>
      <c r="FZ5" s="304"/>
      <c r="GA5" s="304"/>
      <c r="GB5" s="304"/>
      <c r="GC5" s="304"/>
      <c r="GD5" s="304"/>
      <c r="GE5" s="304"/>
      <c r="GF5" s="304"/>
      <c r="GG5" s="304"/>
      <c r="GH5" s="304"/>
      <c r="GI5" s="304"/>
      <c r="GJ5" s="304"/>
      <c r="GK5" s="304"/>
      <c r="GL5" s="304"/>
      <c r="GM5" s="304"/>
      <c r="GN5" s="304"/>
      <c r="GO5" s="304"/>
      <c r="GP5" s="304"/>
      <c r="GQ5" s="304"/>
      <c r="GR5" s="304"/>
      <c r="GS5" s="304"/>
      <c r="GT5" s="304"/>
      <c r="GU5" s="304"/>
      <c r="GV5" s="304"/>
      <c r="GW5" s="304"/>
      <c r="GX5" s="304"/>
      <c r="GY5" s="304"/>
      <c r="GZ5" s="304"/>
      <c r="HA5" s="304"/>
      <c r="HB5" s="304"/>
      <c r="HC5" s="304"/>
      <c r="HD5" s="304"/>
      <c r="HE5" s="304"/>
      <c r="HF5" s="304"/>
      <c r="HG5" s="304"/>
      <c r="HH5" s="304"/>
      <c r="HI5" s="304"/>
      <c r="HJ5" s="304"/>
      <c r="HK5" s="304"/>
      <c r="HL5" s="304"/>
      <c r="HM5" s="304"/>
      <c r="HN5" s="304"/>
      <c r="HO5" s="304"/>
      <c r="HP5" s="304"/>
      <c r="HQ5" s="304"/>
      <c r="HR5" s="304"/>
      <c r="HS5" s="304"/>
      <c r="HT5" s="304"/>
      <c r="HU5" s="304"/>
      <c r="HV5" s="304"/>
      <c r="HW5" s="304"/>
      <c r="HX5" s="304"/>
      <c r="HY5" s="304"/>
      <c r="HZ5" s="304"/>
      <c r="IA5" s="304"/>
      <c r="IB5" s="304"/>
      <c r="IC5" s="304"/>
      <c r="ID5" s="304"/>
      <c r="IE5" s="304"/>
      <c r="IF5" s="304"/>
      <c r="IG5" s="304"/>
      <c r="IH5" s="304"/>
      <c r="II5" s="304"/>
      <c r="IJ5" s="304"/>
      <c r="IK5" s="304"/>
      <c r="IL5" s="304"/>
      <c r="IM5" s="304"/>
      <c r="IN5" s="304"/>
      <c r="IO5" s="304"/>
      <c r="IP5" s="304"/>
      <c r="IQ5" s="304"/>
      <c r="IR5" s="304"/>
      <c r="IS5" s="304"/>
      <c r="IT5" s="304"/>
      <c r="IU5" s="304"/>
      <c r="IV5" s="304"/>
      <c r="IW5" s="304"/>
      <c r="IX5" s="304"/>
      <c r="IY5" s="304"/>
      <c r="IZ5" s="304"/>
      <c r="JA5" s="304"/>
    </row>
    <row r="6" spans="1:261" ht="9.9" customHeight="1" x14ac:dyDescent="0.4">
      <c r="A6" s="308"/>
      <c r="B6" s="308"/>
      <c r="C6" s="308"/>
      <c r="D6" s="308"/>
      <c r="E6" s="308"/>
      <c r="F6" s="309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  <c r="R6" s="308"/>
      <c r="S6" s="308"/>
      <c r="T6" s="308"/>
      <c r="U6" s="308"/>
      <c r="V6" s="308"/>
      <c r="W6" s="308"/>
      <c r="X6" s="308"/>
      <c r="Y6" s="308"/>
      <c r="Z6" s="308"/>
      <c r="AA6" s="308"/>
      <c r="AB6" s="308"/>
      <c r="AC6" s="308"/>
      <c r="AD6" s="308"/>
      <c r="AE6" s="308"/>
      <c r="AF6" s="308"/>
      <c r="AG6" s="308"/>
      <c r="AH6" s="308"/>
      <c r="AI6" s="308"/>
      <c r="AJ6" s="308"/>
      <c r="AK6" s="308"/>
      <c r="AL6" s="308"/>
      <c r="AM6" s="308"/>
      <c r="AN6" s="308"/>
      <c r="AO6" s="308"/>
      <c r="AP6" s="308"/>
      <c r="AQ6" s="308"/>
      <c r="AR6" s="308"/>
      <c r="AS6" s="308"/>
      <c r="AT6" s="308"/>
      <c r="AU6" s="308"/>
      <c r="AV6" s="308"/>
      <c r="AW6" s="308"/>
      <c r="AX6" s="308"/>
      <c r="AY6" s="308"/>
      <c r="AZ6" s="308"/>
      <c r="BA6" s="308"/>
      <c r="BB6" s="308"/>
      <c r="BC6" s="308"/>
      <c r="BD6" s="308"/>
      <c r="BE6" s="308"/>
      <c r="BF6" s="308"/>
      <c r="BG6" s="308"/>
      <c r="BH6" s="308"/>
      <c r="BI6" s="308"/>
      <c r="BJ6" s="308"/>
      <c r="BK6" s="308"/>
      <c r="BL6" s="308"/>
      <c r="BM6" s="308"/>
      <c r="BN6" s="308"/>
      <c r="BO6" s="308"/>
      <c r="BP6" s="308"/>
      <c r="BQ6" s="308"/>
      <c r="BR6" s="308"/>
      <c r="BS6" s="308"/>
      <c r="BT6" s="308"/>
      <c r="BU6" s="308"/>
      <c r="BV6" s="308"/>
      <c r="BW6" s="308"/>
      <c r="BX6" s="308"/>
      <c r="BY6" s="308"/>
      <c r="BZ6" s="308"/>
      <c r="CA6" s="308"/>
      <c r="CB6" s="308"/>
      <c r="CC6" s="308"/>
      <c r="CD6" s="308"/>
      <c r="CE6" s="308"/>
      <c r="CF6" s="308"/>
      <c r="CG6" s="308"/>
      <c r="CH6" s="308"/>
      <c r="CI6" s="308"/>
      <c r="CJ6" s="308"/>
      <c r="CK6" s="308"/>
      <c r="CL6" s="308"/>
      <c r="CM6" s="308"/>
      <c r="CN6" s="308"/>
      <c r="CO6" s="308"/>
      <c r="CP6" s="308"/>
      <c r="CQ6" s="308"/>
      <c r="CR6" s="308"/>
      <c r="CS6" s="308"/>
      <c r="CT6" s="308"/>
      <c r="CU6" s="308"/>
      <c r="CV6" s="308"/>
      <c r="CW6" s="308"/>
      <c r="CX6" s="308"/>
      <c r="CY6" s="308"/>
      <c r="CZ6" s="308"/>
      <c r="DA6" s="308"/>
      <c r="DB6" s="308"/>
      <c r="DC6" s="308"/>
      <c r="DD6" s="308"/>
      <c r="DE6" s="308"/>
      <c r="DF6" s="308"/>
      <c r="DG6" s="308"/>
      <c r="DH6" s="308"/>
      <c r="DI6" s="308"/>
      <c r="DJ6" s="308"/>
      <c r="DK6" s="308"/>
      <c r="DL6" s="308"/>
      <c r="DM6" s="308"/>
      <c r="DN6" s="308"/>
      <c r="DO6" s="308"/>
      <c r="DP6" s="308"/>
      <c r="DQ6" s="308"/>
      <c r="DR6" s="308"/>
      <c r="DS6" s="308"/>
      <c r="DT6" s="308"/>
      <c r="DU6" s="308"/>
      <c r="DV6" s="308"/>
      <c r="DW6" s="308"/>
      <c r="DX6" s="308"/>
      <c r="DY6" s="308"/>
      <c r="DZ6" s="308"/>
      <c r="EA6" s="308"/>
      <c r="EB6" s="308"/>
      <c r="EC6" s="308"/>
      <c r="ED6" s="308"/>
      <c r="EE6" s="308"/>
      <c r="EF6" s="308"/>
      <c r="EG6" s="308"/>
      <c r="EH6" s="308"/>
      <c r="EI6" s="308"/>
      <c r="EJ6" s="308"/>
      <c r="EK6" s="308"/>
      <c r="EL6" s="308"/>
      <c r="EM6" s="308"/>
      <c r="EN6" s="308"/>
      <c r="EO6" s="308"/>
      <c r="EP6" s="308"/>
      <c r="EQ6" s="308"/>
      <c r="ER6" s="308"/>
      <c r="ES6" s="308"/>
      <c r="ET6" s="308"/>
      <c r="EU6" s="308"/>
      <c r="EV6" s="308"/>
      <c r="EW6" s="308"/>
      <c r="EX6" s="308"/>
      <c r="EY6" s="308"/>
      <c r="EZ6" s="308"/>
      <c r="FA6" s="308"/>
      <c r="FB6" s="308"/>
      <c r="FC6" s="308"/>
      <c r="FD6" s="308"/>
      <c r="FE6" s="308"/>
      <c r="FF6" s="308"/>
      <c r="FG6" s="308"/>
      <c r="FH6" s="308"/>
      <c r="FI6" s="308"/>
      <c r="FJ6" s="308"/>
      <c r="FK6" s="308"/>
      <c r="FL6" s="308"/>
      <c r="FM6" s="308"/>
      <c r="FN6" s="308"/>
      <c r="FO6" s="308"/>
      <c r="FP6" s="308"/>
      <c r="FQ6" s="308"/>
      <c r="FR6" s="308"/>
      <c r="FS6" s="308"/>
      <c r="FT6" s="308"/>
      <c r="FU6" s="308"/>
      <c r="FV6" s="308"/>
      <c r="FW6" s="308"/>
      <c r="FX6" s="308"/>
      <c r="FY6" s="308"/>
      <c r="FZ6" s="308"/>
      <c r="GA6" s="308"/>
      <c r="GB6" s="308"/>
      <c r="GC6" s="308"/>
      <c r="GD6" s="308"/>
      <c r="GE6" s="308"/>
      <c r="GF6" s="308"/>
      <c r="GG6" s="308"/>
      <c r="GH6" s="308"/>
      <c r="GI6" s="308"/>
      <c r="GJ6" s="308"/>
      <c r="GK6" s="308"/>
      <c r="GL6" s="308"/>
      <c r="GM6" s="308"/>
      <c r="GN6" s="308"/>
      <c r="GO6" s="308"/>
      <c r="GP6" s="308"/>
      <c r="GQ6" s="308"/>
      <c r="GR6" s="308"/>
      <c r="GS6" s="308"/>
      <c r="GT6" s="308"/>
      <c r="GU6" s="308"/>
      <c r="GV6" s="308"/>
      <c r="GW6" s="308"/>
      <c r="GX6" s="308"/>
      <c r="GY6" s="308"/>
      <c r="GZ6" s="308"/>
      <c r="HA6" s="308"/>
      <c r="HB6" s="308"/>
      <c r="HC6" s="308"/>
      <c r="HD6" s="308"/>
      <c r="HE6" s="308"/>
      <c r="HF6" s="308"/>
      <c r="HG6" s="308"/>
      <c r="HH6" s="308"/>
      <c r="HI6" s="308"/>
      <c r="HJ6" s="308"/>
      <c r="HK6" s="308"/>
      <c r="HL6" s="308"/>
      <c r="HM6" s="308"/>
      <c r="HN6" s="308"/>
      <c r="HO6" s="308"/>
      <c r="HP6" s="308"/>
      <c r="HQ6" s="308"/>
      <c r="HR6" s="308"/>
      <c r="HS6" s="308"/>
      <c r="HT6" s="308"/>
      <c r="HU6" s="308"/>
      <c r="HV6" s="308"/>
      <c r="HW6" s="308"/>
      <c r="HX6" s="308"/>
      <c r="HY6" s="308"/>
      <c r="HZ6" s="308"/>
      <c r="IA6" s="308"/>
      <c r="IB6" s="308"/>
      <c r="IC6" s="308"/>
      <c r="ID6" s="308"/>
      <c r="IE6" s="308"/>
      <c r="IF6" s="308"/>
      <c r="IG6" s="308"/>
      <c r="IH6" s="308"/>
      <c r="II6" s="308"/>
      <c r="IJ6" s="308"/>
      <c r="IK6" s="308"/>
      <c r="IL6" s="308"/>
      <c r="IM6" s="308"/>
      <c r="IN6" s="308"/>
      <c r="IO6" s="308"/>
      <c r="IP6" s="308"/>
      <c r="IQ6" s="308"/>
      <c r="IR6" s="308"/>
      <c r="IS6" s="308"/>
      <c r="IT6" s="308"/>
      <c r="IU6" s="308"/>
      <c r="IV6" s="308"/>
      <c r="IW6" s="308"/>
      <c r="IX6" s="308"/>
      <c r="IY6" s="308"/>
      <c r="IZ6" s="308"/>
      <c r="JA6" s="308"/>
    </row>
    <row r="7" spans="1:261" ht="16.8" x14ac:dyDescent="0.65">
      <c r="A7" s="418" t="s">
        <v>312</v>
      </c>
      <c r="C7" s="381" t="s">
        <v>313</v>
      </c>
      <c r="D7" s="310"/>
      <c r="E7" s="311">
        <f>E8/E9</f>
        <v>0</v>
      </c>
      <c r="F7" s="312"/>
      <c r="G7" s="310"/>
      <c r="H7" s="311">
        <f>H8/H9</f>
        <v>0.4285714285714286</v>
      </c>
      <c r="I7" s="313"/>
      <c r="J7" s="311">
        <f>J8/J9</f>
        <v>1</v>
      </c>
      <c r="K7" s="313"/>
      <c r="L7" s="311">
        <f>L8/L9</f>
        <v>3</v>
      </c>
      <c r="M7" s="314"/>
      <c r="N7" s="315" t="s">
        <v>342</v>
      </c>
      <c r="P7" s="308"/>
    </row>
    <row r="8" spans="1:261" ht="16.8" x14ac:dyDescent="0.65">
      <c r="A8" s="419"/>
      <c r="C8" s="382" t="s">
        <v>314</v>
      </c>
      <c r="D8" s="310"/>
      <c r="E8" s="316">
        <v>0</v>
      </c>
      <c r="F8" s="312"/>
      <c r="G8" s="310"/>
      <c r="H8" s="316">
        <v>0.3</v>
      </c>
      <c r="I8" s="310"/>
      <c r="J8" s="316">
        <v>0.5</v>
      </c>
      <c r="K8" s="310"/>
      <c r="L8" s="316">
        <v>0.75</v>
      </c>
      <c r="M8" s="314"/>
      <c r="O8" s="317"/>
    </row>
    <row r="9" spans="1:261" ht="16.8" x14ac:dyDescent="0.65">
      <c r="A9" s="419"/>
      <c r="C9" s="382" t="s">
        <v>315</v>
      </c>
      <c r="D9" s="310"/>
      <c r="E9" s="318">
        <f>1-E8</f>
        <v>1</v>
      </c>
      <c r="F9" s="312"/>
      <c r="G9" s="310"/>
      <c r="H9" s="318">
        <f>1-H8</f>
        <v>0.7</v>
      </c>
      <c r="I9" s="310"/>
      <c r="J9" s="318">
        <f>1-J8</f>
        <v>0.5</v>
      </c>
      <c r="K9" s="310"/>
      <c r="L9" s="318">
        <f>1-L8</f>
        <v>0.25</v>
      </c>
      <c r="M9" s="314"/>
      <c r="N9" s="315"/>
      <c r="O9" s="317"/>
    </row>
    <row r="10" spans="1:261" ht="8.1" customHeight="1" x14ac:dyDescent="0.5">
      <c r="F10" s="303"/>
      <c r="O10" s="319"/>
    </row>
    <row r="11" spans="1:261" ht="16.8" x14ac:dyDescent="0.65">
      <c r="A11" s="418" t="s">
        <v>316</v>
      </c>
      <c r="B11" s="314"/>
      <c r="C11" s="383" t="s">
        <v>317</v>
      </c>
      <c r="D11" s="314"/>
      <c r="E11" s="320">
        <f>Bond!C25</f>
        <v>7.465748739316358E-2</v>
      </c>
      <c r="F11" s="321"/>
      <c r="G11" s="322"/>
      <c r="H11" s="320">
        <f>E11+0.005</f>
        <v>7.9657487393163584E-2</v>
      </c>
      <c r="I11" s="322"/>
      <c r="J11" s="320">
        <f>H11+0.005</f>
        <v>8.4657487393163589E-2</v>
      </c>
      <c r="K11" s="322"/>
      <c r="L11" s="320">
        <f>J11+0.005</f>
        <v>8.9657487393163593E-2</v>
      </c>
      <c r="M11" s="314"/>
      <c r="N11" s="315" t="s">
        <v>341</v>
      </c>
      <c r="O11" s="319"/>
      <c r="P11" s="323"/>
    </row>
    <row r="12" spans="1:261" ht="16.8" x14ac:dyDescent="0.65">
      <c r="A12" s="418"/>
      <c r="B12" s="314"/>
      <c r="C12" s="384" t="s">
        <v>318</v>
      </c>
      <c r="D12" s="314"/>
      <c r="E12" s="324">
        <v>0.35</v>
      </c>
      <c r="F12" s="325"/>
      <c r="G12" s="314"/>
      <c r="H12" s="326">
        <f>E12</f>
        <v>0.35</v>
      </c>
      <c r="I12" s="314"/>
      <c r="J12" s="326">
        <f>H12</f>
        <v>0.35</v>
      </c>
      <c r="K12" s="314"/>
      <c r="L12" s="326">
        <f>J12</f>
        <v>0.35</v>
      </c>
      <c r="M12" s="314"/>
      <c r="N12" s="315" t="s">
        <v>340</v>
      </c>
      <c r="O12" s="319"/>
    </row>
    <row r="13" spans="1:261" ht="16.8" x14ac:dyDescent="0.65">
      <c r="A13" s="418"/>
      <c r="B13" s="314"/>
      <c r="C13" s="381" t="s">
        <v>319</v>
      </c>
      <c r="D13" s="310"/>
      <c r="E13" s="327">
        <f>E11*(1-E12)</f>
        <v>4.8527366805556325E-2</v>
      </c>
      <c r="F13" s="312"/>
      <c r="G13" s="310"/>
      <c r="H13" s="327">
        <f>H11*(1-H12)</f>
        <v>5.1777366805556328E-2</v>
      </c>
      <c r="I13" s="310"/>
      <c r="J13" s="327">
        <f>J11*(1-J12)</f>
        <v>5.5027366805556331E-2</v>
      </c>
      <c r="K13" s="310"/>
      <c r="L13" s="327">
        <f>L11*(1-L12)</f>
        <v>5.8277366805556334E-2</v>
      </c>
      <c r="M13" s="314"/>
      <c r="N13" s="314"/>
      <c r="O13" s="319"/>
    </row>
    <row r="14" spans="1:261" ht="8.1" customHeight="1" x14ac:dyDescent="0.6">
      <c r="A14" s="314"/>
      <c r="B14" s="314"/>
      <c r="C14" s="314"/>
      <c r="D14" s="314"/>
      <c r="E14" s="328"/>
      <c r="F14" s="325"/>
      <c r="G14" s="314"/>
      <c r="H14" s="328"/>
      <c r="I14" s="314"/>
      <c r="J14" s="328"/>
      <c r="K14" s="314"/>
      <c r="L14" s="328"/>
      <c r="M14" s="314"/>
      <c r="O14" s="319"/>
    </row>
    <row r="15" spans="1:261" ht="16.8" x14ac:dyDescent="0.65">
      <c r="A15" s="418" t="s">
        <v>320</v>
      </c>
      <c r="C15" s="384" t="s">
        <v>321</v>
      </c>
      <c r="D15" s="314"/>
      <c r="E15" s="329">
        <v>2.23E-2</v>
      </c>
      <c r="F15" s="325"/>
      <c r="G15" s="314"/>
      <c r="H15" s="330">
        <f>E15</f>
        <v>2.23E-2</v>
      </c>
      <c r="I15" s="314"/>
      <c r="J15" s="330">
        <f>E15</f>
        <v>2.23E-2</v>
      </c>
      <c r="K15" s="314"/>
      <c r="L15" s="330">
        <f>J15</f>
        <v>2.23E-2</v>
      </c>
      <c r="M15" s="314"/>
      <c r="N15" s="315" t="s">
        <v>360</v>
      </c>
      <c r="O15" s="319"/>
    </row>
    <row r="16" spans="1:261" ht="16.8" x14ac:dyDescent="0.65">
      <c r="A16" s="419"/>
      <c r="C16" s="384" t="s">
        <v>309</v>
      </c>
      <c r="D16" s="314"/>
      <c r="E16" s="331">
        <f>E27</f>
        <v>0.46782959307072397</v>
      </c>
      <c r="F16" s="325"/>
      <c r="G16" s="314"/>
      <c r="H16" s="331">
        <f>H27</f>
        <v>0.59815355114042557</v>
      </c>
      <c r="I16" s="314"/>
      <c r="J16" s="331">
        <f>J27</f>
        <v>0.77191882856669447</v>
      </c>
      <c r="K16" s="314"/>
      <c r="L16" s="331">
        <f>L27</f>
        <v>1.3800972995586358</v>
      </c>
      <c r="M16" s="314"/>
      <c r="N16" s="315" t="s">
        <v>322</v>
      </c>
      <c r="O16" s="319"/>
    </row>
    <row r="17" spans="1:261" ht="16.8" x14ac:dyDescent="0.65">
      <c r="A17" s="419"/>
      <c r="C17" s="385" t="s">
        <v>358</v>
      </c>
      <c r="D17" s="332"/>
      <c r="E17" s="329">
        <v>7.0000000000000007E-2</v>
      </c>
      <c r="F17" s="333"/>
      <c r="G17" s="332"/>
      <c r="H17" s="330">
        <f>E17</f>
        <v>7.0000000000000007E-2</v>
      </c>
      <c r="I17" s="332"/>
      <c r="J17" s="330">
        <f>E17</f>
        <v>7.0000000000000007E-2</v>
      </c>
      <c r="K17" s="332"/>
      <c r="L17" s="330">
        <f>J17</f>
        <v>7.0000000000000007E-2</v>
      </c>
      <c r="M17" s="332"/>
      <c r="N17" s="315" t="s">
        <v>356</v>
      </c>
      <c r="O17" s="319"/>
    </row>
    <row r="18" spans="1:261" ht="16.8" x14ac:dyDescent="0.65">
      <c r="A18" s="419"/>
      <c r="C18" s="385" t="s">
        <v>361</v>
      </c>
      <c r="D18" s="332"/>
      <c r="E18" s="329">
        <f>E17*0.5</f>
        <v>3.5000000000000003E-2</v>
      </c>
      <c r="F18" s="333"/>
      <c r="G18" s="332"/>
      <c r="H18" s="330">
        <f>E18</f>
        <v>3.5000000000000003E-2</v>
      </c>
      <c r="I18" s="332"/>
      <c r="J18" s="330">
        <f>E18</f>
        <v>3.5000000000000003E-2</v>
      </c>
      <c r="K18" s="332"/>
      <c r="L18" s="330">
        <f>J18</f>
        <v>3.5000000000000003E-2</v>
      </c>
      <c r="M18" s="332"/>
      <c r="N18" s="315" t="s">
        <v>359</v>
      </c>
      <c r="O18" s="319"/>
    </row>
    <row r="19" spans="1:261" ht="16.8" x14ac:dyDescent="0.65">
      <c r="A19" s="419"/>
      <c r="C19" s="332"/>
      <c r="D19" s="332"/>
      <c r="E19" s="334"/>
      <c r="F19" s="333"/>
      <c r="G19" s="332"/>
      <c r="H19" s="334"/>
      <c r="I19" s="314"/>
      <c r="J19" s="334"/>
      <c r="K19" s="314"/>
      <c r="L19" s="335"/>
      <c r="M19" s="332"/>
      <c r="N19" s="315"/>
      <c r="O19" s="319"/>
    </row>
    <row r="20" spans="1:261" ht="16.8" x14ac:dyDescent="0.55000000000000004">
      <c r="A20" s="419"/>
      <c r="B20" s="308"/>
      <c r="C20" s="379" t="s">
        <v>323</v>
      </c>
      <c r="D20" s="313"/>
      <c r="E20" s="336">
        <f>E15+E16*(E17+E18)</f>
        <v>7.1422107272426025E-2</v>
      </c>
      <c r="F20" s="337"/>
      <c r="G20" s="313"/>
      <c r="H20" s="336">
        <f>H15+H16*(H17+H18)</f>
        <v>8.5106122869744685E-2</v>
      </c>
      <c r="I20" s="313"/>
      <c r="J20" s="336">
        <f>J15+J16*(J17+J18)</f>
        <v>0.10335147699950292</v>
      </c>
      <c r="K20" s="313"/>
      <c r="L20" s="336">
        <f>L15+L16*(L17+L18)</f>
        <v>0.16721021645365675</v>
      </c>
      <c r="M20" s="314"/>
      <c r="N20" s="314"/>
      <c r="O20" s="317"/>
      <c r="P20" s="308"/>
      <c r="Q20" s="308"/>
      <c r="R20" s="308"/>
      <c r="S20" s="308"/>
      <c r="T20" s="308"/>
      <c r="U20" s="308"/>
      <c r="V20" s="308"/>
      <c r="W20" s="308"/>
      <c r="X20" s="308"/>
      <c r="Y20" s="308"/>
      <c r="Z20" s="308"/>
      <c r="AA20" s="308"/>
      <c r="AB20" s="308"/>
      <c r="AC20" s="308"/>
      <c r="AD20" s="308"/>
      <c r="AE20" s="308"/>
      <c r="AF20" s="308"/>
      <c r="AG20" s="308"/>
      <c r="AH20" s="308"/>
      <c r="AI20" s="308"/>
      <c r="AJ20" s="308"/>
      <c r="AK20" s="308"/>
      <c r="AL20" s="308"/>
      <c r="AM20" s="308"/>
      <c r="AN20" s="308"/>
      <c r="AO20" s="308"/>
      <c r="AP20" s="308"/>
      <c r="AQ20" s="308"/>
      <c r="AR20" s="308"/>
      <c r="AS20" s="308"/>
      <c r="AT20" s="308"/>
      <c r="AU20" s="308"/>
      <c r="AV20" s="308"/>
      <c r="AW20" s="308"/>
      <c r="AX20" s="308"/>
      <c r="AY20" s="308"/>
      <c r="AZ20" s="308"/>
      <c r="BA20" s="308"/>
      <c r="BB20" s="308"/>
      <c r="BC20" s="308"/>
      <c r="BD20" s="308"/>
      <c r="BE20" s="308"/>
      <c r="BF20" s="308"/>
      <c r="BG20" s="308"/>
      <c r="BH20" s="308"/>
      <c r="BI20" s="308"/>
      <c r="BJ20" s="308"/>
      <c r="BK20" s="308"/>
      <c r="BL20" s="308"/>
      <c r="BM20" s="308"/>
      <c r="BN20" s="308"/>
      <c r="BO20" s="308"/>
      <c r="BP20" s="308"/>
      <c r="BQ20" s="308"/>
      <c r="BR20" s="308"/>
      <c r="BS20" s="308"/>
      <c r="BT20" s="308"/>
      <c r="BU20" s="308"/>
      <c r="BV20" s="308"/>
      <c r="BW20" s="308"/>
      <c r="BX20" s="308"/>
      <c r="BY20" s="308"/>
      <c r="BZ20" s="308"/>
      <c r="CA20" s="308"/>
      <c r="CB20" s="308"/>
      <c r="CC20" s="308"/>
      <c r="CD20" s="308"/>
      <c r="CE20" s="308"/>
      <c r="CF20" s="308"/>
      <c r="CG20" s="308"/>
      <c r="CH20" s="308"/>
      <c r="CI20" s="308"/>
      <c r="CJ20" s="308"/>
      <c r="CK20" s="308"/>
      <c r="CL20" s="308"/>
      <c r="CM20" s="308"/>
      <c r="CN20" s="308"/>
      <c r="CO20" s="308"/>
      <c r="CP20" s="308"/>
      <c r="CQ20" s="308"/>
      <c r="CR20" s="308"/>
      <c r="CS20" s="308"/>
      <c r="CT20" s="308"/>
      <c r="CU20" s="308"/>
      <c r="CV20" s="308"/>
      <c r="CW20" s="308"/>
      <c r="CX20" s="308"/>
      <c r="CY20" s="308"/>
      <c r="CZ20" s="308"/>
      <c r="DA20" s="308"/>
      <c r="DB20" s="308"/>
      <c r="DC20" s="308"/>
      <c r="DD20" s="308"/>
      <c r="DE20" s="308"/>
      <c r="DF20" s="308"/>
      <c r="DG20" s="308"/>
      <c r="DH20" s="308"/>
      <c r="DI20" s="308"/>
      <c r="DJ20" s="308"/>
      <c r="DK20" s="308"/>
      <c r="DL20" s="308"/>
      <c r="DM20" s="308"/>
      <c r="DN20" s="308"/>
      <c r="DO20" s="308"/>
      <c r="DP20" s="308"/>
      <c r="DQ20" s="308"/>
      <c r="DR20" s="308"/>
      <c r="DS20" s="308"/>
      <c r="DT20" s="308"/>
      <c r="DU20" s="308"/>
      <c r="DV20" s="308"/>
      <c r="DW20" s="308"/>
      <c r="DX20" s="308"/>
      <c r="DY20" s="308"/>
      <c r="DZ20" s="308"/>
      <c r="EA20" s="308"/>
      <c r="EB20" s="308"/>
      <c r="EC20" s="308"/>
      <c r="ED20" s="308"/>
      <c r="EE20" s="308"/>
      <c r="EF20" s="308"/>
      <c r="EG20" s="308"/>
      <c r="EH20" s="308"/>
      <c r="EI20" s="308"/>
      <c r="EJ20" s="308"/>
      <c r="EK20" s="308"/>
      <c r="EL20" s="308"/>
      <c r="EM20" s="308"/>
      <c r="EN20" s="308"/>
      <c r="EO20" s="308"/>
      <c r="EP20" s="308"/>
      <c r="EQ20" s="308"/>
      <c r="ER20" s="308"/>
      <c r="ES20" s="308"/>
      <c r="ET20" s="308"/>
      <c r="EU20" s="308"/>
      <c r="EV20" s="308"/>
      <c r="EW20" s="308"/>
      <c r="EX20" s="308"/>
      <c r="EY20" s="308"/>
      <c r="EZ20" s="308"/>
      <c r="FA20" s="308"/>
      <c r="FB20" s="308"/>
      <c r="FC20" s="308"/>
      <c r="FD20" s="308"/>
      <c r="FE20" s="308"/>
      <c r="FF20" s="308"/>
      <c r="FG20" s="308"/>
      <c r="FH20" s="308"/>
      <c r="FI20" s="308"/>
      <c r="FJ20" s="308"/>
      <c r="FK20" s="308"/>
      <c r="FL20" s="308"/>
      <c r="FM20" s="308"/>
      <c r="FN20" s="308"/>
      <c r="FO20" s="308"/>
      <c r="FP20" s="308"/>
      <c r="FQ20" s="308"/>
      <c r="FR20" s="308"/>
      <c r="FS20" s="308"/>
      <c r="FT20" s="308"/>
      <c r="FU20" s="308"/>
      <c r="FV20" s="308"/>
      <c r="FW20" s="308"/>
      <c r="FX20" s="308"/>
      <c r="FY20" s="308"/>
      <c r="FZ20" s="308"/>
      <c r="GA20" s="308"/>
      <c r="GB20" s="308"/>
      <c r="GC20" s="308"/>
      <c r="GD20" s="308"/>
      <c r="GE20" s="308"/>
      <c r="GF20" s="308"/>
      <c r="GG20" s="308"/>
      <c r="GH20" s="308"/>
      <c r="GI20" s="308"/>
      <c r="GJ20" s="308"/>
      <c r="GK20" s="308"/>
      <c r="GL20" s="308"/>
      <c r="GM20" s="308"/>
      <c r="GN20" s="308"/>
      <c r="GO20" s="308"/>
      <c r="GP20" s="308"/>
      <c r="GQ20" s="308"/>
      <c r="GR20" s="308"/>
      <c r="GS20" s="308"/>
      <c r="GT20" s="308"/>
      <c r="GU20" s="308"/>
      <c r="GV20" s="308"/>
      <c r="GW20" s="308"/>
      <c r="GX20" s="308"/>
      <c r="GY20" s="308"/>
      <c r="GZ20" s="308"/>
      <c r="HA20" s="308"/>
      <c r="HB20" s="308"/>
      <c r="HC20" s="308"/>
      <c r="HD20" s="308"/>
      <c r="HE20" s="308"/>
      <c r="HF20" s="308"/>
      <c r="HG20" s="308"/>
      <c r="HH20" s="308"/>
      <c r="HI20" s="308"/>
      <c r="HJ20" s="308"/>
      <c r="HK20" s="308"/>
      <c r="HL20" s="308"/>
      <c r="HM20" s="308"/>
      <c r="HN20" s="308"/>
      <c r="HO20" s="308"/>
      <c r="HP20" s="308"/>
      <c r="HQ20" s="308"/>
      <c r="HR20" s="308"/>
      <c r="HS20" s="308"/>
      <c r="HT20" s="308"/>
      <c r="HU20" s="308"/>
      <c r="HV20" s="308"/>
      <c r="HW20" s="308"/>
      <c r="HX20" s="308"/>
      <c r="HY20" s="308"/>
      <c r="HZ20" s="308"/>
      <c r="IA20" s="308"/>
      <c r="IB20" s="308"/>
      <c r="IC20" s="308"/>
      <c r="ID20" s="308"/>
      <c r="IE20" s="308"/>
      <c r="IF20" s="308"/>
      <c r="IG20" s="308"/>
      <c r="IH20" s="308"/>
      <c r="II20" s="308"/>
      <c r="IJ20" s="308"/>
      <c r="IK20" s="308"/>
      <c r="IL20" s="308"/>
      <c r="IM20" s="308"/>
      <c r="IN20" s="308"/>
      <c r="IO20" s="308"/>
      <c r="IP20" s="308"/>
      <c r="IQ20" s="308"/>
      <c r="IR20" s="308"/>
      <c r="IS20" s="308"/>
      <c r="IT20" s="308"/>
      <c r="IU20" s="308"/>
      <c r="IV20" s="308"/>
      <c r="IW20" s="308"/>
      <c r="IX20" s="308"/>
      <c r="IY20" s="308"/>
      <c r="IZ20" s="308"/>
      <c r="JA20" s="308"/>
    </row>
    <row r="21" spans="1:261" ht="14.4" x14ac:dyDescent="0.4">
      <c r="A21" s="420"/>
      <c r="B21" s="308"/>
      <c r="C21" s="338"/>
      <c r="D21" s="332"/>
      <c r="E21" s="339"/>
      <c r="F21" s="333"/>
      <c r="G21" s="332"/>
      <c r="H21" s="339"/>
      <c r="I21" s="332"/>
      <c r="J21" s="339"/>
      <c r="K21" s="332"/>
      <c r="L21" s="339"/>
      <c r="M21" s="332"/>
      <c r="N21" s="339"/>
      <c r="O21" s="308"/>
      <c r="P21" s="308"/>
      <c r="Q21" s="308"/>
      <c r="R21" s="308"/>
      <c r="S21" s="308"/>
      <c r="T21" s="308"/>
      <c r="U21" s="308"/>
      <c r="V21" s="308"/>
      <c r="W21" s="308"/>
      <c r="X21" s="308"/>
      <c r="Y21" s="308"/>
      <c r="Z21" s="308"/>
      <c r="AA21" s="308"/>
      <c r="AB21" s="308"/>
      <c r="AC21" s="308"/>
      <c r="AD21" s="308"/>
      <c r="AE21" s="308"/>
      <c r="AF21" s="308"/>
      <c r="AG21" s="308"/>
      <c r="AH21" s="308"/>
      <c r="AI21" s="308"/>
      <c r="AJ21" s="308"/>
      <c r="AK21" s="308"/>
      <c r="AL21" s="308"/>
      <c r="AM21" s="308"/>
      <c r="AN21" s="308"/>
      <c r="AO21" s="308"/>
      <c r="AP21" s="308"/>
      <c r="AQ21" s="308"/>
      <c r="AR21" s="308"/>
      <c r="AS21" s="308"/>
      <c r="AT21" s="308"/>
      <c r="AU21" s="308"/>
      <c r="AV21" s="308"/>
      <c r="AW21" s="308"/>
      <c r="AX21" s="308"/>
      <c r="AY21" s="308"/>
      <c r="AZ21" s="308"/>
      <c r="BA21" s="308"/>
      <c r="BB21" s="308"/>
      <c r="BC21" s="308"/>
      <c r="BD21" s="308"/>
      <c r="BE21" s="308"/>
      <c r="BF21" s="308"/>
      <c r="BG21" s="308"/>
      <c r="BH21" s="308"/>
      <c r="BI21" s="308"/>
      <c r="BJ21" s="308"/>
      <c r="BK21" s="308"/>
      <c r="BL21" s="308"/>
      <c r="BM21" s="308"/>
      <c r="BN21" s="308"/>
      <c r="BO21" s="308"/>
      <c r="BP21" s="308"/>
      <c r="BQ21" s="308"/>
      <c r="BR21" s="308"/>
      <c r="BS21" s="308"/>
      <c r="BT21" s="308"/>
      <c r="BU21" s="308"/>
      <c r="BV21" s="308"/>
      <c r="BW21" s="308"/>
      <c r="BX21" s="308"/>
      <c r="BY21" s="308"/>
      <c r="BZ21" s="308"/>
      <c r="CA21" s="308"/>
      <c r="CB21" s="308"/>
      <c r="CC21" s="308"/>
      <c r="CD21" s="308"/>
      <c r="CE21" s="308"/>
      <c r="CF21" s="308"/>
      <c r="CG21" s="308"/>
      <c r="CH21" s="308"/>
      <c r="CI21" s="308"/>
      <c r="CJ21" s="308"/>
      <c r="CK21" s="308"/>
      <c r="CL21" s="308"/>
      <c r="CM21" s="308"/>
      <c r="CN21" s="308"/>
      <c r="CO21" s="308"/>
      <c r="CP21" s="308"/>
      <c r="CQ21" s="308"/>
      <c r="CR21" s="308"/>
      <c r="CS21" s="308"/>
      <c r="CT21" s="308"/>
      <c r="CU21" s="308"/>
      <c r="CV21" s="308"/>
      <c r="CW21" s="308"/>
      <c r="CX21" s="308"/>
      <c r="CY21" s="308"/>
      <c r="CZ21" s="308"/>
      <c r="DA21" s="308"/>
      <c r="DB21" s="308"/>
      <c r="DC21" s="308"/>
      <c r="DD21" s="308"/>
      <c r="DE21" s="308"/>
      <c r="DF21" s="308"/>
      <c r="DG21" s="308"/>
      <c r="DH21" s="308"/>
      <c r="DI21" s="308"/>
      <c r="DJ21" s="308"/>
      <c r="DK21" s="308"/>
      <c r="DL21" s="308"/>
      <c r="DM21" s="308"/>
      <c r="DN21" s="308"/>
      <c r="DO21" s="308"/>
      <c r="DP21" s="308"/>
      <c r="DQ21" s="308"/>
      <c r="DR21" s="308"/>
      <c r="DS21" s="308"/>
      <c r="DT21" s="308"/>
      <c r="DU21" s="308"/>
      <c r="DV21" s="308"/>
      <c r="DW21" s="308"/>
      <c r="DX21" s="308"/>
      <c r="DY21" s="308"/>
      <c r="DZ21" s="308"/>
      <c r="EA21" s="308"/>
      <c r="EB21" s="308"/>
      <c r="EC21" s="308"/>
      <c r="ED21" s="308"/>
      <c r="EE21" s="308"/>
      <c r="EF21" s="308"/>
      <c r="EG21" s="308"/>
      <c r="EH21" s="308"/>
      <c r="EI21" s="308"/>
      <c r="EJ21" s="308"/>
      <c r="EK21" s="308"/>
      <c r="EL21" s="308"/>
      <c r="EM21" s="308"/>
      <c r="EN21" s="308"/>
      <c r="EO21" s="308"/>
      <c r="EP21" s="308"/>
      <c r="EQ21" s="308"/>
      <c r="ER21" s="308"/>
      <c r="ES21" s="308"/>
      <c r="ET21" s="308"/>
      <c r="EU21" s="308"/>
      <c r="EV21" s="308"/>
      <c r="EW21" s="308"/>
      <c r="EX21" s="308"/>
      <c r="EY21" s="308"/>
      <c r="EZ21" s="308"/>
      <c r="FA21" s="308"/>
      <c r="FB21" s="308"/>
      <c r="FC21" s="308"/>
      <c r="FD21" s="308"/>
      <c r="FE21" s="308"/>
      <c r="FF21" s="308"/>
      <c r="FG21" s="308"/>
      <c r="FH21" s="308"/>
      <c r="FI21" s="308"/>
      <c r="FJ21" s="308"/>
      <c r="FK21" s="308"/>
      <c r="FL21" s="308"/>
      <c r="FM21" s="308"/>
      <c r="FN21" s="308"/>
      <c r="FO21" s="308"/>
      <c r="FP21" s="308"/>
      <c r="FQ21" s="308"/>
      <c r="FR21" s="308"/>
      <c r="FS21" s="308"/>
      <c r="FT21" s="308"/>
      <c r="FU21" s="308"/>
      <c r="FV21" s="308"/>
      <c r="FW21" s="308"/>
      <c r="FX21" s="308"/>
      <c r="FY21" s="308"/>
      <c r="FZ21" s="308"/>
      <c r="GA21" s="308"/>
      <c r="GB21" s="308"/>
      <c r="GC21" s="308"/>
      <c r="GD21" s="308"/>
      <c r="GE21" s="308"/>
      <c r="GF21" s="308"/>
      <c r="GG21" s="308"/>
      <c r="GH21" s="308"/>
      <c r="GI21" s="308"/>
      <c r="GJ21" s="308"/>
      <c r="GK21" s="308"/>
      <c r="GL21" s="308"/>
      <c r="GM21" s="308"/>
      <c r="GN21" s="308"/>
      <c r="GO21" s="308"/>
      <c r="GP21" s="308"/>
      <c r="GQ21" s="308"/>
      <c r="GR21" s="308"/>
      <c r="GS21" s="308"/>
      <c r="GT21" s="308"/>
      <c r="GU21" s="308"/>
      <c r="GV21" s="308"/>
      <c r="GW21" s="308"/>
      <c r="GX21" s="308"/>
      <c r="GY21" s="308"/>
      <c r="GZ21" s="308"/>
      <c r="HA21" s="308"/>
      <c r="HB21" s="308"/>
      <c r="HC21" s="308"/>
      <c r="HD21" s="308"/>
      <c r="HE21" s="308"/>
      <c r="HF21" s="308"/>
      <c r="HG21" s="308"/>
      <c r="HH21" s="308"/>
      <c r="HI21" s="308"/>
      <c r="HJ21" s="308"/>
      <c r="HK21" s="308"/>
      <c r="HL21" s="308"/>
      <c r="HM21" s="308"/>
      <c r="HN21" s="308"/>
      <c r="HO21" s="308"/>
      <c r="HP21" s="308"/>
      <c r="HQ21" s="308"/>
      <c r="HR21" s="308"/>
      <c r="HS21" s="308"/>
      <c r="HT21" s="308"/>
      <c r="HU21" s="308"/>
      <c r="HV21" s="308"/>
      <c r="HW21" s="308"/>
      <c r="HX21" s="308"/>
      <c r="HY21" s="308"/>
      <c r="HZ21" s="308"/>
      <c r="IA21" s="308"/>
      <c r="IB21" s="308"/>
      <c r="IC21" s="308"/>
      <c r="ID21" s="308"/>
      <c r="IE21" s="308"/>
      <c r="IF21" s="308"/>
      <c r="IG21" s="308"/>
      <c r="IH21" s="308"/>
      <c r="II21" s="308"/>
      <c r="IJ21" s="308"/>
      <c r="IK21" s="308"/>
      <c r="IL21" s="308"/>
      <c r="IM21" s="308"/>
      <c r="IN21" s="308"/>
      <c r="IO21" s="308"/>
      <c r="IP21" s="308"/>
      <c r="IQ21" s="308"/>
      <c r="IR21" s="308"/>
      <c r="IS21" s="308"/>
      <c r="IT21" s="308"/>
      <c r="IU21" s="308"/>
      <c r="IV21" s="308"/>
      <c r="IW21" s="308"/>
      <c r="IX21" s="308"/>
      <c r="IY21" s="308"/>
      <c r="IZ21" s="308"/>
      <c r="JA21" s="308"/>
    </row>
    <row r="22" spans="1:261" ht="14.4" x14ac:dyDescent="0.5">
      <c r="A22" s="420"/>
      <c r="B22" s="308"/>
      <c r="C22" s="340" t="s">
        <v>324</v>
      </c>
      <c r="D22" s="332"/>
      <c r="E22" s="339"/>
      <c r="F22" s="333"/>
      <c r="G22" s="332"/>
      <c r="H22" s="339"/>
      <c r="I22" s="332"/>
      <c r="J22" s="339"/>
      <c r="K22" s="332"/>
      <c r="L22" s="339"/>
      <c r="M22" s="332"/>
      <c r="N22" s="339"/>
      <c r="O22" s="308"/>
      <c r="P22" s="308"/>
      <c r="Q22" s="308"/>
      <c r="R22" s="308"/>
      <c r="S22" s="308"/>
      <c r="T22" s="308"/>
      <c r="U22" s="308"/>
      <c r="V22" s="308"/>
      <c r="W22" s="308"/>
      <c r="X22" s="308"/>
      <c r="Y22" s="308"/>
      <c r="Z22" s="308"/>
      <c r="AA22" s="308"/>
      <c r="AB22" s="308"/>
      <c r="AC22" s="308"/>
      <c r="AD22" s="308"/>
      <c r="AE22" s="308"/>
      <c r="AF22" s="308"/>
      <c r="AG22" s="308"/>
      <c r="AH22" s="308"/>
      <c r="AI22" s="308"/>
      <c r="AJ22" s="308"/>
      <c r="AK22" s="308"/>
      <c r="AL22" s="308"/>
      <c r="AM22" s="308"/>
      <c r="AN22" s="308"/>
      <c r="AO22" s="308"/>
      <c r="AP22" s="308"/>
      <c r="AQ22" s="308"/>
      <c r="AR22" s="308"/>
      <c r="AS22" s="308"/>
      <c r="AT22" s="308"/>
      <c r="AU22" s="308"/>
      <c r="AV22" s="308"/>
      <c r="AW22" s="308"/>
      <c r="AX22" s="308"/>
      <c r="AY22" s="308"/>
      <c r="AZ22" s="308"/>
      <c r="BA22" s="308"/>
      <c r="BB22" s="308"/>
      <c r="BC22" s="308"/>
      <c r="BD22" s="308"/>
      <c r="BE22" s="308"/>
      <c r="BF22" s="308"/>
      <c r="BG22" s="308"/>
      <c r="BH22" s="308"/>
      <c r="BI22" s="308"/>
      <c r="BJ22" s="308"/>
      <c r="BK22" s="308"/>
      <c r="BL22" s="308"/>
      <c r="BM22" s="308"/>
      <c r="BN22" s="308"/>
      <c r="BO22" s="308"/>
      <c r="BP22" s="308"/>
      <c r="BQ22" s="308"/>
      <c r="BR22" s="308"/>
      <c r="BS22" s="308"/>
      <c r="BT22" s="308"/>
      <c r="BU22" s="308"/>
      <c r="BV22" s="308"/>
      <c r="BW22" s="308"/>
      <c r="BX22" s="308"/>
      <c r="BY22" s="308"/>
      <c r="BZ22" s="308"/>
      <c r="CA22" s="308"/>
      <c r="CB22" s="308"/>
      <c r="CC22" s="308"/>
      <c r="CD22" s="308"/>
      <c r="CE22" s="308"/>
      <c r="CF22" s="308"/>
      <c r="CG22" s="308"/>
      <c r="CH22" s="308"/>
      <c r="CI22" s="308"/>
      <c r="CJ22" s="308"/>
      <c r="CK22" s="308"/>
      <c r="CL22" s="308"/>
      <c r="CM22" s="308"/>
      <c r="CN22" s="308"/>
      <c r="CO22" s="308"/>
      <c r="CP22" s="308"/>
      <c r="CQ22" s="308"/>
      <c r="CR22" s="308"/>
      <c r="CS22" s="308"/>
      <c r="CT22" s="308"/>
      <c r="CU22" s="308"/>
      <c r="CV22" s="308"/>
      <c r="CW22" s="308"/>
      <c r="CX22" s="308"/>
      <c r="CY22" s="308"/>
      <c r="CZ22" s="308"/>
      <c r="DA22" s="308"/>
      <c r="DB22" s="308"/>
      <c r="DC22" s="308"/>
      <c r="DD22" s="308"/>
      <c r="DE22" s="308"/>
      <c r="DF22" s="308"/>
      <c r="DG22" s="308"/>
      <c r="DH22" s="308"/>
      <c r="DI22" s="308"/>
      <c r="DJ22" s="308"/>
      <c r="DK22" s="308"/>
      <c r="DL22" s="308"/>
      <c r="DM22" s="308"/>
      <c r="DN22" s="308"/>
      <c r="DO22" s="308"/>
      <c r="DP22" s="308"/>
      <c r="DQ22" s="308"/>
      <c r="DR22" s="308"/>
      <c r="DS22" s="308"/>
      <c r="DT22" s="308"/>
      <c r="DU22" s="308"/>
      <c r="DV22" s="308"/>
      <c r="DW22" s="308"/>
      <c r="DX22" s="308"/>
      <c r="DY22" s="308"/>
      <c r="DZ22" s="308"/>
      <c r="EA22" s="308"/>
      <c r="EB22" s="308"/>
      <c r="EC22" s="308"/>
      <c r="ED22" s="308"/>
      <c r="EE22" s="308"/>
      <c r="EF22" s="308"/>
      <c r="EG22" s="308"/>
      <c r="EH22" s="308"/>
      <c r="EI22" s="308"/>
      <c r="EJ22" s="308"/>
      <c r="EK22" s="308"/>
      <c r="EL22" s="308"/>
      <c r="EM22" s="308"/>
      <c r="EN22" s="308"/>
      <c r="EO22" s="308"/>
      <c r="EP22" s="308"/>
      <c r="EQ22" s="308"/>
      <c r="ER22" s="308"/>
      <c r="ES22" s="308"/>
      <c r="ET22" s="308"/>
      <c r="EU22" s="308"/>
      <c r="EV22" s="308"/>
      <c r="EW22" s="308"/>
      <c r="EX22" s="308"/>
      <c r="EY22" s="308"/>
      <c r="EZ22" s="308"/>
      <c r="FA22" s="308"/>
      <c r="FB22" s="308"/>
      <c r="FC22" s="308"/>
      <c r="FD22" s="308"/>
      <c r="FE22" s="308"/>
      <c r="FF22" s="308"/>
      <c r="FG22" s="308"/>
      <c r="FH22" s="308"/>
      <c r="FI22" s="308"/>
      <c r="FJ22" s="308"/>
      <c r="FK22" s="308"/>
      <c r="FL22" s="308"/>
      <c r="FM22" s="308"/>
      <c r="FN22" s="308"/>
      <c r="FO22" s="308"/>
      <c r="FP22" s="308"/>
      <c r="FQ22" s="308"/>
      <c r="FR22" s="308"/>
      <c r="FS22" s="308"/>
      <c r="FT22" s="308"/>
      <c r="FU22" s="308"/>
      <c r="FV22" s="308"/>
      <c r="FW22" s="308"/>
      <c r="FX22" s="308"/>
      <c r="FY22" s="308"/>
      <c r="FZ22" s="308"/>
      <c r="GA22" s="308"/>
      <c r="GB22" s="308"/>
      <c r="GC22" s="308"/>
      <c r="GD22" s="308"/>
      <c r="GE22" s="308"/>
      <c r="GF22" s="308"/>
      <c r="GG22" s="308"/>
      <c r="GH22" s="308"/>
      <c r="GI22" s="308"/>
      <c r="GJ22" s="308"/>
      <c r="GK22" s="308"/>
      <c r="GL22" s="308"/>
      <c r="GM22" s="308"/>
      <c r="GN22" s="308"/>
      <c r="GO22" s="308"/>
      <c r="GP22" s="308"/>
      <c r="GQ22" s="308"/>
      <c r="GR22" s="308"/>
      <c r="GS22" s="308"/>
      <c r="GT22" s="308"/>
      <c r="GU22" s="308"/>
      <c r="GV22" s="308"/>
      <c r="GW22" s="308"/>
      <c r="GX22" s="308"/>
      <c r="GY22" s="308"/>
      <c r="GZ22" s="308"/>
      <c r="HA22" s="308"/>
      <c r="HB22" s="308"/>
      <c r="HC22" s="308"/>
      <c r="HD22" s="308"/>
      <c r="HE22" s="308"/>
      <c r="HF22" s="308"/>
      <c r="HG22" s="308"/>
      <c r="HH22" s="308"/>
      <c r="HI22" s="308"/>
      <c r="HJ22" s="308"/>
      <c r="HK22" s="308"/>
      <c r="HL22" s="308"/>
      <c r="HM22" s="308"/>
      <c r="HN22" s="308"/>
      <c r="HO22" s="308"/>
      <c r="HP22" s="308"/>
      <c r="HQ22" s="308"/>
      <c r="HR22" s="308"/>
      <c r="HS22" s="308"/>
      <c r="HT22" s="308"/>
      <c r="HU22" s="308"/>
      <c r="HV22" s="308"/>
      <c r="HW22" s="308"/>
      <c r="HX22" s="308"/>
      <c r="HY22" s="308"/>
      <c r="HZ22" s="308"/>
      <c r="IA22" s="308"/>
      <c r="IB22" s="308"/>
      <c r="IC22" s="308"/>
      <c r="ID22" s="308"/>
      <c r="IE22" s="308"/>
      <c r="IF22" s="308"/>
      <c r="IG22" s="308"/>
      <c r="IH22" s="308"/>
      <c r="II22" s="308"/>
      <c r="IJ22" s="308"/>
      <c r="IK22" s="308"/>
      <c r="IL22" s="308"/>
      <c r="IM22" s="308"/>
      <c r="IN22" s="308"/>
      <c r="IO22" s="308"/>
      <c r="IP22" s="308"/>
      <c r="IQ22" s="308"/>
      <c r="IR22" s="308"/>
      <c r="IS22" s="308"/>
      <c r="IT22" s="308"/>
      <c r="IU22" s="308"/>
      <c r="IV22" s="308"/>
      <c r="IW22" s="308"/>
      <c r="IX22" s="308"/>
      <c r="IY22" s="308"/>
      <c r="IZ22" s="308"/>
      <c r="JA22" s="308"/>
    </row>
    <row r="23" spans="1:261" ht="14.4" x14ac:dyDescent="0.55000000000000004">
      <c r="A23" s="420"/>
      <c r="B23" s="308"/>
      <c r="C23" s="308" t="s">
        <v>325</v>
      </c>
      <c r="D23" s="308"/>
      <c r="E23" s="341">
        <f>'Exhibit 1 (Comps)'!M11</f>
        <v>0.78</v>
      </c>
      <c r="F23" s="309"/>
      <c r="G23" s="308"/>
      <c r="H23" s="342">
        <f>E23</f>
        <v>0.78</v>
      </c>
      <c r="I23" s="332"/>
      <c r="J23" s="342">
        <f>H23</f>
        <v>0.78</v>
      </c>
      <c r="K23" s="332"/>
      <c r="L23" s="342">
        <f>J23</f>
        <v>0.78</v>
      </c>
      <c r="M23" s="332"/>
      <c r="N23" s="315" t="s">
        <v>363</v>
      </c>
      <c r="O23" s="308"/>
      <c r="P23" s="343"/>
      <c r="Q23" s="308"/>
      <c r="R23" s="308"/>
      <c r="S23" s="308"/>
      <c r="T23" s="308"/>
      <c r="U23" s="308"/>
      <c r="V23" s="308"/>
      <c r="W23" s="308"/>
      <c r="X23" s="308"/>
      <c r="Y23" s="308"/>
      <c r="Z23" s="308"/>
      <c r="AA23" s="308"/>
      <c r="AB23" s="308"/>
      <c r="AC23" s="308"/>
      <c r="AD23" s="308"/>
      <c r="AE23" s="308"/>
      <c r="AF23" s="308"/>
      <c r="AG23" s="308"/>
      <c r="AH23" s="308"/>
      <c r="AI23" s="308"/>
      <c r="AJ23" s="308"/>
      <c r="AK23" s="308"/>
      <c r="AL23" s="308"/>
      <c r="AM23" s="308"/>
      <c r="AN23" s="308"/>
      <c r="AO23" s="308"/>
      <c r="AP23" s="308"/>
      <c r="AQ23" s="308"/>
      <c r="AR23" s="308"/>
      <c r="AS23" s="308"/>
      <c r="AT23" s="308"/>
      <c r="AU23" s="308"/>
      <c r="AV23" s="308"/>
      <c r="AW23" s="308"/>
      <c r="AX23" s="308"/>
      <c r="AY23" s="308"/>
      <c r="AZ23" s="308"/>
      <c r="BA23" s="308"/>
      <c r="BB23" s="308"/>
      <c r="BC23" s="308"/>
      <c r="BD23" s="308"/>
      <c r="BE23" s="308"/>
      <c r="BF23" s="308"/>
      <c r="BG23" s="308"/>
      <c r="BH23" s="308"/>
      <c r="BI23" s="308"/>
      <c r="BJ23" s="308"/>
      <c r="BK23" s="308"/>
      <c r="BL23" s="308"/>
      <c r="BM23" s="308"/>
      <c r="BN23" s="308"/>
      <c r="BO23" s="308"/>
      <c r="BP23" s="308"/>
      <c r="BQ23" s="308"/>
      <c r="BR23" s="308"/>
      <c r="BS23" s="308"/>
      <c r="BT23" s="308"/>
      <c r="BU23" s="308"/>
      <c r="BV23" s="308"/>
      <c r="BW23" s="308"/>
      <c r="BX23" s="308"/>
      <c r="BY23" s="308"/>
      <c r="BZ23" s="308"/>
      <c r="CA23" s="308"/>
      <c r="CB23" s="308"/>
      <c r="CC23" s="308"/>
      <c r="CD23" s="308"/>
      <c r="CE23" s="308"/>
      <c r="CF23" s="308"/>
      <c r="CG23" s="308"/>
      <c r="CH23" s="308"/>
      <c r="CI23" s="308"/>
      <c r="CJ23" s="308"/>
      <c r="CK23" s="308"/>
      <c r="CL23" s="308"/>
      <c r="CM23" s="308"/>
      <c r="CN23" s="308"/>
      <c r="CO23" s="308"/>
      <c r="CP23" s="308"/>
      <c r="CQ23" s="308"/>
      <c r="CR23" s="308"/>
      <c r="CS23" s="308"/>
      <c r="CT23" s="308"/>
      <c r="CU23" s="308"/>
      <c r="CV23" s="308"/>
      <c r="CW23" s="308"/>
      <c r="CX23" s="308"/>
      <c r="CY23" s="308"/>
      <c r="CZ23" s="308"/>
      <c r="DA23" s="308"/>
      <c r="DB23" s="308"/>
      <c r="DC23" s="308"/>
      <c r="DD23" s="308"/>
      <c r="DE23" s="308"/>
      <c r="DF23" s="308"/>
      <c r="DG23" s="308"/>
      <c r="DH23" s="308"/>
      <c r="DI23" s="308"/>
      <c r="DJ23" s="308"/>
      <c r="DK23" s="308"/>
      <c r="DL23" s="308"/>
      <c r="DM23" s="308"/>
      <c r="DN23" s="308"/>
      <c r="DO23" s="308"/>
      <c r="DP23" s="308"/>
      <c r="DQ23" s="308"/>
      <c r="DR23" s="308"/>
      <c r="DS23" s="308"/>
      <c r="DT23" s="308"/>
      <c r="DU23" s="308"/>
      <c r="DV23" s="308"/>
      <c r="DW23" s="308"/>
      <c r="DX23" s="308"/>
      <c r="DY23" s="308"/>
      <c r="DZ23" s="308"/>
      <c r="EA23" s="308"/>
      <c r="EB23" s="308"/>
      <c r="EC23" s="308"/>
      <c r="ED23" s="308"/>
      <c r="EE23" s="308"/>
      <c r="EF23" s="308"/>
      <c r="EG23" s="308"/>
      <c r="EH23" s="308"/>
      <c r="EI23" s="308"/>
      <c r="EJ23" s="308"/>
      <c r="EK23" s="308"/>
      <c r="EL23" s="308"/>
      <c r="EM23" s="308"/>
      <c r="EN23" s="308"/>
      <c r="EO23" s="308"/>
      <c r="EP23" s="308"/>
      <c r="EQ23" s="308"/>
      <c r="ER23" s="308"/>
      <c r="ES23" s="308"/>
      <c r="ET23" s="308"/>
      <c r="EU23" s="308"/>
      <c r="EV23" s="308"/>
      <c r="EW23" s="308"/>
      <c r="EX23" s="308"/>
      <c r="EY23" s="308"/>
      <c r="EZ23" s="308"/>
      <c r="FA23" s="308"/>
      <c r="FB23" s="308"/>
      <c r="FC23" s="308"/>
      <c r="FD23" s="308"/>
      <c r="FE23" s="308"/>
      <c r="FF23" s="308"/>
      <c r="FG23" s="308"/>
      <c r="FH23" s="308"/>
      <c r="FI23" s="308"/>
      <c r="FJ23" s="308"/>
      <c r="FK23" s="308"/>
      <c r="FL23" s="308"/>
      <c r="FM23" s="308"/>
      <c r="FN23" s="308"/>
      <c r="FO23" s="308"/>
      <c r="FP23" s="308"/>
      <c r="FQ23" s="308"/>
      <c r="FR23" s="308"/>
      <c r="FS23" s="308"/>
      <c r="FT23" s="308"/>
      <c r="FU23" s="308"/>
      <c r="FV23" s="308"/>
      <c r="FW23" s="308"/>
      <c r="FX23" s="308"/>
      <c r="FY23" s="308"/>
      <c r="FZ23" s="308"/>
      <c r="GA23" s="308"/>
      <c r="GB23" s="308"/>
      <c r="GC23" s="308"/>
      <c r="GD23" s="308"/>
      <c r="GE23" s="308"/>
      <c r="GF23" s="308"/>
      <c r="GG23" s="308"/>
      <c r="GH23" s="308"/>
      <c r="GI23" s="308"/>
      <c r="GJ23" s="308"/>
      <c r="GK23" s="308"/>
      <c r="GL23" s="308"/>
      <c r="GM23" s="308"/>
      <c r="GN23" s="308"/>
      <c r="GO23" s="308"/>
      <c r="GP23" s="308"/>
      <c r="GQ23" s="308"/>
      <c r="GR23" s="308"/>
      <c r="GS23" s="308"/>
      <c r="GT23" s="308"/>
      <c r="GU23" s="308"/>
      <c r="GV23" s="308"/>
      <c r="GW23" s="308"/>
      <c r="GX23" s="308"/>
      <c r="GY23" s="308"/>
      <c r="GZ23" s="308"/>
      <c r="HA23" s="308"/>
      <c r="HB23" s="308"/>
      <c r="HC23" s="308"/>
      <c r="HD23" s="308"/>
      <c r="HE23" s="308"/>
      <c r="HF23" s="308"/>
      <c r="HG23" s="308"/>
      <c r="HH23" s="308"/>
      <c r="HI23" s="308"/>
      <c r="HJ23" s="308"/>
      <c r="HK23" s="308"/>
      <c r="HL23" s="308"/>
      <c r="HM23" s="308"/>
      <c r="HN23" s="308"/>
      <c r="HO23" s="308"/>
      <c r="HP23" s="308"/>
      <c r="HQ23" s="308"/>
      <c r="HR23" s="308"/>
      <c r="HS23" s="308"/>
      <c r="HT23" s="308"/>
      <c r="HU23" s="308"/>
      <c r="HV23" s="308"/>
      <c r="HW23" s="308"/>
      <c r="HX23" s="308"/>
      <c r="HY23" s="308"/>
      <c r="HZ23" s="308"/>
      <c r="IA23" s="308"/>
      <c r="IB23" s="308"/>
      <c r="IC23" s="308"/>
      <c r="ID23" s="308"/>
      <c r="IE23" s="308"/>
      <c r="IF23" s="308"/>
      <c r="IG23" s="308"/>
      <c r="IH23" s="308"/>
      <c r="II23" s="308"/>
      <c r="IJ23" s="308"/>
      <c r="IK23" s="308"/>
      <c r="IL23" s="308"/>
      <c r="IM23" s="308"/>
      <c r="IN23" s="308"/>
      <c r="IO23" s="308"/>
      <c r="IP23" s="308"/>
      <c r="IQ23" s="308"/>
      <c r="IR23" s="308"/>
      <c r="IS23" s="308"/>
      <c r="IT23" s="308"/>
      <c r="IU23" s="308"/>
      <c r="IV23" s="308"/>
      <c r="IW23" s="308"/>
      <c r="IX23" s="308"/>
      <c r="IY23" s="308"/>
      <c r="IZ23" s="308"/>
      <c r="JA23" s="308"/>
    </row>
    <row r="24" spans="1:261" ht="14.4" x14ac:dyDescent="0.55000000000000004">
      <c r="A24" s="420"/>
      <c r="B24" s="308"/>
      <c r="C24" s="308" t="s">
        <v>326</v>
      </c>
      <c r="D24" s="308"/>
      <c r="E24" s="344">
        <f>'Exhibit 1 (Comps)'!F11</f>
        <v>1.026575</v>
      </c>
      <c r="F24" s="309"/>
      <c r="G24" s="308"/>
      <c r="H24" s="344">
        <f>E24</f>
        <v>1.026575</v>
      </c>
      <c r="I24" s="332"/>
      <c r="J24" s="344">
        <f>H24</f>
        <v>1.026575</v>
      </c>
      <c r="K24" s="332"/>
      <c r="L24" s="344">
        <f>J24</f>
        <v>1.026575</v>
      </c>
      <c r="M24" s="332"/>
      <c r="N24" s="315" t="s">
        <v>363</v>
      </c>
      <c r="O24" s="308"/>
      <c r="P24" s="345"/>
      <c r="Q24" s="308"/>
      <c r="R24" s="308"/>
      <c r="S24" s="308"/>
      <c r="T24" s="308"/>
      <c r="U24" s="308"/>
      <c r="V24" s="308"/>
      <c r="W24" s="308"/>
      <c r="X24" s="308"/>
      <c r="Y24" s="308"/>
      <c r="Z24" s="308"/>
      <c r="AA24" s="308"/>
      <c r="AB24" s="308"/>
      <c r="AC24" s="308"/>
      <c r="AD24" s="308"/>
      <c r="AE24" s="308"/>
      <c r="AF24" s="308"/>
      <c r="AG24" s="308"/>
      <c r="AH24" s="308"/>
      <c r="AI24" s="308"/>
      <c r="AJ24" s="308"/>
      <c r="AK24" s="308"/>
      <c r="AL24" s="308"/>
      <c r="AM24" s="308"/>
      <c r="AN24" s="308"/>
      <c r="AO24" s="308"/>
      <c r="AP24" s="308"/>
      <c r="AQ24" s="308"/>
      <c r="AR24" s="308"/>
      <c r="AS24" s="308"/>
      <c r="AT24" s="308"/>
      <c r="AU24" s="308"/>
      <c r="AV24" s="308"/>
      <c r="AW24" s="308"/>
      <c r="AX24" s="308"/>
      <c r="AY24" s="308"/>
      <c r="AZ24" s="308"/>
      <c r="BA24" s="308"/>
      <c r="BB24" s="308"/>
      <c r="BC24" s="308"/>
      <c r="BD24" s="308"/>
      <c r="BE24" s="308"/>
      <c r="BF24" s="308"/>
      <c r="BG24" s="308"/>
      <c r="BH24" s="308"/>
      <c r="BI24" s="308"/>
      <c r="BJ24" s="308"/>
      <c r="BK24" s="308"/>
      <c r="BL24" s="308"/>
      <c r="BM24" s="308"/>
      <c r="BN24" s="308"/>
      <c r="BO24" s="308"/>
      <c r="BP24" s="308"/>
      <c r="BQ24" s="308"/>
      <c r="BR24" s="308"/>
      <c r="BS24" s="308"/>
      <c r="BT24" s="308"/>
      <c r="BU24" s="308"/>
      <c r="BV24" s="308"/>
      <c r="BW24" s="308"/>
      <c r="BX24" s="308"/>
      <c r="BY24" s="308"/>
      <c r="BZ24" s="308"/>
      <c r="CA24" s="308"/>
      <c r="CB24" s="308"/>
      <c r="CC24" s="308"/>
      <c r="CD24" s="308"/>
      <c r="CE24" s="308"/>
      <c r="CF24" s="308"/>
      <c r="CG24" s="308"/>
      <c r="CH24" s="308"/>
      <c r="CI24" s="308"/>
      <c r="CJ24" s="308"/>
      <c r="CK24" s="308"/>
      <c r="CL24" s="308"/>
      <c r="CM24" s="308"/>
      <c r="CN24" s="308"/>
      <c r="CO24" s="308"/>
      <c r="CP24" s="308"/>
      <c r="CQ24" s="308"/>
      <c r="CR24" s="308"/>
      <c r="CS24" s="308"/>
      <c r="CT24" s="308"/>
      <c r="CU24" s="308"/>
      <c r="CV24" s="308"/>
      <c r="CW24" s="308"/>
      <c r="CX24" s="308"/>
      <c r="CY24" s="308"/>
      <c r="CZ24" s="308"/>
      <c r="DA24" s="308"/>
      <c r="DB24" s="308"/>
      <c r="DC24" s="308"/>
      <c r="DD24" s="308"/>
      <c r="DE24" s="308"/>
      <c r="DF24" s="308"/>
      <c r="DG24" s="308"/>
      <c r="DH24" s="308"/>
      <c r="DI24" s="308"/>
      <c r="DJ24" s="308"/>
      <c r="DK24" s="308"/>
      <c r="DL24" s="308"/>
      <c r="DM24" s="308"/>
      <c r="DN24" s="308"/>
      <c r="DO24" s="308"/>
      <c r="DP24" s="308"/>
      <c r="DQ24" s="308"/>
      <c r="DR24" s="308"/>
      <c r="DS24" s="308"/>
      <c r="DT24" s="308"/>
      <c r="DU24" s="308"/>
      <c r="DV24" s="308"/>
      <c r="DW24" s="308"/>
      <c r="DX24" s="308"/>
      <c r="DY24" s="308"/>
      <c r="DZ24" s="308"/>
      <c r="EA24" s="308"/>
      <c r="EB24" s="308"/>
      <c r="EC24" s="308"/>
      <c r="ED24" s="308"/>
      <c r="EE24" s="308"/>
      <c r="EF24" s="308"/>
      <c r="EG24" s="308"/>
      <c r="EH24" s="308"/>
      <c r="EI24" s="308"/>
      <c r="EJ24" s="308"/>
      <c r="EK24" s="308"/>
      <c r="EL24" s="308"/>
      <c r="EM24" s="308"/>
      <c r="EN24" s="308"/>
      <c r="EO24" s="308"/>
      <c r="EP24" s="308"/>
      <c r="EQ24" s="308"/>
      <c r="ER24" s="308"/>
      <c r="ES24" s="308"/>
      <c r="ET24" s="308"/>
      <c r="EU24" s="308"/>
      <c r="EV24" s="308"/>
      <c r="EW24" s="308"/>
      <c r="EX24" s="308"/>
      <c r="EY24" s="308"/>
      <c r="EZ24" s="308"/>
      <c r="FA24" s="308"/>
      <c r="FB24" s="308"/>
      <c r="FC24" s="308"/>
      <c r="FD24" s="308"/>
      <c r="FE24" s="308"/>
      <c r="FF24" s="308"/>
      <c r="FG24" s="308"/>
      <c r="FH24" s="308"/>
      <c r="FI24" s="308"/>
      <c r="FJ24" s="308"/>
      <c r="FK24" s="308"/>
      <c r="FL24" s="308"/>
      <c r="FM24" s="308"/>
      <c r="FN24" s="308"/>
      <c r="FO24" s="308"/>
      <c r="FP24" s="308"/>
      <c r="FQ24" s="308"/>
      <c r="FR24" s="308"/>
      <c r="FS24" s="308"/>
      <c r="FT24" s="308"/>
      <c r="FU24" s="308"/>
      <c r="FV24" s="308"/>
      <c r="FW24" s="308"/>
      <c r="FX24" s="308"/>
      <c r="FY24" s="308"/>
      <c r="FZ24" s="308"/>
      <c r="GA24" s="308"/>
      <c r="GB24" s="308"/>
      <c r="GC24" s="308"/>
      <c r="GD24" s="308"/>
      <c r="GE24" s="308"/>
      <c r="GF24" s="308"/>
      <c r="GG24" s="308"/>
      <c r="GH24" s="308"/>
      <c r="GI24" s="308"/>
      <c r="GJ24" s="308"/>
      <c r="GK24" s="308"/>
      <c r="GL24" s="308"/>
      <c r="GM24" s="308"/>
      <c r="GN24" s="308"/>
      <c r="GO24" s="308"/>
      <c r="GP24" s="308"/>
      <c r="GQ24" s="308"/>
      <c r="GR24" s="308"/>
      <c r="GS24" s="308"/>
      <c r="GT24" s="308"/>
      <c r="GU24" s="308"/>
      <c r="GV24" s="308"/>
      <c r="GW24" s="308"/>
      <c r="GX24" s="308"/>
      <c r="GY24" s="308"/>
      <c r="GZ24" s="308"/>
      <c r="HA24" s="308"/>
      <c r="HB24" s="308"/>
      <c r="HC24" s="308"/>
      <c r="HD24" s="308"/>
      <c r="HE24" s="308"/>
      <c r="HF24" s="308"/>
      <c r="HG24" s="308"/>
      <c r="HH24" s="308"/>
      <c r="HI24" s="308"/>
      <c r="HJ24" s="308"/>
      <c r="HK24" s="308"/>
      <c r="HL24" s="308"/>
      <c r="HM24" s="308"/>
      <c r="HN24" s="308"/>
      <c r="HO24" s="308"/>
      <c r="HP24" s="308"/>
      <c r="HQ24" s="308"/>
      <c r="HR24" s="308"/>
      <c r="HS24" s="308"/>
      <c r="HT24" s="308"/>
      <c r="HU24" s="308"/>
      <c r="HV24" s="308"/>
      <c r="HW24" s="308"/>
      <c r="HX24" s="308"/>
      <c r="HY24" s="308"/>
      <c r="HZ24" s="308"/>
      <c r="IA24" s="308"/>
      <c r="IB24" s="308"/>
      <c r="IC24" s="308"/>
      <c r="ID24" s="308"/>
      <c r="IE24" s="308"/>
      <c r="IF24" s="308"/>
      <c r="IG24" s="308"/>
      <c r="IH24" s="308"/>
      <c r="II24" s="308"/>
      <c r="IJ24" s="308"/>
      <c r="IK24" s="308"/>
      <c r="IL24" s="308"/>
      <c r="IM24" s="308"/>
      <c r="IN24" s="308"/>
      <c r="IO24" s="308"/>
      <c r="IP24" s="308"/>
      <c r="IQ24" s="308"/>
      <c r="IR24" s="308"/>
      <c r="IS24" s="308"/>
      <c r="IT24" s="308"/>
      <c r="IU24" s="308"/>
      <c r="IV24" s="308"/>
      <c r="IW24" s="308"/>
      <c r="IX24" s="308"/>
      <c r="IY24" s="308"/>
      <c r="IZ24" s="308"/>
      <c r="JA24" s="308"/>
    </row>
    <row r="25" spans="1:261" ht="14.4" x14ac:dyDescent="0.55000000000000004">
      <c r="A25" s="420"/>
      <c r="B25" s="308"/>
      <c r="C25" s="308" t="s">
        <v>327</v>
      </c>
      <c r="D25" s="308"/>
      <c r="E25" s="342">
        <f>E23/(1+((1-E12)*E24))</f>
        <v>0.46782959307072397</v>
      </c>
      <c r="F25" s="309"/>
      <c r="G25" s="308"/>
      <c r="H25" s="342">
        <f>H23/(1+((1-H12)*H24))</f>
        <v>0.46782959307072397</v>
      </c>
      <c r="I25" s="332"/>
      <c r="J25" s="342">
        <f>J23/(1+((1-J12)*J24))</f>
        <v>0.46782959307072397</v>
      </c>
      <c r="K25" s="332"/>
      <c r="L25" s="342">
        <f>J25</f>
        <v>0.46782959307072397</v>
      </c>
      <c r="M25" s="332"/>
      <c r="N25" s="346" t="s">
        <v>328</v>
      </c>
      <c r="O25" s="346"/>
      <c r="P25" s="308"/>
      <c r="Q25" s="308"/>
      <c r="R25" s="308"/>
      <c r="S25" s="308"/>
      <c r="T25" s="308"/>
      <c r="U25" s="308"/>
      <c r="V25" s="308"/>
      <c r="W25" s="308"/>
      <c r="X25" s="308"/>
      <c r="Y25" s="308"/>
      <c r="Z25" s="308"/>
      <c r="AA25" s="308"/>
      <c r="AB25" s="308"/>
      <c r="AC25" s="308"/>
      <c r="AD25" s="308"/>
      <c r="AE25" s="308"/>
      <c r="AF25" s="308"/>
      <c r="AG25" s="308"/>
      <c r="AH25" s="308"/>
      <c r="AI25" s="308"/>
      <c r="AJ25" s="308"/>
      <c r="AK25" s="308"/>
      <c r="AL25" s="308"/>
      <c r="AM25" s="308"/>
      <c r="AN25" s="308"/>
      <c r="AO25" s="308"/>
      <c r="AP25" s="308"/>
      <c r="AQ25" s="308"/>
      <c r="AR25" s="308"/>
      <c r="AS25" s="308"/>
      <c r="AT25" s="308"/>
      <c r="AU25" s="308"/>
      <c r="AV25" s="308"/>
      <c r="AW25" s="308"/>
      <c r="AX25" s="308"/>
      <c r="AY25" s="308"/>
      <c r="AZ25" s="308"/>
      <c r="BA25" s="308"/>
      <c r="BB25" s="308"/>
      <c r="BC25" s="308"/>
      <c r="BD25" s="308"/>
      <c r="BE25" s="308"/>
      <c r="BF25" s="308"/>
      <c r="BG25" s="308"/>
      <c r="BH25" s="308"/>
      <c r="BI25" s="308"/>
      <c r="BJ25" s="308"/>
      <c r="BK25" s="308"/>
      <c r="BL25" s="308"/>
      <c r="BM25" s="308"/>
      <c r="BN25" s="308"/>
      <c r="BO25" s="308"/>
      <c r="BP25" s="308"/>
      <c r="BQ25" s="308"/>
      <c r="BR25" s="308"/>
      <c r="BS25" s="308"/>
      <c r="BT25" s="308"/>
      <c r="BU25" s="308"/>
      <c r="BV25" s="308"/>
      <c r="BW25" s="308"/>
      <c r="BX25" s="308"/>
      <c r="BY25" s="308"/>
      <c r="BZ25" s="308"/>
      <c r="CA25" s="308"/>
      <c r="CB25" s="308"/>
      <c r="CC25" s="308"/>
      <c r="CD25" s="308"/>
      <c r="CE25" s="308"/>
      <c r="CF25" s="308"/>
      <c r="CG25" s="308"/>
      <c r="CH25" s="308"/>
      <c r="CI25" s="308"/>
      <c r="CJ25" s="308"/>
      <c r="CK25" s="308"/>
      <c r="CL25" s="308"/>
      <c r="CM25" s="308"/>
      <c r="CN25" s="308"/>
      <c r="CO25" s="308"/>
      <c r="CP25" s="308"/>
      <c r="CQ25" s="308"/>
      <c r="CR25" s="308"/>
      <c r="CS25" s="308"/>
      <c r="CT25" s="308"/>
      <c r="CU25" s="308"/>
      <c r="CV25" s="308"/>
      <c r="CW25" s="308"/>
      <c r="CX25" s="308"/>
      <c r="CY25" s="308"/>
      <c r="CZ25" s="308"/>
      <c r="DA25" s="308"/>
      <c r="DB25" s="308"/>
      <c r="DC25" s="308"/>
      <c r="DD25" s="308"/>
      <c r="DE25" s="308"/>
      <c r="DF25" s="308"/>
      <c r="DG25" s="308"/>
      <c r="DH25" s="308"/>
      <c r="DI25" s="308"/>
      <c r="DJ25" s="308"/>
      <c r="DK25" s="308"/>
      <c r="DL25" s="308"/>
      <c r="DM25" s="308"/>
      <c r="DN25" s="308"/>
      <c r="DO25" s="308"/>
      <c r="DP25" s="308"/>
      <c r="DQ25" s="308"/>
      <c r="DR25" s="308"/>
      <c r="DS25" s="308"/>
      <c r="DT25" s="308"/>
      <c r="DU25" s="308"/>
      <c r="DV25" s="308"/>
      <c r="DW25" s="308"/>
      <c r="DX25" s="308"/>
      <c r="DY25" s="308"/>
      <c r="DZ25" s="308"/>
      <c r="EA25" s="308"/>
      <c r="EB25" s="308"/>
      <c r="EC25" s="308"/>
      <c r="ED25" s="308"/>
      <c r="EE25" s="308"/>
      <c r="EF25" s="308"/>
      <c r="EG25" s="308"/>
      <c r="EH25" s="308"/>
      <c r="EI25" s="308"/>
      <c r="EJ25" s="308"/>
      <c r="EK25" s="308"/>
      <c r="EL25" s="308"/>
      <c r="EM25" s="308"/>
      <c r="EN25" s="308"/>
      <c r="EO25" s="308"/>
      <c r="EP25" s="308"/>
      <c r="EQ25" s="308"/>
      <c r="ER25" s="308"/>
      <c r="ES25" s="308"/>
      <c r="ET25" s="308"/>
      <c r="EU25" s="308"/>
      <c r="EV25" s="308"/>
      <c r="EW25" s="308"/>
      <c r="EX25" s="308"/>
      <c r="EY25" s="308"/>
      <c r="EZ25" s="308"/>
      <c r="FA25" s="308"/>
      <c r="FB25" s="308"/>
      <c r="FC25" s="308"/>
      <c r="FD25" s="308"/>
      <c r="FE25" s="308"/>
      <c r="FF25" s="308"/>
      <c r="FG25" s="308"/>
      <c r="FH25" s="308"/>
      <c r="FI25" s="308"/>
      <c r="FJ25" s="308"/>
      <c r="FK25" s="308"/>
      <c r="FL25" s="308"/>
      <c r="FM25" s="308"/>
      <c r="FN25" s="308"/>
      <c r="FO25" s="308"/>
      <c r="FP25" s="308"/>
      <c r="FQ25" s="308"/>
      <c r="FR25" s="308"/>
      <c r="FS25" s="308"/>
      <c r="FT25" s="308"/>
      <c r="FU25" s="308"/>
      <c r="FV25" s="308"/>
      <c r="FW25" s="308"/>
      <c r="FX25" s="308"/>
      <c r="FY25" s="308"/>
      <c r="FZ25" s="308"/>
      <c r="GA25" s="308"/>
      <c r="GB25" s="308"/>
      <c r="GC25" s="308"/>
      <c r="GD25" s="308"/>
      <c r="GE25" s="308"/>
      <c r="GF25" s="308"/>
      <c r="GG25" s="308"/>
      <c r="GH25" s="308"/>
      <c r="GI25" s="308"/>
      <c r="GJ25" s="308"/>
      <c r="GK25" s="308"/>
      <c r="GL25" s="308"/>
      <c r="GM25" s="308"/>
      <c r="GN25" s="308"/>
      <c r="GO25" s="308"/>
      <c r="GP25" s="308"/>
      <c r="GQ25" s="308"/>
      <c r="GR25" s="308"/>
      <c r="GS25" s="308"/>
      <c r="GT25" s="308"/>
      <c r="GU25" s="308"/>
      <c r="GV25" s="308"/>
      <c r="GW25" s="308"/>
      <c r="GX25" s="308"/>
      <c r="GY25" s="308"/>
      <c r="GZ25" s="308"/>
      <c r="HA25" s="308"/>
      <c r="HB25" s="308"/>
      <c r="HC25" s="308"/>
      <c r="HD25" s="308"/>
      <c r="HE25" s="308"/>
      <c r="HF25" s="308"/>
      <c r="HG25" s="308"/>
      <c r="HH25" s="308"/>
      <c r="HI25" s="308"/>
      <c r="HJ25" s="308"/>
      <c r="HK25" s="308"/>
      <c r="HL25" s="308"/>
      <c r="HM25" s="308"/>
      <c r="HN25" s="308"/>
      <c r="HO25" s="308"/>
      <c r="HP25" s="308"/>
      <c r="HQ25" s="308"/>
      <c r="HR25" s="308"/>
      <c r="HS25" s="308"/>
      <c r="HT25" s="308"/>
      <c r="HU25" s="308"/>
      <c r="HV25" s="308"/>
      <c r="HW25" s="308"/>
      <c r="HX25" s="308"/>
      <c r="HY25" s="308"/>
      <c r="HZ25" s="308"/>
      <c r="IA25" s="308"/>
      <c r="IB25" s="308"/>
      <c r="IC25" s="308"/>
      <c r="ID25" s="308"/>
      <c r="IE25" s="308"/>
      <c r="IF25" s="308"/>
      <c r="IG25" s="308"/>
      <c r="IH25" s="308"/>
      <c r="II25" s="308"/>
      <c r="IJ25" s="308"/>
      <c r="IK25" s="308"/>
      <c r="IL25" s="308"/>
      <c r="IM25" s="308"/>
      <c r="IN25" s="308"/>
      <c r="IO25" s="308"/>
      <c r="IP25" s="308"/>
      <c r="IQ25" s="308"/>
      <c r="IR25" s="308"/>
      <c r="IS25" s="308"/>
      <c r="IT25" s="308"/>
      <c r="IU25" s="308"/>
      <c r="IV25" s="308"/>
      <c r="IW25" s="308"/>
      <c r="IX25" s="308"/>
      <c r="IY25" s="308"/>
      <c r="IZ25" s="308"/>
      <c r="JA25" s="308"/>
    </row>
    <row r="26" spans="1:261" ht="14.4" x14ac:dyDescent="0.55000000000000004">
      <c r="A26" s="420"/>
      <c r="B26" s="308"/>
      <c r="C26" s="308" t="s">
        <v>329</v>
      </c>
      <c r="D26" s="308"/>
      <c r="E26" s="344">
        <f>E7</f>
        <v>0</v>
      </c>
      <c r="F26" s="309"/>
      <c r="G26" s="308"/>
      <c r="H26" s="344">
        <f>H7</f>
        <v>0.4285714285714286</v>
      </c>
      <c r="I26" s="332"/>
      <c r="J26" s="344">
        <f>J7</f>
        <v>1</v>
      </c>
      <c r="K26" s="332"/>
      <c r="L26" s="344">
        <f>L7</f>
        <v>3</v>
      </c>
      <c r="M26" s="332"/>
      <c r="N26" s="347" t="s">
        <v>330</v>
      </c>
      <c r="O26" s="308"/>
      <c r="P26" s="308"/>
      <c r="Q26" s="308"/>
      <c r="R26" s="308"/>
      <c r="S26" s="308"/>
      <c r="T26" s="308"/>
      <c r="U26" s="308"/>
      <c r="V26" s="308"/>
      <c r="W26" s="308"/>
      <c r="X26" s="308"/>
      <c r="Y26" s="308"/>
      <c r="Z26" s="308"/>
      <c r="AA26" s="308"/>
      <c r="AB26" s="308"/>
      <c r="AC26" s="308"/>
      <c r="AD26" s="308"/>
      <c r="AE26" s="308"/>
      <c r="AF26" s="308"/>
      <c r="AG26" s="308"/>
      <c r="AH26" s="308"/>
      <c r="AI26" s="308"/>
      <c r="AJ26" s="308"/>
      <c r="AK26" s="308"/>
      <c r="AL26" s="308"/>
      <c r="AM26" s="308"/>
      <c r="AN26" s="308"/>
      <c r="AO26" s="308"/>
      <c r="AP26" s="308"/>
      <c r="AQ26" s="308"/>
      <c r="AR26" s="308"/>
      <c r="AS26" s="308"/>
      <c r="AT26" s="308"/>
      <c r="AU26" s="308"/>
      <c r="AV26" s="308"/>
      <c r="AW26" s="308"/>
      <c r="AX26" s="308"/>
      <c r="AY26" s="308"/>
      <c r="AZ26" s="308"/>
      <c r="BA26" s="308"/>
      <c r="BB26" s="308"/>
      <c r="BC26" s="308"/>
      <c r="BD26" s="308"/>
      <c r="BE26" s="308"/>
      <c r="BF26" s="308"/>
      <c r="BG26" s="308"/>
      <c r="BH26" s="308"/>
      <c r="BI26" s="308"/>
      <c r="BJ26" s="308"/>
      <c r="BK26" s="308"/>
      <c r="BL26" s="308"/>
      <c r="BM26" s="308"/>
      <c r="BN26" s="308"/>
      <c r="BO26" s="308"/>
      <c r="BP26" s="308"/>
      <c r="BQ26" s="308"/>
      <c r="BR26" s="308"/>
      <c r="BS26" s="308"/>
      <c r="BT26" s="308"/>
      <c r="BU26" s="308"/>
      <c r="BV26" s="308"/>
      <c r="BW26" s="308"/>
      <c r="BX26" s="308"/>
      <c r="BY26" s="308"/>
      <c r="BZ26" s="308"/>
      <c r="CA26" s="308"/>
      <c r="CB26" s="308"/>
      <c r="CC26" s="308"/>
      <c r="CD26" s="308"/>
      <c r="CE26" s="308"/>
      <c r="CF26" s="308"/>
      <c r="CG26" s="308"/>
      <c r="CH26" s="308"/>
      <c r="CI26" s="308"/>
      <c r="CJ26" s="308"/>
      <c r="CK26" s="308"/>
      <c r="CL26" s="308"/>
      <c r="CM26" s="308"/>
      <c r="CN26" s="308"/>
      <c r="CO26" s="308"/>
      <c r="CP26" s="308"/>
      <c r="CQ26" s="308"/>
      <c r="CR26" s="308"/>
      <c r="CS26" s="308"/>
      <c r="CT26" s="308"/>
      <c r="CU26" s="308"/>
      <c r="CV26" s="308"/>
      <c r="CW26" s="308"/>
      <c r="CX26" s="308"/>
      <c r="CY26" s="308"/>
      <c r="CZ26" s="308"/>
      <c r="DA26" s="308"/>
      <c r="DB26" s="308"/>
      <c r="DC26" s="308"/>
      <c r="DD26" s="308"/>
      <c r="DE26" s="308"/>
      <c r="DF26" s="308"/>
      <c r="DG26" s="308"/>
      <c r="DH26" s="308"/>
      <c r="DI26" s="308"/>
      <c r="DJ26" s="308"/>
      <c r="DK26" s="308"/>
      <c r="DL26" s="308"/>
      <c r="DM26" s="308"/>
      <c r="DN26" s="308"/>
      <c r="DO26" s="308"/>
      <c r="DP26" s="308"/>
      <c r="DQ26" s="308"/>
      <c r="DR26" s="308"/>
      <c r="DS26" s="308"/>
      <c r="DT26" s="308"/>
      <c r="DU26" s="308"/>
      <c r="DV26" s="308"/>
      <c r="DW26" s="308"/>
      <c r="DX26" s="308"/>
      <c r="DY26" s="308"/>
      <c r="DZ26" s="308"/>
      <c r="EA26" s="308"/>
      <c r="EB26" s="308"/>
      <c r="EC26" s="308"/>
      <c r="ED26" s="308"/>
      <c r="EE26" s="308"/>
      <c r="EF26" s="308"/>
      <c r="EG26" s="308"/>
      <c r="EH26" s="308"/>
      <c r="EI26" s="308"/>
      <c r="EJ26" s="308"/>
      <c r="EK26" s="308"/>
      <c r="EL26" s="308"/>
      <c r="EM26" s="308"/>
      <c r="EN26" s="308"/>
      <c r="EO26" s="308"/>
      <c r="EP26" s="308"/>
      <c r="EQ26" s="308"/>
      <c r="ER26" s="308"/>
      <c r="ES26" s="308"/>
      <c r="ET26" s="308"/>
      <c r="EU26" s="308"/>
      <c r="EV26" s="308"/>
      <c r="EW26" s="308"/>
      <c r="EX26" s="308"/>
      <c r="EY26" s="308"/>
      <c r="EZ26" s="308"/>
      <c r="FA26" s="308"/>
      <c r="FB26" s="308"/>
      <c r="FC26" s="308"/>
      <c r="FD26" s="308"/>
      <c r="FE26" s="308"/>
      <c r="FF26" s="308"/>
      <c r="FG26" s="308"/>
      <c r="FH26" s="308"/>
      <c r="FI26" s="308"/>
      <c r="FJ26" s="308"/>
      <c r="FK26" s="308"/>
      <c r="FL26" s="308"/>
      <c r="FM26" s="308"/>
      <c r="FN26" s="308"/>
      <c r="FO26" s="308"/>
      <c r="FP26" s="308"/>
      <c r="FQ26" s="308"/>
      <c r="FR26" s="308"/>
      <c r="FS26" s="308"/>
      <c r="FT26" s="308"/>
      <c r="FU26" s="308"/>
      <c r="FV26" s="308"/>
      <c r="FW26" s="308"/>
      <c r="FX26" s="308"/>
      <c r="FY26" s="308"/>
      <c r="FZ26" s="308"/>
      <c r="GA26" s="308"/>
      <c r="GB26" s="308"/>
      <c r="GC26" s="308"/>
      <c r="GD26" s="308"/>
      <c r="GE26" s="308"/>
      <c r="GF26" s="308"/>
      <c r="GG26" s="308"/>
      <c r="GH26" s="308"/>
      <c r="GI26" s="308"/>
      <c r="GJ26" s="308"/>
      <c r="GK26" s="308"/>
      <c r="GL26" s="308"/>
      <c r="GM26" s="308"/>
      <c r="GN26" s="308"/>
      <c r="GO26" s="308"/>
      <c r="GP26" s="308"/>
      <c r="GQ26" s="308"/>
      <c r="GR26" s="308"/>
      <c r="GS26" s="308"/>
      <c r="GT26" s="308"/>
      <c r="GU26" s="308"/>
      <c r="GV26" s="308"/>
      <c r="GW26" s="308"/>
      <c r="GX26" s="308"/>
      <c r="GY26" s="308"/>
      <c r="GZ26" s="308"/>
      <c r="HA26" s="308"/>
      <c r="HB26" s="308"/>
      <c r="HC26" s="308"/>
      <c r="HD26" s="308"/>
      <c r="HE26" s="308"/>
      <c r="HF26" s="308"/>
      <c r="HG26" s="308"/>
      <c r="HH26" s="308"/>
      <c r="HI26" s="308"/>
      <c r="HJ26" s="308"/>
      <c r="HK26" s="308"/>
      <c r="HL26" s="308"/>
      <c r="HM26" s="308"/>
      <c r="HN26" s="308"/>
      <c r="HO26" s="308"/>
      <c r="HP26" s="308"/>
      <c r="HQ26" s="308"/>
      <c r="HR26" s="308"/>
      <c r="HS26" s="308"/>
      <c r="HT26" s="308"/>
      <c r="HU26" s="308"/>
      <c r="HV26" s="308"/>
      <c r="HW26" s="308"/>
      <c r="HX26" s="308"/>
      <c r="HY26" s="308"/>
      <c r="HZ26" s="308"/>
      <c r="IA26" s="308"/>
      <c r="IB26" s="308"/>
      <c r="IC26" s="308"/>
      <c r="ID26" s="308"/>
      <c r="IE26" s="308"/>
      <c r="IF26" s="308"/>
      <c r="IG26" s="308"/>
      <c r="IH26" s="308"/>
      <c r="II26" s="308"/>
      <c r="IJ26" s="308"/>
      <c r="IK26" s="308"/>
      <c r="IL26" s="308"/>
      <c r="IM26" s="308"/>
      <c r="IN26" s="308"/>
      <c r="IO26" s="308"/>
      <c r="IP26" s="308"/>
      <c r="IQ26" s="308"/>
      <c r="IR26" s="308"/>
      <c r="IS26" s="308"/>
      <c r="IT26" s="308"/>
      <c r="IU26" s="308"/>
      <c r="IV26" s="308"/>
      <c r="IW26" s="308"/>
      <c r="IX26" s="308"/>
      <c r="IY26" s="308"/>
      <c r="IZ26" s="308"/>
      <c r="JA26" s="308"/>
    </row>
    <row r="27" spans="1:261" ht="14.4" x14ac:dyDescent="0.55000000000000004">
      <c r="A27" s="420"/>
      <c r="B27" s="308"/>
      <c r="C27" s="345" t="s">
        <v>331</v>
      </c>
      <c r="D27" s="345"/>
      <c r="E27" s="348">
        <f>E25*(1+((1-E12)*E26))</f>
        <v>0.46782959307072397</v>
      </c>
      <c r="F27" s="349"/>
      <c r="G27" s="345"/>
      <c r="H27" s="348">
        <f>H25*(1+((1-H12)*H26))</f>
        <v>0.59815355114042557</v>
      </c>
      <c r="I27" s="345"/>
      <c r="J27" s="348">
        <f>J25*(1+((1-J12)*J26))</f>
        <v>0.77191882856669447</v>
      </c>
      <c r="K27" s="345"/>
      <c r="L27" s="348">
        <f>L25*(1+((1-L12)*L26))</f>
        <v>1.3800972995586358</v>
      </c>
      <c r="M27" s="308"/>
      <c r="N27" s="346" t="s">
        <v>332</v>
      </c>
      <c r="O27" s="308"/>
      <c r="P27" s="308"/>
      <c r="Q27" s="308"/>
      <c r="R27" s="308"/>
      <c r="S27" s="308"/>
      <c r="T27" s="308"/>
      <c r="U27" s="308"/>
      <c r="V27" s="308"/>
      <c r="W27" s="308"/>
      <c r="X27" s="308"/>
      <c r="Y27" s="308"/>
      <c r="Z27" s="308"/>
      <c r="AA27" s="308"/>
      <c r="AB27" s="308"/>
      <c r="AC27" s="308"/>
      <c r="AD27" s="308"/>
      <c r="AE27" s="308"/>
      <c r="AF27" s="308"/>
      <c r="AG27" s="308"/>
      <c r="AH27" s="308"/>
      <c r="AI27" s="308"/>
      <c r="AJ27" s="308"/>
      <c r="AK27" s="308"/>
      <c r="AL27" s="308"/>
      <c r="AM27" s="308"/>
      <c r="AN27" s="308"/>
      <c r="AO27" s="308"/>
      <c r="AP27" s="308"/>
      <c r="AQ27" s="308"/>
      <c r="AR27" s="308"/>
      <c r="AS27" s="308"/>
      <c r="AT27" s="308"/>
      <c r="AU27" s="308"/>
      <c r="AV27" s="308"/>
      <c r="AW27" s="308"/>
      <c r="AX27" s="308"/>
      <c r="AY27" s="308"/>
      <c r="AZ27" s="308"/>
      <c r="BA27" s="308"/>
      <c r="BB27" s="308"/>
      <c r="BC27" s="308"/>
      <c r="BD27" s="308"/>
      <c r="BE27" s="308"/>
      <c r="BF27" s="308"/>
      <c r="BG27" s="308"/>
      <c r="BH27" s="308"/>
      <c r="BI27" s="308"/>
      <c r="BJ27" s="308"/>
      <c r="BK27" s="308"/>
      <c r="BL27" s="308"/>
      <c r="BM27" s="308"/>
      <c r="BN27" s="308"/>
      <c r="BO27" s="308"/>
      <c r="BP27" s="308"/>
      <c r="BQ27" s="308"/>
      <c r="BR27" s="308"/>
      <c r="BS27" s="308"/>
      <c r="BT27" s="308"/>
      <c r="BU27" s="308"/>
      <c r="BV27" s="308"/>
      <c r="BW27" s="308"/>
      <c r="BX27" s="308"/>
      <c r="BY27" s="308"/>
      <c r="BZ27" s="308"/>
      <c r="CA27" s="308"/>
      <c r="CB27" s="308"/>
      <c r="CC27" s="308"/>
      <c r="CD27" s="308"/>
      <c r="CE27" s="308"/>
      <c r="CF27" s="308"/>
      <c r="CG27" s="308"/>
      <c r="CH27" s="308"/>
      <c r="CI27" s="308"/>
      <c r="CJ27" s="308"/>
      <c r="CK27" s="308"/>
      <c r="CL27" s="308"/>
      <c r="CM27" s="308"/>
      <c r="CN27" s="308"/>
      <c r="CO27" s="308"/>
      <c r="CP27" s="308"/>
      <c r="CQ27" s="308"/>
      <c r="CR27" s="308"/>
      <c r="CS27" s="308"/>
      <c r="CT27" s="308"/>
      <c r="CU27" s="308"/>
      <c r="CV27" s="308"/>
      <c r="CW27" s="308"/>
      <c r="CX27" s="308"/>
      <c r="CY27" s="308"/>
      <c r="CZ27" s="308"/>
      <c r="DA27" s="308"/>
      <c r="DB27" s="308"/>
      <c r="DC27" s="308"/>
      <c r="DD27" s="308"/>
      <c r="DE27" s="308"/>
      <c r="DF27" s="308"/>
      <c r="DG27" s="308"/>
      <c r="DH27" s="308"/>
      <c r="DI27" s="308"/>
      <c r="DJ27" s="308"/>
      <c r="DK27" s="308"/>
      <c r="DL27" s="308"/>
      <c r="DM27" s="308"/>
      <c r="DN27" s="308"/>
      <c r="DO27" s="308"/>
      <c r="DP27" s="308"/>
      <c r="DQ27" s="308"/>
      <c r="DR27" s="308"/>
      <c r="DS27" s="308"/>
      <c r="DT27" s="308"/>
      <c r="DU27" s="308"/>
      <c r="DV27" s="308"/>
      <c r="DW27" s="308"/>
      <c r="DX27" s="308"/>
      <c r="DY27" s="308"/>
      <c r="DZ27" s="308"/>
      <c r="EA27" s="308"/>
      <c r="EB27" s="308"/>
      <c r="EC27" s="308"/>
      <c r="ED27" s="308"/>
      <c r="EE27" s="308"/>
      <c r="EF27" s="308"/>
      <c r="EG27" s="308"/>
      <c r="EH27" s="308"/>
      <c r="EI27" s="308"/>
      <c r="EJ27" s="308"/>
      <c r="EK27" s="308"/>
      <c r="EL27" s="308"/>
      <c r="EM27" s="308"/>
      <c r="EN27" s="308"/>
      <c r="EO27" s="308"/>
      <c r="EP27" s="308"/>
      <c r="EQ27" s="308"/>
      <c r="ER27" s="308"/>
      <c r="ES27" s="308"/>
      <c r="ET27" s="308"/>
      <c r="EU27" s="308"/>
      <c r="EV27" s="308"/>
      <c r="EW27" s="308"/>
      <c r="EX27" s="308"/>
      <c r="EY27" s="308"/>
      <c r="EZ27" s="308"/>
      <c r="FA27" s="308"/>
      <c r="FB27" s="308"/>
      <c r="FC27" s="308"/>
      <c r="FD27" s="308"/>
      <c r="FE27" s="308"/>
      <c r="FF27" s="308"/>
      <c r="FG27" s="308"/>
      <c r="FH27" s="308"/>
      <c r="FI27" s="308"/>
      <c r="FJ27" s="308"/>
      <c r="FK27" s="308"/>
      <c r="FL27" s="308"/>
      <c r="FM27" s="308"/>
      <c r="FN27" s="308"/>
      <c r="FO27" s="308"/>
      <c r="FP27" s="308"/>
      <c r="FQ27" s="308"/>
      <c r="FR27" s="308"/>
      <c r="FS27" s="308"/>
      <c r="FT27" s="308"/>
      <c r="FU27" s="308"/>
      <c r="FV27" s="308"/>
      <c r="FW27" s="308"/>
      <c r="FX27" s="308"/>
      <c r="FY27" s="308"/>
      <c r="FZ27" s="308"/>
      <c r="GA27" s="308"/>
      <c r="GB27" s="308"/>
      <c r="GC27" s="308"/>
      <c r="GD27" s="308"/>
      <c r="GE27" s="308"/>
      <c r="GF27" s="308"/>
      <c r="GG27" s="308"/>
      <c r="GH27" s="308"/>
      <c r="GI27" s="308"/>
      <c r="GJ27" s="308"/>
      <c r="GK27" s="308"/>
      <c r="GL27" s="308"/>
      <c r="GM27" s="308"/>
      <c r="GN27" s="308"/>
      <c r="GO27" s="308"/>
      <c r="GP27" s="308"/>
      <c r="GQ27" s="308"/>
      <c r="GR27" s="308"/>
      <c r="GS27" s="308"/>
      <c r="GT27" s="308"/>
      <c r="GU27" s="308"/>
      <c r="GV27" s="308"/>
      <c r="GW27" s="308"/>
      <c r="GX27" s="308"/>
      <c r="GY27" s="308"/>
      <c r="GZ27" s="308"/>
      <c r="HA27" s="308"/>
      <c r="HB27" s="308"/>
      <c r="HC27" s="308"/>
      <c r="HD27" s="308"/>
      <c r="HE27" s="308"/>
      <c r="HF27" s="308"/>
      <c r="HG27" s="308"/>
      <c r="HH27" s="308"/>
      <c r="HI27" s="308"/>
      <c r="HJ27" s="308"/>
      <c r="HK27" s="308"/>
      <c r="HL27" s="308"/>
      <c r="HM27" s="308"/>
      <c r="HN27" s="308"/>
      <c r="HO27" s="308"/>
      <c r="HP27" s="308"/>
      <c r="HQ27" s="308"/>
      <c r="HR27" s="308"/>
      <c r="HS27" s="308"/>
      <c r="HT27" s="308"/>
      <c r="HU27" s="308"/>
      <c r="HV27" s="308"/>
      <c r="HW27" s="308"/>
      <c r="HX27" s="308"/>
      <c r="HY27" s="308"/>
      <c r="HZ27" s="308"/>
      <c r="IA27" s="308"/>
      <c r="IB27" s="308"/>
      <c r="IC27" s="308"/>
      <c r="ID27" s="308"/>
      <c r="IE27" s="308"/>
      <c r="IF27" s="308"/>
      <c r="IG27" s="308"/>
      <c r="IH27" s="308"/>
      <c r="II27" s="308"/>
      <c r="IJ27" s="308"/>
      <c r="IK27" s="308"/>
      <c r="IL27" s="308"/>
      <c r="IM27" s="308"/>
      <c r="IN27" s="308"/>
      <c r="IO27" s="308"/>
      <c r="IP27" s="308"/>
      <c r="IQ27" s="308"/>
      <c r="IR27" s="308"/>
      <c r="IS27" s="308"/>
      <c r="IT27" s="308"/>
      <c r="IU27" s="308"/>
      <c r="IV27" s="308"/>
      <c r="IW27" s="308"/>
      <c r="IX27" s="308"/>
      <c r="IY27" s="308"/>
      <c r="IZ27" s="308"/>
      <c r="JA27" s="308"/>
    </row>
    <row r="28" spans="1:261" ht="8.1" customHeight="1" x14ac:dyDescent="0.5">
      <c r="F28" s="303"/>
    </row>
    <row r="29" spans="1:261" ht="18.3" x14ac:dyDescent="0.55000000000000004">
      <c r="A29" s="350" t="s">
        <v>293</v>
      </c>
      <c r="B29" s="308"/>
      <c r="C29" s="380" t="s">
        <v>293</v>
      </c>
      <c r="D29" s="351"/>
      <c r="E29" s="352">
        <f>E13*E8+E20*E9</f>
        <v>7.1422107272426025E-2</v>
      </c>
      <c r="F29" s="353"/>
      <c r="G29" s="351"/>
      <c r="H29" s="352">
        <f>H13*H8+H20*H9</f>
        <v>7.5107496050488165E-2</v>
      </c>
      <c r="I29" s="354"/>
      <c r="J29" s="352">
        <f>J13*J8+J20*J9</f>
        <v>7.918942190252963E-2</v>
      </c>
      <c r="K29" s="354"/>
      <c r="L29" s="352">
        <f>L13*L8+L20*L9</f>
        <v>8.5510579217581428E-2</v>
      </c>
      <c r="M29" s="314"/>
      <c r="N29" s="314"/>
      <c r="O29" s="308"/>
      <c r="P29" s="308"/>
      <c r="Q29" s="308"/>
      <c r="R29" s="308"/>
      <c r="S29" s="308"/>
      <c r="T29" s="308"/>
      <c r="U29" s="308"/>
      <c r="V29" s="308"/>
      <c r="W29" s="308"/>
      <c r="X29" s="308"/>
      <c r="Y29" s="308"/>
      <c r="Z29" s="308"/>
      <c r="AA29" s="308"/>
      <c r="AB29" s="308"/>
      <c r="AC29" s="308"/>
      <c r="AD29" s="308"/>
      <c r="AE29" s="308"/>
      <c r="AF29" s="308"/>
      <c r="AG29" s="308"/>
      <c r="AH29" s="308"/>
      <c r="AI29" s="308"/>
      <c r="AJ29" s="308"/>
      <c r="AK29" s="308"/>
      <c r="AL29" s="308"/>
      <c r="AM29" s="308"/>
      <c r="AN29" s="308"/>
      <c r="AO29" s="308"/>
      <c r="AP29" s="308"/>
      <c r="AQ29" s="308"/>
      <c r="AR29" s="308"/>
      <c r="AS29" s="308"/>
      <c r="AT29" s="308"/>
      <c r="AU29" s="308"/>
      <c r="AV29" s="308"/>
      <c r="AW29" s="308"/>
      <c r="AX29" s="308"/>
      <c r="AY29" s="308"/>
      <c r="AZ29" s="308"/>
      <c r="BA29" s="308"/>
      <c r="BB29" s="308"/>
      <c r="BC29" s="308"/>
      <c r="BD29" s="308"/>
      <c r="BE29" s="308"/>
      <c r="BF29" s="308"/>
      <c r="BG29" s="308"/>
      <c r="BH29" s="308"/>
      <c r="BI29" s="308"/>
      <c r="BJ29" s="308"/>
      <c r="BK29" s="308"/>
      <c r="BL29" s="308"/>
      <c r="BM29" s="308"/>
      <c r="BN29" s="308"/>
      <c r="BO29" s="308"/>
      <c r="BP29" s="308"/>
      <c r="BQ29" s="308"/>
      <c r="BR29" s="308"/>
      <c r="BS29" s="308"/>
      <c r="BT29" s="308"/>
      <c r="BU29" s="308"/>
      <c r="BV29" s="308"/>
      <c r="BW29" s="308"/>
      <c r="BX29" s="308"/>
      <c r="BY29" s="308"/>
      <c r="BZ29" s="308"/>
      <c r="CA29" s="308"/>
      <c r="CB29" s="308"/>
      <c r="CC29" s="308"/>
      <c r="CD29" s="308"/>
      <c r="CE29" s="308"/>
      <c r="CF29" s="308"/>
      <c r="CG29" s="308"/>
      <c r="CH29" s="308"/>
      <c r="CI29" s="308"/>
      <c r="CJ29" s="308"/>
      <c r="CK29" s="308"/>
      <c r="CL29" s="308"/>
      <c r="CM29" s="308"/>
      <c r="CN29" s="308"/>
      <c r="CO29" s="308"/>
      <c r="CP29" s="308"/>
      <c r="CQ29" s="308"/>
      <c r="CR29" s="308"/>
      <c r="CS29" s="308"/>
      <c r="CT29" s="308"/>
      <c r="CU29" s="308"/>
      <c r="CV29" s="308"/>
      <c r="CW29" s="308"/>
      <c r="CX29" s="308"/>
      <c r="CY29" s="308"/>
      <c r="CZ29" s="308"/>
      <c r="DA29" s="308"/>
      <c r="DB29" s="308"/>
      <c r="DC29" s="308"/>
      <c r="DD29" s="308"/>
      <c r="DE29" s="308"/>
      <c r="DF29" s="308"/>
      <c r="DG29" s="308"/>
      <c r="DH29" s="308"/>
      <c r="DI29" s="308"/>
      <c r="DJ29" s="308"/>
      <c r="DK29" s="308"/>
      <c r="DL29" s="308"/>
      <c r="DM29" s="308"/>
      <c r="DN29" s="308"/>
      <c r="DO29" s="308"/>
      <c r="DP29" s="308"/>
      <c r="DQ29" s="308"/>
      <c r="DR29" s="308"/>
      <c r="DS29" s="308"/>
      <c r="DT29" s="308"/>
      <c r="DU29" s="308"/>
      <c r="DV29" s="308"/>
      <c r="DW29" s="308"/>
      <c r="DX29" s="308"/>
      <c r="DY29" s="308"/>
      <c r="DZ29" s="308"/>
      <c r="EA29" s="308"/>
      <c r="EB29" s="308"/>
      <c r="EC29" s="308"/>
      <c r="ED29" s="308"/>
      <c r="EE29" s="308"/>
      <c r="EF29" s="308"/>
      <c r="EG29" s="308"/>
      <c r="EH29" s="308"/>
      <c r="EI29" s="308"/>
      <c r="EJ29" s="308"/>
      <c r="EK29" s="308"/>
      <c r="EL29" s="308"/>
      <c r="EM29" s="308"/>
      <c r="EN29" s="308"/>
      <c r="EO29" s="308"/>
      <c r="EP29" s="308"/>
      <c r="EQ29" s="308"/>
      <c r="ER29" s="308"/>
      <c r="ES29" s="308"/>
      <c r="ET29" s="308"/>
      <c r="EU29" s="308"/>
      <c r="EV29" s="308"/>
      <c r="EW29" s="308"/>
      <c r="EX29" s="308"/>
      <c r="EY29" s="308"/>
      <c r="EZ29" s="308"/>
      <c r="FA29" s="308"/>
      <c r="FB29" s="308"/>
      <c r="FC29" s="308"/>
      <c r="FD29" s="308"/>
      <c r="FE29" s="308"/>
      <c r="FF29" s="308"/>
      <c r="FG29" s="308"/>
      <c r="FH29" s="308"/>
      <c r="FI29" s="308"/>
      <c r="FJ29" s="308"/>
      <c r="FK29" s="308"/>
      <c r="FL29" s="308"/>
      <c r="FM29" s="308"/>
      <c r="FN29" s="308"/>
      <c r="FO29" s="308"/>
      <c r="FP29" s="308"/>
      <c r="FQ29" s="308"/>
      <c r="FR29" s="308"/>
      <c r="FS29" s="308"/>
      <c r="FT29" s="308"/>
      <c r="FU29" s="308"/>
      <c r="FV29" s="308"/>
      <c r="FW29" s="308"/>
      <c r="FX29" s="308"/>
      <c r="FY29" s="308"/>
      <c r="FZ29" s="308"/>
      <c r="GA29" s="308"/>
      <c r="GB29" s="308"/>
      <c r="GC29" s="308"/>
      <c r="GD29" s="308"/>
      <c r="GE29" s="308"/>
      <c r="GF29" s="308"/>
      <c r="GG29" s="308"/>
      <c r="GH29" s="308"/>
      <c r="GI29" s="308"/>
      <c r="GJ29" s="308"/>
      <c r="GK29" s="308"/>
      <c r="GL29" s="308"/>
      <c r="GM29" s="308"/>
      <c r="GN29" s="308"/>
      <c r="GO29" s="308"/>
      <c r="GP29" s="308"/>
      <c r="GQ29" s="308"/>
      <c r="GR29" s="308"/>
      <c r="GS29" s="308"/>
      <c r="GT29" s="308"/>
      <c r="GU29" s="308"/>
      <c r="GV29" s="308"/>
      <c r="GW29" s="308"/>
      <c r="GX29" s="308"/>
      <c r="GY29" s="308"/>
      <c r="GZ29" s="308"/>
      <c r="HA29" s="308"/>
      <c r="HB29" s="308"/>
      <c r="HC29" s="308"/>
      <c r="HD29" s="308"/>
      <c r="HE29" s="308"/>
      <c r="HF29" s="308"/>
      <c r="HG29" s="308"/>
      <c r="HH29" s="308"/>
      <c r="HI29" s="308"/>
      <c r="HJ29" s="308"/>
      <c r="HK29" s="308"/>
      <c r="HL29" s="308"/>
      <c r="HM29" s="308"/>
      <c r="HN29" s="308"/>
      <c r="HO29" s="308"/>
      <c r="HP29" s="308"/>
      <c r="HQ29" s="308"/>
      <c r="HR29" s="308"/>
      <c r="HS29" s="308"/>
      <c r="HT29" s="308"/>
      <c r="HU29" s="308"/>
      <c r="HV29" s="308"/>
      <c r="HW29" s="308"/>
      <c r="HX29" s="308"/>
      <c r="HY29" s="308"/>
      <c r="HZ29" s="308"/>
      <c r="IA29" s="308"/>
      <c r="IB29" s="308"/>
      <c r="IC29" s="308"/>
      <c r="ID29" s="308"/>
      <c r="IE29" s="308"/>
      <c r="IF29" s="308"/>
      <c r="IG29" s="308"/>
      <c r="IH29" s="308"/>
      <c r="II29" s="308"/>
      <c r="IJ29" s="308"/>
      <c r="IK29" s="308"/>
      <c r="IL29" s="308"/>
      <c r="IM29" s="308"/>
      <c r="IN29" s="308"/>
      <c r="IO29" s="308"/>
      <c r="IP29" s="308"/>
      <c r="IQ29" s="308"/>
      <c r="IR29" s="308"/>
      <c r="IS29" s="308"/>
      <c r="IT29" s="308"/>
      <c r="IU29" s="308"/>
      <c r="IV29" s="308"/>
      <c r="IW29" s="308"/>
      <c r="IX29" s="308"/>
      <c r="IY29" s="308"/>
      <c r="IZ29" s="308"/>
      <c r="JA29" s="308"/>
    </row>
    <row r="30" spans="1:261" ht="13.2" thickBot="1" x14ac:dyDescent="0.55000000000000004"/>
    <row r="31" spans="1:261" x14ac:dyDescent="0.5">
      <c r="L31" s="386" t="s">
        <v>357</v>
      </c>
    </row>
    <row r="32" spans="1:261" ht="13.2" thickBot="1" x14ac:dyDescent="0.55000000000000004">
      <c r="L32" s="387">
        <f>'Exhibit 2 (Winfield)'!K17</f>
        <v>9.3001964688046529E-2</v>
      </c>
    </row>
  </sheetData>
  <mergeCells count="3">
    <mergeCell ref="A7:A9"/>
    <mergeCell ref="A11:A13"/>
    <mergeCell ref="A15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</vt:i4>
      </vt:variant>
    </vt:vector>
  </HeadingPairs>
  <TitlesOfParts>
    <vt:vector size="11" baseType="lpstr">
      <vt:lpstr>Exhibit 1 (Comps)</vt:lpstr>
      <vt:lpstr>Exhibit 2 (Winfield)</vt:lpstr>
      <vt:lpstr>Exhibit 3</vt:lpstr>
      <vt:lpstr>Exhibit 4</vt:lpstr>
      <vt:lpstr>Pro Forma</vt:lpstr>
      <vt:lpstr>Pro Forma Projections</vt:lpstr>
      <vt:lpstr>Bond</vt:lpstr>
      <vt:lpstr>Acquisition</vt:lpstr>
      <vt:lpstr>DCF</vt:lpstr>
      <vt:lpstr>WACC</vt:lpstr>
      <vt:lpstr>DCF!Área_de_impresión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usuario</cp:lastModifiedBy>
  <dcterms:created xsi:type="dcterms:W3CDTF">2012-06-17T11:21:59Z</dcterms:created>
  <dcterms:modified xsi:type="dcterms:W3CDTF">2020-07-07T01:36:43Z</dcterms:modified>
</cp:coreProperties>
</file>